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comments4.xml" ContentType="application/vnd.openxmlformats-officedocument.spreadsheetml.comments+xml"/>
  <Override PartName="/xl/threadedComments/threadedComment4.xml" ContentType="application/vnd.ms-excel.threadedcomments+xml"/>
  <Override PartName="/xl/comments5.xml" ContentType="application/vnd.openxmlformats-officedocument.spreadsheetml.comments+xml"/>
  <Override PartName="/xl/threadedComments/threadedComment5.xml" ContentType="application/vnd.ms-excel.threadedcomments+xml"/>
  <Override PartName="/xl/pivotTables/pivotTable1.xml" ContentType="application/vnd.openxmlformats-officedocument.spreadsheetml.pivotTable+xml"/>
  <Override PartName="/xl/comments6.xml" ContentType="application/vnd.openxmlformats-officedocument.spreadsheetml.comments+xml"/>
  <Override PartName="/xl/threadedComments/threadedComment6.xml" ContentType="application/vnd.ms-excel.threadedcomments+xml"/>
  <Override PartName="/xl/comments7.xml" ContentType="application/vnd.openxmlformats-officedocument.spreadsheetml.comments+xml"/>
  <Override PartName="/xl/threadedComments/threadedComment7.xml" ContentType="application/vnd.ms-excel.threaded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omments8.xml" ContentType="application/vnd.openxmlformats-officedocument.spreadsheetml.comments+xml"/>
  <Override PartName="/xl/threadedComments/threadedComment8.xml" ContentType="application/vnd.ms-excel.threadedcomments+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comments9.xml" ContentType="application/vnd.openxmlformats-officedocument.spreadsheetml.comments+xml"/>
  <Override PartName="/xl/threadedComments/threadedComment9.xml" ContentType="application/vnd.ms-excel.threadedcomments+xml"/>
  <Override PartName="/xl/tables/table20.xml" ContentType="application/vnd.openxmlformats-officedocument.spreadsheetml.table+xml"/>
  <Override PartName="/xl/comments10.xml" ContentType="application/vnd.openxmlformats-officedocument.spreadsheetml.comments+xml"/>
  <Override PartName="/xl/threadedComments/threadedComment10.xml" ContentType="application/vnd.ms-excel.threadedcomments+xml"/>
  <Override PartName="/xl/comments11.xml" ContentType="application/vnd.openxmlformats-officedocument.spreadsheetml.comments+xml"/>
  <Override PartName="/xl/threadedComments/threadedComment11.xml" ContentType="application/vnd.ms-excel.threadedcomments+xml"/>
  <Override PartName="/xl/comments12.xml" ContentType="application/vnd.openxmlformats-officedocument.spreadsheetml.comments+xml"/>
  <Override PartName="/xl/threadedComments/threadedComment12.xml" ContentType="application/vnd.ms-excel.threadedcomments+xml"/>
  <Override PartName="/xl/comments13.xml" ContentType="application/vnd.openxmlformats-officedocument.spreadsheetml.comments+xml"/>
  <Override PartName="/xl/threadedComments/threadedComment13.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hidePivotFieldList="1"/>
  <mc:AlternateContent xmlns:mc="http://schemas.openxmlformats.org/markup-compatibility/2006">
    <mc:Choice Requires="x15">
      <x15ac:absPath xmlns:x15ac="http://schemas.microsoft.com/office/spreadsheetml/2010/11/ac" url="https://cityoftacoma-my.sharepoint.com/personal/adanforth_cityoftacoma_org/Documents/Documents/A Temp/Lighting Calc/"/>
    </mc:Choice>
  </mc:AlternateContent>
  <xr:revisionPtr revIDLastSave="106" documentId="8_{FDF8A342-04EE-410C-AF8C-78ADB6CE67AB}" xr6:coauthVersionLast="47" xr6:coauthVersionMax="47" xr10:uidLastSave="{18C23354-2A9A-4724-B275-D4F3CA4E2467}"/>
  <workbookProtection workbookAlgorithmName="SHA-512" workbookHashValue="rp+L9niVaf7xRb8YBkynORHNsLiSiYwzd3L6vY4FPgtoTIznQyd+ZSL8xYoJFzRMKjMjtEn5D+JRzSFmnVUHuw==" workbookSaltValue="irikAdXGobCDCcp0Qm7sZg==" workbookSpinCount="100000" lockStructure="1"/>
  <bookViews>
    <workbookView xWindow="-108" yWindow="-108" windowWidth="23256" windowHeight="12456" tabRatio="728" xr2:uid="{575A478A-0131-4CC5-8A3D-2769FF883A7D}"/>
  </bookViews>
  <sheets>
    <sheet name="Welcome" sheetId="48" r:id="rId1"/>
    <sheet name="Instructions" sheetId="37" r:id="rId2"/>
    <sheet name="Contacts" sheetId="41" r:id="rId3"/>
    <sheet name="Site" sheetId="40" r:id="rId4"/>
    <sheet name="Spaces" sheetId="36" r:id="rId5"/>
    <sheet name="Measures" sheetId="28" r:id="rId6"/>
    <sheet name="Project Summary" sheetId="39" r:id="rId7"/>
    <sheet name="Measures Summary" sheetId="46" r:id="rId8"/>
    <sheet name="Walkthrough" sheetId="58" r:id="rId9"/>
    <sheet name="Fixture Review" sheetId="59" r:id="rId10"/>
    <sheet name="DIY Summary" sheetId="56" r:id="rId11"/>
    <sheet name="TPU Data Entry" sheetId="51" r:id="rId12"/>
    <sheet name="Measures Sum Prep" sheetId="45" state="hidden" r:id="rId13"/>
    <sheet name="TPU Contacts" sheetId="50" state="hidden" r:id="rId14"/>
    <sheet name="TPU Site" sheetId="49" state="hidden" r:id="rId15"/>
    <sheet name="TPU Proj Summary" sheetId="47" state="hidden" r:id="rId16"/>
    <sheet name="Incentive Rates" sheetId="52" r:id="rId17"/>
    <sheet name="Energy Costs" sheetId="42" r:id="rId18"/>
    <sheet name="Abbreviations" sheetId="55" r:id="rId19"/>
    <sheet name="Changes" sheetId="32" r:id="rId20"/>
    <sheet name="HVAC Factors" sheetId="11" state="hidden" r:id="rId21"/>
    <sheet name="Ballast Factors" sheetId="26" state="hidden" r:id="rId22"/>
    <sheet name="Picklists" sheetId="6" state="hidden" r:id="rId23"/>
    <sheet name="Fixture Picklists" sheetId="31" state="hidden" r:id="rId24"/>
    <sheet name="Constants" sheetId="23" state="hidden" r:id="rId25"/>
    <sheet name="Change Log" sheetId="62" state="hidden" r:id="rId26"/>
    <sheet name="Staff Contacts" sheetId="54" state="hidden" r:id="rId27"/>
    <sheet name="Data Entry" sheetId="61" state="hidden" r:id="rId28"/>
    <sheet name="Formulas" sheetId="60" state="hidden" r:id="rId29"/>
    <sheet name="Print Areas" sheetId="57" state="hidden" r:id="rId30"/>
  </sheets>
  <definedNames>
    <definedName name="_xlnm._FilterDatabase" localSheetId="21" hidden="1">'Ballast Factors'!$A$7:$F$108</definedName>
    <definedName name="_xlnm._FilterDatabase" localSheetId="25" hidden="1">'Change Log'!$A$4:$C$4</definedName>
    <definedName name="_xlnm._FilterDatabase" localSheetId="27" hidden="1">'Data Entry'!$A$7:$K$74</definedName>
    <definedName name="_xlnm._FilterDatabase" localSheetId="28" hidden="1">Formulas!$A$7:$E$64</definedName>
    <definedName name="_xlnm._FilterDatabase" localSheetId="20" hidden="1">'HVAC Factors'!$A$4:$K$4</definedName>
    <definedName name="_xlnm._FilterDatabase" localSheetId="1" hidden="1">Instructions!$A$211:$G$211</definedName>
    <definedName name="_xlnm._FilterDatabase" localSheetId="5" hidden="1">Measures!$A$5:$AJ$5</definedName>
    <definedName name="_xlnm._FilterDatabase" localSheetId="12" hidden="1">'Measures Sum Prep'!$A$5:$I$23</definedName>
    <definedName name="Blank">Picklists!$I$5</definedName>
    <definedName name="BuildingTypeField">Site!$B$12</definedName>
    <definedName name="BuildingTypeList">Picklists!$B$5:$B$30</definedName>
    <definedName name="CFLCat">CFLTable[#Headers]</definedName>
    <definedName name="CFLSub">INDEX(CFLTable[],0,MATCH(Measures!XFD1,CFLCat))</definedName>
    <definedName name="ControlType">Picklists!$G$5:$G$8</definedName>
    <definedName name="CoolType">Picklists!$F$5:$F$7</definedName>
    <definedName name="CtrlPctHrsReductionNetworked">Constants!$B$10</definedName>
    <definedName name="CtrlPctHrsReductionNonNetworked">Constants!$B$11</definedName>
    <definedName name="DaysInWeek">Constants!$B$15</definedName>
    <definedName name="DaysInYear">Constants!$B$14</definedName>
    <definedName name="DSMCProjNumField">'TPU Data Entry'!$B$9</definedName>
    <definedName name="DynamicPrintAreaFixtureReview">OFFSET('Fixture Review'!$A$1,0,0,MATCH("Measure",'Fixture Review'!$A$1:$A$6,0)+COUNTA('Fixture Review'!$A$7:$A$117),COUNTA('Fixture Review'!$6:$6))</definedName>
    <definedName name="DynamicPrintAreaMeasures">OFFSET(Measures!$A$1,0,0,MATCH("Row",Measures!$A$1:$A$507,0)+COUNTA(Measures!$B$5:$B$507)-1,COUNTA(Measures!$5:$5))</definedName>
    <definedName name="DynamicPrintAreaSpaces">OFFSET(Spaces!$A$1,0,0,MATCH("Row",Spaces!$A$1:$A$57,0)+COUNTA(SpaceTable[Space Type]),COUNTA(Spaces!$6:$6))</definedName>
    <definedName name="DynamicPrintAreaWalkthrough">OFFSET(Walkthrough!$A$1,0,0,MATCH("Row",Walkthrough!$A$1:$A$507,0)+COUNTIF(Walkthrough!$P$7:$P444,"Yes"),COUNTA(Walkthrough!$7:$7))</definedName>
    <definedName name="ExitSignCat">ExitSignTable[#Headers]</definedName>
    <definedName name="ExitSignSub">INDEX(ExitSignTable[],0,MATCH(Measures!XFD1,ExitSignCat))</definedName>
    <definedName name="FixClassExist">'Fixture Picklists'!$A$7</definedName>
    <definedName name="FixClassPropose">'Fixture Picklists'!$B$7</definedName>
    <definedName name="HeatType">Picklists!$E$5:$E$8</definedName>
    <definedName name="HIDCat">HIDTable[#Headers]</definedName>
    <definedName name="HIDSub">INDEX(HIDTable[],0,MATCH(Measures!XFD1,HIDCat))</definedName>
    <definedName name="InductionCat">InductionTable[#Headers]</definedName>
    <definedName name="InductionSub">INDEX(InductionTable[],0,MATCH(Measures!XFD1,InductionCat))</definedName>
    <definedName name="kWhConversion">Constants!$B$7</definedName>
    <definedName name="LEDCat">LEDTable[#Headers]</definedName>
    <definedName name="LEDSub">INDEX(LEDTable[],0,MATCH(Measures!XFD1,LEDCat))</definedName>
    <definedName name="MaxOperateHours">Constants!$B$18</definedName>
    <definedName name="MeasureCountSummaryField">'Measures Sum Prep'!$A$23</definedName>
    <definedName name="MeasureType">Picklists!$H$5:$H$7</definedName>
    <definedName name="MinOperateHours">Constants!$B$17</definedName>
    <definedName name="MinOperateWeeks">Constants!$B$19</definedName>
    <definedName name="MultifuncCtrlWattReducePct">Picklists!$J$5:$J$13</definedName>
    <definedName name="OMSavingsPct">Constants!$B$22</definedName>
    <definedName name="_xlnm.Print_Area" localSheetId="2">Contacts!$A:$B</definedName>
    <definedName name="_xlnm.Print_Area" localSheetId="9">DynamicPrintAreaFixtureReview</definedName>
    <definedName name="_xlnm.Print_Area" localSheetId="1">Instructions!$A:$A</definedName>
    <definedName name="_xlnm.Print_Area" localSheetId="5">DynamicPrintAreaMeasures</definedName>
    <definedName name="_xlnm.Print_Area" localSheetId="7">'Measures Summary'!$A:$G</definedName>
    <definedName name="_xlnm.Print_Area" localSheetId="6">'Project Summary'!$A:$E</definedName>
    <definedName name="_xlnm.Print_Area" localSheetId="3">Site!$A:$B</definedName>
    <definedName name="_xlnm.Print_Area" localSheetId="4">DynamicPrintAreaSpaces</definedName>
    <definedName name="_xlnm.Print_Area" localSheetId="8">DynamicPrintAreaWalkthrough</definedName>
    <definedName name="_xlnm.Print_Titles" localSheetId="18">Abbreviations!$1:$4</definedName>
    <definedName name="_xlnm.Print_Titles" localSheetId="19">Changes!$1:$3</definedName>
    <definedName name="_xlnm.Print_Titles" localSheetId="9">'Fixture Review'!$1:$6</definedName>
    <definedName name="_xlnm.Print_Titles" localSheetId="1">Instructions!$1:$2</definedName>
    <definedName name="_xlnm.Print_Titles" localSheetId="5">Measures!$A:$C,Measures!$2:$5</definedName>
    <definedName name="_xlnm.Print_Titles" localSheetId="6">'Project Summary'!$1:$5</definedName>
    <definedName name="_xlnm.Print_Titles" localSheetId="4">Spaces!$A:$C,Spaces!$4:$6</definedName>
    <definedName name="_xlnm.Print_Titles" localSheetId="8">Walkthrough!$1:$7</definedName>
    <definedName name="ProjectCostField">Site!$B$15</definedName>
    <definedName name="QuartzCat">QuartzTable[#Headers]</definedName>
    <definedName name="QuartzSub">INDEX(QuartzTable[],0,MATCH(Measures!XFD1,QuartzCat))</definedName>
    <definedName name="RateClassField">Site!$B$13</definedName>
    <definedName name="SectorField">'TPU Data Entry'!$A$9</definedName>
    <definedName name="SectorList">Picklists!$D$5:$D$6</definedName>
    <definedName name="SignageCat">SignageTable[#Headers]</definedName>
    <definedName name="SignageSub">INDEX(SignageTable[],0,MATCH(Measures!XFD1,SignageCat))</definedName>
    <definedName name="SpaceName">Spaces!$V$8</definedName>
    <definedName name="SpacesPrintArea">OFFSET(Spaces!$A$1,0,0,MATCH("Row",Spaces!$A$1:$A$57,0)+COUNTA(SpaceTable[Space Type]),COUNTA(Spaces!$6:$6))</definedName>
    <definedName name="SpaceType">Picklists!$C$5:$C$31</definedName>
    <definedName name="T10Cat">T10Table[#Headers]</definedName>
    <definedName name="T10Sub">INDEX(T10Table[],0,MATCH(Measures!XFD1,T10Cat))</definedName>
    <definedName name="T12Cat">T12Table[#Headers]</definedName>
    <definedName name="T12Sub">INDEX(T12Table[],0,MATCH(Measures!XFD1,T12Cat))</definedName>
    <definedName name="T5Cat">T5Table[#Headers]</definedName>
    <definedName name="T5Sub">INDEX(T5Table[],0,MATCH(Measures!XFD1,T5Cat))</definedName>
    <definedName name="T8Cat">T8Table[#Headers]</definedName>
    <definedName name="T8HPCat">T8HPTable[#Headers]</definedName>
    <definedName name="T8HPSub">INDEX(T8HPTable[],0,MATCH(Measures!XFD1,T8HPCat))</definedName>
    <definedName name="T8Sub">INDEX(T8Table[],0,MATCH(Measures!XFD1,T8Cat))</definedName>
    <definedName name="TPURateClass">Picklists!$A$5:$A$7</definedName>
    <definedName name="wattlist_cfl_cold_cathode_dimmable_or_flashable">'Ballast Factors'!$J$8:$V$8</definedName>
    <definedName name="wattlist_cfl_hard_wired_or_gu_24__45_w">'Ballast Factors'!$J$11:$AE$11</definedName>
    <definedName name="wattlist_cfl_hard_wired_or_gu_24_1_to_24_w">'Ballast Factors'!$J$9:$AG$9</definedName>
    <definedName name="wattlist_cfl_hard_wired_or_gu_24_25_to_45_w">'Ballast Factors'!$J$10:$AD$10</definedName>
    <definedName name="wattlist_cfl_screw_in__45_w">'Ballast Factors'!$J$14:$AE$14</definedName>
    <definedName name="wattlist_cfl_screw_in_1_to_24_w">'Ballast Factors'!$J$12:$AG$12</definedName>
    <definedName name="wattlist_cfl_screw_in_25_to_45_w">'Ballast Factors'!$J$13:$AD$13</definedName>
    <definedName name="wattlist_exit_sign_cfl_screw_in_or_plug_in">'Ballast Factors'!$J$15:$M$15</definedName>
    <definedName name="wattlist_exit_sign_incandescent_screw_in_or_plug_in">'Ballast Factors'!$J$16:$P$16</definedName>
    <definedName name="wattlist_exit_sign_led_new_fixture_or_retrofit_kit">'Ballast Factors'!$J$17:$M$17</definedName>
    <definedName name="wattlist_exit_sign_linear_fluorescent_f4t5">'Ballast Factors'!$J$18</definedName>
    <definedName name="wattlist_exit_sign_linear_fluorescent_f6t5">'Ballast Factors'!$J$19</definedName>
    <definedName name="wattlist_exit_sign_linear_fluorescent_f8t5">'Ballast Factors'!$J$20</definedName>
    <definedName name="wattlist_hid_hps_mag__ballast">'Ballast Factors'!$J$21:$W$21</definedName>
    <definedName name="wattlist_hid_mh_ee_ballast">'Ballast Factors'!$J$22:$AN$22</definedName>
    <definedName name="wattlist_hid_mh_mag__ballast">'Ballast Factors'!$J$23:$U$23</definedName>
    <definedName name="wattlist_hid_mh_pulse_start">'Ballast Factors'!$J$24:$Z$24</definedName>
    <definedName name="wattlist_hid_mv_mag__ballast">'Ballast Factors'!$J$25:$R$25</definedName>
    <definedName name="wattlist_induction_any_type_any_type">'Ballast Factors'!$J$26:$AT$26</definedName>
    <definedName name="wattlist_LED">'Ballast Factors'!$J$27</definedName>
    <definedName name="wattlist_quartz_bi_pin_halogen">'Ballast Factors'!$J$59:$M$59</definedName>
    <definedName name="wattlist_t10_6_ft_vho_lamp_w__mag__ballast">'Ballast Factors'!$J$63</definedName>
    <definedName name="wattlist_t12_2_ft_mag__ballast">'Ballast Factors'!$J$64</definedName>
    <definedName name="wattlist_t12_3_ft_ee_ballast">'Ballast Factors'!$J$65</definedName>
    <definedName name="wattlist_t12_3_ft_mag__ballast">'Ballast Factors'!$J$66:$K$66</definedName>
    <definedName name="wattlist_t12_4_ft_ho_lamp_w__mag__ballast">'Ballast Factors'!$J$67</definedName>
    <definedName name="wattlist_t12_4_ft_lamp_w__ee_ballast">'Ballast Factors'!$J$68:$K$68</definedName>
    <definedName name="wattlist_t12_4_ft_lamp_w__mag__ballast">'Ballast Factors'!$J$69:$K$69</definedName>
    <definedName name="wattlist_t12_4_ft_slimline_w__mag__ballast">'Ballast Factors'!$J$70</definedName>
    <definedName name="wattlist_t12_4_ft_vho_lamp_w__mag__ballast">'Ballast Factors'!$J$71</definedName>
    <definedName name="wattlist_t12_5_ft_4_in_ho_lamp_w__mag__ballast">'Ballast Factors'!$J$75</definedName>
    <definedName name="wattlist_t12_5_ft_4_in_slimline_w__mag__ballast">'Ballast Factors'!$J$76</definedName>
    <definedName name="wattlist_t12_5_ft_ho_lamp_w__mag__ballast">'Ballast Factors'!$J$72</definedName>
    <definedName name="wattlist_t12_5_ft_slimline_w__mag__ballast">'Ballast Factors'!$J$73</definedName>
    <definedName name="wattlist_t12_5_ft_vho_lamp_w__mag__ballast">'Ballast Factors'!$J$74</definedName>
    <definedName name="wattlist_t12_6_ft_ho_lamp_w__mag__ballast">'Ballast Factors'!$J$77</definedName>
    <definedName name="wattlist_t12_6_ft_slimline_w__mag__ballast">'Ballast Factors'!$J$78</definedName>
    <definedName name="wattlist_t12_6_ft_vho_lamp_w__mag__ballast">'Ballast Factors'!$J$79</definedName>
    <definedName name="wattlist_t12_7_ft_ho_lamp_w__mag__ballast">'Ballast Factors'!$J$80</definedName>
    <definedName name="wattlist_t12_7_ft_slimline_w__mag__ballast">'Ballast Factors'!$J$81</definedName>
    <definedName name="wattlist_t12_8_ft_ho_lamp_w__ee_ballast">'Ballast Factors'!$J$82:$K$82</definedName>
    <definedName name="wattlist_t12_8_ft_ho_lamp_w__mag__ballast">'Ballast Factors'!$J$83:$K$83</definedName>
    <definedName name="wattlist_t12_8_ft_slimline_w__mag__ballast">'Ballast Factors'!$J$84:$K$84</definedName>
    <definedName name="wattlist_t12_8_ft_vho_lamp_w__mag__ballast">'Ballast Factors'!$J$85:$K$85</definedName>
    <definedName name="wattlist_t12_9_ft_vho_lamp_w__mag__ballast">'Ballast Factors'!$J$86</definedName>
    <definedName name="wattlist_t12_ft_10_vho_lamp_w__mag__ballast">'Ballast Factors'!$J$87</definedName>
    <definedName name="wattlist_t12_u_lamp_ee_ballast">'Ballast Factors'!$J$88:$K$88</definedName>
    <definedName name="wattlist_t12_u_lamp_mag__ballast">'Ballast Factors'!$J$89:$K$89</definedName>
    <definedName name="wattlist_t5_2_ft_ho_lamp_w__prog__start_ballast">'Ballast Factors'!$J$90:$S$90</definedName>
    <definedName name="wattlist_t5_4_ft__nlo_ballast">'Ballast Factors'!$J$91</definedName>
    <definedName name="wattlist_t5_4_ft_high_bay_ho_lamp_w__prog__start_ballast">'Ballast Factors'!$J$92:$O$92</definedName>
    <definedName name="wattlist_t8_4_ft_llo_ballast">'Ballast Factors'!$J$94:$L$94</definedName>
    <definedName name="wattlist_t8_4_ft_nlo_ballast">'Ballast Factors'!$J$93:$L$93</definedName>
    <definedName name="wattlist_t8_8_ft_ho_ballast">'Ballast Factors'!$J$95</definedName>
    <definedName name="wattlist_t8_8_ft_nlo_ballast">'Ballast Factors'!$J$96:$K$96</definedName>
    <definedName name="wattlist_t8_hp_4_ft_hlo_ballast">'Ballast Factors'!$J$104:$L$104</definedName>
    <definedName name="wattlist_t8_hp_4_ft_llo_ballast">'Ballast Factors'!$J$106:$L$106</definedName>
    <definedName name="wattlist_t8_hp_4_ft_nlo_ballast">'Ballast Factors'!$J$105:$L$105</definedName>
    <definedName name="wattlist_t8_hp_4_ft_vllo_ballast">'Ballast Factors'!$J$107:$L$107</definedName>
    <definedName name="wattlist_t8_hp_8_ft_nlo_ballast">'Ballast Factors'!$J$108:$K$108</definedName>
    <definedName name="wattlist_t8_irregular_size_2_ft">'Ballast Factors'!$J$97:$K$97</definedName>
    <definedName name="wattlist_t8_irregular_size_3_ft">'Ballast Factors'!$J$98</definedName>
    <definedName name="wattlist_t8_irregular_size_5_ft">'Ballast Factors'!$J$99:$L$99</definedName>
    <definedName name="wattlist_t8_irregular_size_6_ft">'Ballast Factors'!$J$100:$L$100</definedName>
    <definedName name="wattlist_t8_irregular_size_7_ft">'Ballast Factors'!$J$101</definedName>
    <definedName name="wattlist_t8_u_lamp_llo_ballast">'Ballast Factors'!$J$102:$L$102</definedName>
    <definedName name="wattlist_t8_u_lamp_nlo_ballast">'Ballast Factors'!$J$103:$L$103</definedName>
    <definedName name="WeeksInYear">Constants!$B$16</definedName>
  </definedNames>
  <calcPr calcId="191029"/>
  <pivotCaches>
    <pivotCache cacheId="7" r:id="rId3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6" i="47" l="1"/>
  <c r="Z6" i="47"/>
  <c r="Y6" i="47"/>
  <c r="X6" i="47"/>
  <c r="W6" i="47"/>
  <c r="V6" i="47"/>
  <c r="U6" i="47"/>
  <c r="T6" i="47"/>
  <c r="S6" i="47"/>
  <c r="R6" i="47"/>
  <c r="Q6" i="47"/>
  <c r="P6" i="47"/>
  <c r="D64" i="60"/>
  <c r="D63" i="60"/>
  <c r="D62" i="60"/>
  <c r="D61" i="60"/>
  <c r="D60" i="60"/>
  <c r="D59" i="60"/>
  <c r="D58" i="60"/>
  <c r="D57" i="60"/>
  <c r="D55" i="60"/>
  <c r="D54" i="60"/>
  <c r="D52" i="60"/>
  <c r="E27" i="60"/>
  <c r="E22" i="60"/>
  <c r="E26" i="60"/>
  <c r="D27" i="60"/>
  <c r="D26" i="60"/>
  <c r="E12" i="60"/>
  <c r="E10" i="60"/>
  <c r="D51" i="60"/>
  <c r="D50" i="60"/>
  <c r="D49" i="60"/>
  <c r="D48" i="60"/>
  <c r="D47" i="60"/>
  <c r="D46" i="60"/>
  <c r="D45" i="60"/>
  <c r="D44" i="60"/>
  <c r="D43" i="60"/>
  <c r="D42" i="60"/>
  <c r="D40" i="60"/>
  <c r="D39" i="60"/>
  <c r="D38" i="60"/>
  <c r="D37" i="60"/>
  <c r="D36" i="60"/>
  <c r="D35" i="60"/>
  <c r="D34" i="60"/>
  <c r="D33" i="60"/>
  <c r="D32" i="60"/>
  <c r="D31" i="60"/>
  <c r="D30" i="60"/>
  <c r="D29" i="60"/>
  <c r="D28" i="60"/>
  <c r="D25" i="60"/>
  <c r="D24" i="60"/>
  <c r="D23" i="60"/>
  <c r="D22" i="60"/>
  <c r="D21" i="60"/>
  <c r="D20" i="60"/>
  <c r="D14" i="60"/>
  <c r="D19" i="60"/>
  <c r="D18" i="60"/>
  <c r="D17" i="60"/>
  <c r="D16" i="60"/>
  <c r="D15" i="60"/>
  <c r="D12" i="60"/>
  <c r="D11" i="60"/>
  <c r="D10" i="60"/>
  <c r="D9" i="60"/>
  <c r="B42" i="39"/>
  <c r="BH6" i="28"/>
  <c r="BG6" i="28"/>
  <c r="BF6" i="28"/>
  <c r="D30" i="39"/>
  <c r="K1" i="58"/>
  <c r="F1" i="58"/>
  <c r="A4" i="51"/>
  <c r="A3" i="51"/>
  <c r="A4" i="58"/>
  <c r="A4" i="46"/>
  <c r="A4" i="39"/>
  <c r="I8" i="26" l="1"/>
  <c r="I9" i="26"/>
  <c r="I10" i="26"/>
  <c r="I11" i="26"/>
  <c r="I12" i="26"/>
  <c r="I13" i="26"/>
  <c r="I14" i="26"/>
  <c r="I15" i="26"/>
  <c r="I16" i="26"/>
  <c r="I17" i="26"/>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60" i="26"/>
  <c r="I61" i="26"/>
  <c r="I62" i="26"/>
  <c r="I63" i="26"/>
  <c r="I64" i="26"/>
  <c r="I65" i="26"/>
  <c r="I66" i="26"/>
  <c r="I67" i="26"/>
  <c r="I68" i="26"/>
  <c r="I69" i="26"/>
  <c r="I70" i="26"/>
  <c r="I71" i="26"/>
  <c r="I72" i="26"/>
  <c r="I73" i="26"/>
  <c r="I74" i="26"/>
  <c r="I75" i="26"/>
  <c r="I76" i="26"/>
  <c r="I77" i="26"/>
  <c r="I78" i="26"/>
  <c r="I79" i="26"/>
  <c r="I80" i="26"/>
  <c r="I81" i="26"/>
  <c r="I82" i="26"/>
  <c r="I83" i="26"/>
  <c r="I84" i="26"/>
  <c r="I85" i="26"/>
  <c r="I86" i="26"/>
  <c r="I87" i="26"/>
  <c r="I88" i="26"/>
  <c r="I89" i="26"/>
  <c r="I90" i="26"/>
  <c r="I91" i="26"/>
  <c r="I92" i="26"/>
  <c r="I93" i="26"/>
  <c r="I94" i="26"/>
  <c r="I95" i="26"/>
  <c r="I96" i="26"/>
  <c r="I97" i="26"/>
  <c r="I98" i="26"/>
  <c r="I99" i="26"/>
  <c r="I100" i="26"/>
  <c r="I101" i="26"/>
  <c r="I102" i="26"/>
  <c r="I103" i="26"/>
  <c r="I104" i="26"/>
  <c r="I105" i="26"/>
  <c r="I106" i="26"/>
  <c r="I107" i="26"/>
  <c r="I108" i="26"/>
  <c r="AP507" i="28" l="1" a="1"/>
  <c r="AP507" i="28" s="1"/>
  <c r="AP506" i="28" a="1"/>
  <c r="AP506" i="28" s="1"/>
  <c r="AP505" i="28" a="1"/>
  <c r="AP505" i="28" s="1"/>
  <c r="AP504" i="28" a="1"/>
  <c r="AP504" i="28" s="1"/>
  <c r="AP503" i="28" a="1"/>
  <c r="AP503" i="28" s="1"/>
  <c r="AP502" i="28" a="1"/>
  <c r="AP502" i="28" s="1"/>
  <c r="AP501" i="28" a="1"/>
  <c r="AP501" i="28" s="1"/>
  <c r="AP500" i="28" a="1"/>
  <c r="AP500" i="28" s="1"/>
  <c r="AP499" i="28" a="1"/>
  <c r="AP499" i="28" s="1"/>
  <c r="AP498" i="28" a="1"/>
  <c r="AP498" i="28" s="1"/>
  <c r="AP497" i="28" a="1"/>
  <c r="AP497" i="28" s="1"/>
  <c r="AP496" i="28" a="1"/>
  <c r="AP496" i="28" s="1"/>
  <c r="AP495" i="28" a="1"/>
  <c r="AP495" i="28" s="1"/>
  <c r="AP494" i="28" a="1"/>
  <c r="AP494" i="28" s="1"/>
  <c r="AP493" i="28" a="1"/>
  <c r="AP493" i="28" s="1"/>
  <c r="AP492" i="28" a="1"/>
  <c r="AP492" i="28" s="1"/>
  <c r="AP491" i="28" a="1"/>
  <c r="AP491" i="28" s="1"/>
  <c r="AP490" i="28" a="1"/>
  <c r="AP490" i="28" s="1"/>
  <c r="AP489" i="28" a="1"/>
  <c r="AP489" i="28" s="1"/>
  <c r="AP488" i="28" a="1"/>
  <c r="AP488" i="28" s="1"/>
  <c r="AP487" i="28" a="1"/>
  <c r="AP487" i="28" s="1"/>
  <c r="AP486" i="28" a="1"/>
  <c r="AP486" i="28" s="1"/>
  <c r="AP485" i="28" a="1"/>
  <c r="AP485" i="28" s="1"/>
  <c r="AP484" i="28" a="1"/>
  <c r="AP484" i="28" s="1"/>
  <c r="AP483" i="28" a="1"/>
  <c r="AP483" i="28" s="1"/>
  <c r="AP482" i="28" a="1"/>
  <c r="AP482" i="28" s="1"/>
  <c r="AP481" i="28" a="1"/>
  <c r="AP481" i="28" s="1"/>
  <c r="AP480" i="28" a="1"/>
  <c r="AP480" i="28" s="1"/>
  <c r="AP479" i="28" a="1"/>
  <c r="AP479" i="28" s="1"/>
  <c r="AP478" i="28" a="1"/>
  <c r="AP478" i="28" s="1"/>
  <c r="AP477" i="28" a="1"/>
  <c r="AP477" i="28" s="1"/>
  <c r="AP476" i="28" a="1"/>
  <c r="AP476" i="28" s="1"/>
  <c r="AP475" i="28" a="1"/>
  <c r="AP475" i="28" s="1"/>
  <c r="AP474" i="28" a="1"/>
  <c r="AP474" i="28" s="1"/>
  <c r="AP473" i="28" a="1"/>
  <c r="AP473" i="28" s="1"/>
  <c r="AP472" i="28" a="1"/>
  <c r="AP472" i="28" s="1"/>
  <c r="AP471" i="28" a="1"/>
  <c r="AP471" i="28" s="1"/>
  <c r="AP470" i="28" a="1"/>
  <c r="AP470" i="28" s="1"/>
  <c r="AP469" i="28" a="1"/>
  <c r="AP469" i="28" s="1"/>
  <c r="AP468" i="28" a="1"/>
  <c r="AP468" i="28" s="1"/>
  <c r="AP467" i="28" a="1"/>
  <c r="AP467" i="28" s="1"/>
  <c r="AP466" i="28" a="1"/>
  <c r="AP466" i="28" s="1"/>
  <c r="AP465" i="28" a="1"/>
  <c r="AP465" i="28" s="1"/>
  <c r="AP464" i="28" a="1"/>
  <c r="AP464" i="28" s="1"/>
  <c r="AP463" i="28" a="1"/>
  <c r="AP463" i="28" s="1"/>
  <c r="AP462" i="28" a="1"/>
  <c r="AP462" i="28" s="1"/>
  <c r="AP461" i="28" a="1"/>
  <c r="AP461" i="28" s="1"/>
  <c r="AP460" i="28" a="1"/>
  <c r="AP460" i="28" s="1"/>
  <c r="AP459" i="28" a="1"/>
  <c r="AP459" i="28" s="1"/>
  <c r="AP458" i="28" a="1"/>
  <c r="AP458" i="28" s="1"/>
  <c r="AP457" i="28" a="1"/>
  <c r="AP457" i="28" s="1"/>
  <c r="AP456" i="28" a="1"/>
  <c r="AP456" i="28" s="1"/>
  <c r="AP455" i="28" a="1"/>
  <c r="AP455" i="28" s="1"/>
  <c r="AP454" i="28" a="1"/>
  <c r="AP454" i="28" s="1"/>
  <c r="AP453" i="28" a="1"/>
  <c r="AP453" i="28" s="1"/>
  <c r="AP452" i="28" a="1"/>
  <c r="AP452" i="28" s="1"/>
  <c r="AP451" i="28" a="1"/>
  <c r="AP451" i="28" s="1"/>
  <c r="AP450" i="28" a="1"/>
  <c r="AP450" i="28" s="1"/>
  <c r="AP449" i="28" a="1"/>
  <c r="AP449" i="28" s="1"/>
  <c r="AP448" i="28" a="1"/>
  <c r="AP448" i="28" s="1"/>
  <c r="AP447" i="28" a="1"/>
  <c r="AP447" i="28" s="1"/>
  <c r="AP446" i="28" a="1"/>
  <c r="AP446" i="28" s="1"/>
  <c r="AP445" i="28" a="1"/>
  <c r="AP445" i="28" s="1"/>
  <c r="AP444" i="28" a="1"/>
  <c r="AP444" i="28" s="1"/>
  <c r="AP443" i="28" a="1"/>
  <c r="AP443" i="28" s="1"/>
  <c r="AP442" i="28" a="1"/>
  <c r="AP442" i="28" s="1"/>
  <c r="AP441" i="28" a="1"/>
  <c r="AP441" i="28" s="1"/>
  <c r="AP440" i="28" a="1"/>
  <c r="AP440" i="28" s="1"/>
  <c r="AP439" i="28" a="1"/>
  <c r="AP439" i="28" s="1"/>
  <c r="AP438" i="28" a="1"/>
  <c r="AP438" i="28" s="1"/>
  <c r="AP437" i="28" a="1"/>
  <c r="AP437" i="28" s="1"/>
  <c r="AP436" i="28" a="1"/>
  <c r="AP436" i="28" s="1"/>
  <c r="AP435" i="28" a="1"/>
  <c r="AP435" i="28" s="1"/>
  <c r="AP434" i="28" a="1"/>
  <c r="AP434" i="28" s="1"/>
  <c r="AP433" i="28" a="1"/>
  <c r="AP433" i="28" s="1"/>
  <c r="AP432" i="28" a="1"/>
  <c r="AP432" i="28" s="1"/>
  <c r="AP431" i="28" a="1"/>
  <c r="AP431" i="28" s="1"/>
  <c r="AP430" i="28" a="1"/>
  <c r="AP430" i="28" s="1"/>
  <c r="AP429" i="28" a="1"/>
  <c r="AP429" i="28" s="1"/>
  <c r="AP428" i="28" a="1"/>
  <c r="AP428" i="28" s="1"/>
  <c r="AP427" i="28" a="1"/>
  <c r="AP427" i="28" s="1"/>
  <c r="AP426" i="28" a="1"/>
  <c r="AP426" i="28" s="1"/>
  <c r="AP425" i="28" a="1"/>
  <c r="AP425" i="28" s="1"/>
  <c r="AP424" i="28" a="1"/>
  <c r="AP424" i="28" s="1"/>
  <c r="AP423" i="28" a="1"/>
  <c r="AP423" i="28" s="1"/>
  <c r="AP422" i="28" a="1"/>
  <c r="AP422" i="28" s="1"/>
  <c r="AP421" i="28" a="1"/>
  <c r="AP421" i="28" s="1"/>
  <c r="AP420" i="28" a="1"/>
  <c r="AP420" i="28" s="1"/>
  <c r="AP419" i="28" a="1"/>
  <c r="AP419" i="28" s="1"/>
  <c r="AP418" i="28" a="1"/>
  <c r="AP418" i="28" s="1"/>
  <c r="AP417" i="28" a="1"/>
  <c r="AP417" i="28" s="1"/>
  <c r="AP416" i="28" a="1"/>
  <c r="AP416" i="28" s="1"/>
  <c r="AP415" i="28" a="1"/>
  <c r="AP415" i="28" s="1"/>
  <c r="AP414" i="28" a="1"/>
  <c r="AP414" i="28" s="1"/>
  <c r="AP413" i="28" a="1"/>
  <c r="AP413" i="28" s="1"/>
  <c r="AP412" i="28" a="1"/>
  <c r="AP412" i="28" s="1"/>
  <c r="AP411" i="28" a="1"/>
  <c r="AP411" i="28" s="1"/>
  <c r="AP410" i="28" a="1"/>
  <c r="AP410" i="28" s="1"/>
  <c r="AP409" i="28" a="1"/>
  <c r="AP409" i="28" s="1"/>
  <c r="AP408" i="28" a="1"/>
  <c r="AP408" i="28" s="1"/>
  <c r="AP407" i="28" a="1"/>
  <c r="AP407" i="28" s="1"/>
  <c r="AP406" i="28" a="1"/>
  <c r="AP406" i="28" s="1"/>
  <c r="AP405" i="28" a="1"/>
  <c r="AP405" i="28" s="1"/>
  <c r="AP404" i="28" a="1"/>
  <c r="AP404" i="28" s="1"/>
  <c r="AP403" i="28" a="1"/>
  <c r="AP403" i="28" s="1"/>
  <c r="AP402" i="28" a="1"/>
  <c r="AP402" i="28" s="1"/>
  <c r="AP401" i="28" a="1"/>
  <c r="AP401" i="28" s="1"/>
  <c r="AP400" i="28" a="1"/>
  <c r="AP400" i="28" s="1"/>
  <c r="AP399" i="28" a="1"/>
  <c r="AP399" i="28" s="1"/>
  <c r="AP398" i="28" a="1"/>
  <c r="AP398" i="28" s="1"/>
  <c r="AP397" i="28" a="1"/>
  <c r="AP397" i="28" s="1"/>
  <c r="AP396" i="28" a="1"/>
  <c r="AP396" i="28" s="1"/>
  <c r="AP395" i="28" a="1"/>
  <c r="AP395" i="28" s="1"/>
  <c r="AP394" i="28" a="1"/>
  <c r="AP394" i="28" s="1"/>
  <c r="AP393" i="28" a="1"/>
  <c r="AP393" i="28" s="1"/>
  <c r="AP392" i="28" a="1"/>
  <c r="AP392" i="28" s="1"/>
  <c r="AP391" i="28" a="1"/>
  <c r="AP391" i="28" s="1"/>
  <c r="AP390" i="28" a="1"/>
  <c r="AP390" i="28" s="1"/>
  <c r="AP389" i="28" a="1"/>
  <c r="AP389" i="28" s="1"/>
  <c r="AP388" i="28" a="1"/>
  <c r="AP388" i="28" s="1"/>
  <c r="AP387" i="28" a="1"/>
  <c r="AP387" i="28" s="1"/>
  <c r="AP386" i="28" a="1"/>
  <c r="AP386" i="28" s="1"/>
  <c r="AP385" i="28" a="1"/>
  <c r="AP385" i="28" s="1"/>
  <c r="AP384" i="28" a="1"/>
  <c r="AP384" i="28" s="1"/>
  <c r="AP383" i="28" a="1"/>
  <c r="AP383" i="28" s="1"/>
  <c r="AP382" i="28" a="1"/>
  <c r="AP382" i="28" s="1"/>
  <c r="AP381" i="28" a="1"/>
  <c r="AP381" i="28" s="1"/>
  <c r="AP380" i="28" a="1"/>
  <c r="AP380" i="28" s="1"/>
  <c r="AP379" i="28" a="1"/>
  <c r="AP379" i="28" s="1"/>
  <c r="AP378" i="28" a="1"/>
  <c r="AP378" i="28" s="1"/>
  <c r="AP377" i="28" a="1"/>
  <c r="AP377" i="28" s="1"/>
  <c r="AP376" i="28" a="1"/>
  <c r="AP376" i="28" s="1"/>
  <c r="AP375" i="28" a="1"/>
  <c r="AP375" i="28" s="1"/>
  <c r="AP374" i="28" a="1"/>
  <c r="AP374" i="28" s="1"/>
  <c r="AP373" i="28" a="1"/>
  <c r="AP373" i="28" s="1"/>
  <c r="AP372" i="28" a="1"/>
  <c r="AP372" i="28" s="1"/>
  <c r="AP371" i="28" a="1"/>
  <c r="AP371" i="28" s="1"/>
  <c r="AP370" i="28" a="1"/>
  <c r="AP370" i="28" s="1"/>
  <c r="AP369" i="28" a="1"/>
  <c r="AP369" i="28" s="1"/>
  <c r="AP368" i="28" a="1"/>
  <c r="AP368" i="28" s="1"/>
  <c r="AP367" i="28" a="1"/>
  <c r="AP367" i="28" s="1"/>
  <c r="AP366" i="28" a="1"/>
  <c r="AP366" i="28" s="1"/>
  <c r="AP365" i="28" a="1"/>
  <c r="AP365" i="28" s="1"/>
  <c r="AP364" i="28" a="1"/>
  <c r="AP364" i="28" s="1"/>
  <c r="AP363" i="28" a="1"/>
  <c r="AP363" i="28" s="1"/>
  <c r="AP362" i="28" a="1"/>
  <c r="AP362" i="28" s="1"/>
  <c r="AP361" i="28" a="1"/>
  <c r="AP361" i="28" s="1"/>
  <c r="AP360" i="28" a="1"/>
  <c r="AP360" i="28" s="1"/>
  <c r="AP359" i="28" a="1"/>
  <c r="AP359" i="28" s="1"/>
  <c r="AP358" i="28" a="1"/>
  <c r="AP358" i="28" s="1"/>
  <c r="AP357" i="28" a="1"/>
  <c r="AP357" i="28" s="1"/>
  <c r="AP356" i="28" a="1"/>
  <c r="AP356" i="28" s="1"/>
  <c r="AP355" i="28" a="1"/>
  <c r="AP355" i="28" s="1"/>
  <c r="AP354" i="28" a="1"/>
  <c r="AP354" i="28" s="1"/>
  <c r="AP353" i="28" a="1"/>
  <c r="AP353" i="28" s="1"/>
  <c r="AP352" i="28" a="1"/>
  <c r="AP352" i="28" s="1"/>
  <c r="AP351" i="28" a="1"/>
  <c r="AP351" i="28" s="1"/>
  <c r="AP350" i="28" a="1"/>
  <c r="AP350" i="28" s="1"/>
  <c r="AP349" i="28" a="1"/>
  <c r="AP349" i="28" s="1"/>
  <c r="AP348" i="28" a="1"/>
  <c r="AP348" i="28" s="1"/>
  <c r="AP347" i="28" a="1"/>
  <c r="AP347" i="28" s="1"/>
  <c r="AP346" i="28" a="1"/>
  <c r="AP346" i="28" s="1"/>
  <c r="AP345" i="28" a="1"/>
  <c r="AP345" i="28" s="1"/>
  <c r="AP344" i="28" a="1"/>
  <c r="AP344" i="28" s="1"/>
  <c r="AP343" i="28" a="1"/>
  <c r="AP343" i="28" s="1"/>
  <c r="AP342" i="28" a="1"/>
  <c r="AP342" i="28" s="1"/>
  <c r="AP341" i="28" a="1"/>
  <c r="AP341" i="28" s="1"/>
  <c r="AP340" i="28" a="1"/>
  <c r="AP340" i="28" s="1"/>
  <c r="AP339" i="28" a="1"/>
  <c r="AP339" i="28" s="1"/>
  <c r="AP338" i="28" a="1"/>
  <c r="AP338" i="28" s="1"/>
  <c r="AP337" i="28" a="1"/>
  <c r="AP337" i="28" s="1"/>
  <c r="AP336" i="28" a="1"/>
  <c r="AP336" i="28" s="1"/>
  <c r="AP335" i="28" a="1"/>
  <c r="AP335" i="28" s="1"/>
  <c r="AP334" i="28" a="1"/>
  <c r="AP334" i="28" s="1"/>
  <c r="AP333" i="28" a="1"/>
  <c r="AP333" i="28" s="1"/>
  <c r="AP332" i="28" a="1"/>
  <c r="AP332" i="28" s="1"/>
  <c r="AP331" i="28" a="1"/>
  <c r="AP331" i="28" s="1"/>
  <c r="AP330" i="28" a="1"/>
  <c r="AP330" i="28" s="1"/>
  <c r="AP329" i="28" a="1"/>
  <c r="AP329" i="28" s="1"/>
  <c r="AP328" i="28" a="1"/>
  <c r="AP328" i="28" s="1"/>
  <c r="AP327" i="28" a="1"/>
  <c r="AP327" i="28" s="1"/>
  <c r="AP326" i="28" a="1"/>
  <c r="AP326" i="28" s="1"/>
  <c r="AP325" i="28" a="1"/>
  <c r="AP325" i="28" s="1"/>
  <c r="AP324" i="28" a="1"/>
  <c r="AP324" i="28" s="1"/>
  <c r="AP323" i="28" a="1"/>
  <c r="AP323" i="28" s="1"/>
  <c r="AP322" i="28" a="1"/>
  <c r="AP322" i="28" s="1"/>
  <c r="AP321" i="28" a="1"/>
  <c r="AP321" i="28" s="1"/>
  <c r="AP320" i="28" a="1"/>
  <c r="AP320" i="28" s="1"/>
  <c r="AP319" i="28" a="1"/>
  <c r="AP319" i="28" s="1"/>
  <c r="AP318" i="28" a="1"/>
  <c r="AP318" i="28" s="1"/>
  <c r="AP317" i="28" a="1"/>
  <c r="AP317" i="28" s="1"/>
  <c r="AP316" i="28" a="1"/>
  <c r="AP316" i="28" s="1"/>
  <c r="AP315" i="28" a="1"/>
  <c r="AP315" i="28" s="1"/>
  <c r="AP314" i="28" a="1"/>
  <c r="AP314" i="28" s="1"/>
  <c r="AP313" i="28" a="1"/>
  <c r="AP313" i="28" s="1"/>
  <c r="AP312" i="28" a="1"/>
  <c r="AP312" i="28" s="1"/>
  <c r="AP311" i="28" a="1"/>
  <c r="AP311" i="28" s="1"/>
  <c r="AP310" i="28" a="1"/>
  <c r="AP310" i="28" s="1"/>
  <c r="AP309" i="28" a="1"/>
  <c r="AP309" i="28" s="1"/>
  <c r="AP308" i="28" a="1"/>
  <c r="AP308" i="28" s="1"/>
  <c r="AP307" i="28" a="1"/>
  <c r="AP307" i="28" s="1"/>
  <c r="AP306" i="28" a="1"/>
  <c r="AP306" i="28" s="1"/>
  <c r="AP305" i="28" a="1"/>
  <c r="AP305" i="28" s="1"/>
  <c r="AP304" i="28" a="1"/>
  <c r="AP304" i="28" s="1"/>
  <c r="AP303" i="28" a="1"/>
  <c r="AP303" i="28" s="1"/>
  <c r="AP302" i="28" a="1"/>
  <c r="AP302" i="28" s="1"/>
  <c r="AP301" i="28" a="1"/>
  <c r="AP301" i="28" s="1"/>
  <c r="AP300" i="28" a="1"/>
  <c r="AP300" i="28" s="1"/>
  <c r="AP299" i="28" a="1"/>
  <c r="AP299" i="28" s="1"/>
  <c r="AP298" i="28" a="1"/>
  <c r="AP298" i="28" s="1"/>
  <c r="AP297" i="28" a="1"/>
  <c r="AP297" i="28" s="1"/>
  <c r="AP296" i="28" a="1"/>
  <c r="AP296" i="28" s="1"/>
  <c r="AP295" i="28" a="1"/>
  <c r="AP295" i="28" s="1"/>
  <c r="AP294" i="28" a="1"/>
  <c r="AP294" i="28" s="1"/>
  <c r="AP293" i="28" a="1"/>
  <c r="AP293" i="28" s="1"/>
  <c r="AP292" i="28" a="1"/>
  <c r="AP292" i="28" s="1"/>
  <c r="AP291" i="28" a="1"/>
  <c r="AP291" i="28" s="1"/>
  <c r="AP290" i="28" a="1"/>
  <c r="AP290" i="28" s="1"/>
  <c r="AP289" i="28" a="1"/>
  <c r="AP289" i="28" s="1"/>
  <c r="AP288" i="28" a="1"/>
  <c r="AP288" i="28" s="1"/>
  <c r="AP287" i="28" a="1"/>
  <c r="AP287" i="28" s="1"/>
  <c r="AP286" i="28" a="1"/>
  <c r="AP286" i="28" s="1"/>
  <c r="AP285" i="28" a="1"/>
  <c r="AP285" i="28" s="1"/>
  <c r="AP284" i="28" a="1"/>
  <c r="AP284" i="28" s="1"/>
  <c r="AP283" i="28" a="1"/>
  <c r="AP283" i="28" s="1"/>
  <c r="AP282" i="28" a="1"/>
  <c r="AP282" i="28" s="1"/>
  <c r="AP281" i="28" a="1"/>
  <c r="AP281" i="28" s="1"/>
  <c r="AP280" i="28" a="1"/>
  <c r="AP280" i="28" s="1"/>
  <c r="AP279" i="28" a="1"/>
  <c r="AP279" i="28" s="1"/>
  <c r="AP278" i="28" a="1"/>
  <c r="AP278" i="28" s="1"/>
  <c r="AP277" i="28" a="1"/>
  <c r="AP277" i="28" s="1"/>
  <c r="AP276" i="28" a="1"/>
  <c r="AP276" i="28" s="1"/>
  <c r="AP275" i="28" a="1"/>
  <c r="AP275" i="28" s="1"/>
  <c r="AP274" i="28" a="1"/>
  <c r="AP274" i="28" s="1"/>
  <c r="AP273" i="28" a="1"/>
  <c r="AP273" i="28" s="1"/>
  <c r="AP272" i="28" a="1"/>
  <c r="AP272" i="28" s="1"/>
  <c r="AP271" i="28" a="1"/>
  <c r="AP271" i="28" s="1"/>
  <c r="AP270" i="28" a="1"/>
  <c r="AP270" i="28" s="1"/>
  <c r="AP269" i="28" a="1"/>
  <c r="AP269" i="28" s="1"/>
  <c r="AP268" i="28" a="1"/>
  <c r="AP268" i="28" s="1"/>
  <c r="AP267" i="28" a="1"/>
  <c r="AP267" i="28" s="1"/>
  <c r="AP266" i="28" a="1"/>
  <c r="AP266" i="28" s="1"/>
  <c r="AP265" i="28" a="1"/>
  <c r="AP265" i="28" s="1"/>
  <c r="AP264" i="28" a="1"/>
  <c r="AP264" i="28" s="1"/>
  <c r="AP263" i="28" a="1"/>
  <c r="AP263" i="28" s="1"/>
  <c r="AP262" i="28" a="1"/>
  <c r="AP262" i="28" s="1"/>
  <c r="AP261" i="28" a="1"/>
  <c r="AP261" i="28" s="1"/>
  <c r="AP260" i="28" a="1"/>
  <c r="AP260" i="28" s="1"/>
  <c r="AP259" i="28" a="1"/>
  <c r="AP259" i="28" s="1"/>
  <c r="AP258" i="28" a="1"/>
  <c r="AP258" i="28" s="1"/>
  <c r="AP257" i="28" a="1"/>
  <c r="AP257" i="28" s="1"/>
  <c r="AP256" i="28" a="1"/>
  <c r="AP256" i="28" s="1"/>
  <c r="AP255" i="28" a="1"/>
  <c r="AP255" i="28" s="1"/>
  <c r="AP254" i="28" a="1"/>
  <c r="AP254" i="28" s="1"/>
  <c r="AP253" i="28" a="1"/>
  <c r="AP253" i="28" s="1"/>
  <c r="AP252" i="28" a="1"/>
  <c r="AP252" i="28" s="1"/>
  <c r="AP251" i="28" a="1"/>
  <c r="AP251" i="28" s="1"/>
  <c r="AP250" i="28" a="1"/>
  <c r="AP250" i="28" s="1"/>
  <c r="AP249" i="28" a="1"/>
  <c r="AP249" i="28" s="1"/>
  <c r="AP248" i="28" a="1"/>
  <c r="AP248" i="28" s="1"/>
  <c r="AP247" i="28" a="1"/>
  <c r="AP247" i="28" s="1"/>
  <c r="AP246" i="28" a="1"/>
  <c r="AP246" i="28" s="1"/>
  <c r="AP245" i="28" a="1"/>
  <c r="AP245" i="28" s="1"/>
  <c r="AP244" i="28" a="1"/>
  <c r="AP244" i="28" s="1"/>
  <c r="AP243" i="28" a="1"/>
  <c r="AP243" i="28" s="1"/>
  <c r="AP242" i="28" a="1"/>
  <c r="AP242" i="28" s="1"/>
  <c r="AP241" i="28" a="1"/>
  <c r="AP241" i="28" s="1"/>
  <c r="AP240" i="28" a="1"/>
  <c r="AP240" i="28" s="1"/>
  <c r="AP239" i="28" a="1"/>
  <c r="AP239" i="28" s="1"/>
  <c r="AP238" i="28" a="1"/>
  <c r="AP238" i="28" s="1"/>
  <c r="AP237" i="28" a="1"/>
  <c r="AP237" i="28" s="1"/>
  <c r="AP236" i="28" a="1"/>
  <c r="AP236" i="28" s="1"/>
  <c r="AP235" i="28" a="1"/>
  <c r="AP235" i="28" s="1"/>
  <c r="AP234" i="28" a="1"/>
  <c r="AP234" i="28" s="1"/>
  <c r="AP233" i="28" a="1"/>
  <c r="AP233" i="28" s="1"/>
  <c r="AP232" i="28" a="1"/>
  <c r="AP232" i="28" s="1"/>
  <c r="AP231" i="28" a="1"/>
  <c r="AP231" i="28" s="1"/>
  <c r="AP230" i="28" a="1"/>
  <c r="AP230" i="28" s="1"/>
  <c r="AP229" i="28" a="1"/>
  <c r="AP229" i="28" s="1"/>
  <c r="AP228" i="28" a="1"/>
  <c r="AP228" i="28" s="1"/>
  <c r="AP227" i="28" a="1"/>
  <c r="AP227" i="28" s="1"/>
  <c r="AP226" i="28" a="1"/>
  <c r="AP226" i="28" s="1"/>
  <c r="AP225" i="28" a="1"/>
  <c r="AP225" i="28" s="1"/>
  <c r="AP224" i="28" a="1"/>
  <c r="AP224" i="28" s="1"/>
  <c r="AP223" i="28" a="1"/>
  <c r="AP223" i="28" s="1"/>
  <c r="AP222" i="28" a="1"/>
  <c r="AP222" i="28" s="1"/>
  <c r="AP221" i="28" a="1"/>
  <c r="AP221" i="28" s="1"/>
  <c r="AP220" i="28" a="1"/>
  <c r="AP220" i="28" s="1"/>
  <c r="AP219" i="28" a="1"/>
  <c r="AP219" i="28" s="1"/>
  <c r="AP218" i="28" a="1"/>
  <c r="AP218" i="28" s="1"/>
  <c r="AP217" i="28" a="1"/>
  <c r="AP217" i="28" s="1"/>
  <c r="AP216" i="28" a="1"/>
  <c r="AP216" i="28" s="1"/>
  <c r="AP215" i="28" a="1"/>
  <c r="AP215" i="28" s="1"/>
  <c r="AP214" i="28" a="1"/>
  <c r="AP214" i="28" s="1"/>
  <c r="AP213" i="28" a="1"/>
  <c r="AP213" i="28" s="1"/>
  <c r="AP212" i="28" a="1"/>
  <c r="AP212" i="28" s="1"/>
  <c r="AP211" i="28" a="1"/>
  <c r="AP211" i="28" s="1"/>
  <c r="AP210" i="28" a="1"/>
  <c r="AP210" i="28" s="1"/>
  <c r="AP209" i="28" a="1"/>
  <c r="AP209" i="28" s="1"/>
  <c r="AP208" i="28" a="1"/>
  <c r="AP208" i="28" s="1"/>
  <c r="AP207" i="28" a="1"/>
  <c r="AP207" i="28" s="1"/>
  <c r="AP206" i="28" a="1"/>
  <c r="AP206" i="28" s="1"/>
  <c r="AP205" i="28" a="1"/>
  <c r="AP205" i="28" s="1"/>
  <c r="AP204" i="28" a="1"/>
  <c r="AP204" i="28" s="1"/>
  <c r="AP203" i="28" a="1"/>
  <c r="AP203" i="28" s="1"/>
  <c r="AP202" i="28" a="1"/>
  <c r="AP202" i="28" s="1"/>
  <c r="AP201" i="28" a="1"/>
  <c r="AP201" i="28" s="1"/>
  <c r="AP200" i="28" a="1"/>
  <c r="AP200" i="28" s="1"/>
  <c r="AP199" i="28" a="1"/>
  <c r="AP199" i="28" s="1"/>
  <c r="AP198" i="28" a="1"/>
  <c r="AP198" i="28" s="1"/>
  <c r="AP197" i="28" a="1"/>
  <c r="AP197" i="28" s="1"/>
  <c r="AP196" i="28" a="1"/>
  <c r="AP196" i="28" s="1"/>
  <c r="AP195" i="28" a="1"/>
  <c r="AP195" i="28" s="1"/>
  <c r="AP194" i="28" a="1"/>
  <c r="AP194" i="28" s="1"/>
  <c r="AP193" i="28" a="1"/>
  <c r="AP193" i="28" s="1"/>
  <c r="AP192" i="28" a="1"/>
  <c r="AP192" i="28" s="1"/>
  <c r="AP191" i="28" a="1"/>
  <c r="AP191" i="28" s="1"/>
  <c r="AP190" i="28" a="1"/>
  <c r="AP190" i="28" s="1"/>
  <c r="AP189" i="28" a="1"/>
  <c r="AP189" i="28" s="1"/>
  <c r="AP188" i="28" a="1"/>
  <c r="AP188" i="28" s="1"/>
  <c r="AP187" i="28" a="1"/>
  <c r="AP187" i="28" s="1"/>
  <c r="AP186" i="28" a="1"/>
  <c r="AP186" i="28" s="1"/>
  <c r="AP185" i="28" a="1"/>
  <c r="AP185" i="28" s="1"/>
  <c r="AP184" i="28" a="1"/>
  <c r="AP184" i="28" s="1"/>
  <c r="AP183" i="28" a="1"/>
  <c r="AP183" i="28" s="1"/>
  <c r="AP182" i="28" a="1"/>
  <c r="AP182" i="28" s="1"/>
  <c r="AP181" i="28" a="1"/>
  <c r="AP181" i="28" s="1"/>
  <c r="AP180" i="28" a="1"/>
  <c r="AP180" i="28" s="1"/>
  <c r="AP179" i="28" a="1"/>
  <c r="AP179" i="28" s="1"/>
  <c r="AP178" i="28" a="1"/>
  <c r="AP178" i="28" s="1"/>
  <c r="AP177" i="28" a="1"/>
  <c r="AP177" i="28" s="1"/>
  <c r="AP176" i="28" a="1"/>
  <c r="AP176" i="28" s="1"/>
  <c r="AP175" i="28" a="1"/>
  <c r="AP175" i="28" s="1"/>
  <c r="AP174" i="28" a="1"/>
  <c r="AP174" i="28" s="1"/>
  <c r="AP173" i="28" a="1"/>
  <c r="AP173" i="28" s="1"/>
  <c r="AP172" i="28" a="1"/>
  <c r="AP172" i="28" s="1"/>
  <c r="AP171" i="28" a="1"/>
  <c r="AP171" i="28" s="1"/>
  <c r="AP170" i="28" a="1"/>
  <c r="AP170" i="28" s="1"/>
  <c r="AP169" i="28" a="1"/>
  <c r="AP169" i="28" s="1"/>
  <c r="AP168" i="28" a="1"/>
  <c r="AP168" i="28" s="1"/>
  <c r="AP167" i="28" a="1"/>
  <c r="AP167" i="28" s="1"/>
  <c r="AP166" i="28" a="1"/>
  <c r="AP166" i="28" s="1"/>
  <c r="AP165" i="28" a="1"/>
  <c r="AP165" i="28" s="1"/>
  <c r="AP164" i="28" a="1"/>
  <c r="AP164" i="28" s="1"/>
  <c r="AP163" i="28" a="1"/>
  <c r="AP163" i="28" s="1"/>
  <c r="AP162" i="28" a="1"/>
  <c r="AP162" i="28" s="1"/>
  <c r="AP161" i="28" a="1"/>
  <c r="AP161" i="28" s="1"/>
  <c r="AP160" i="28" a="1"/>
  <c r="AP160" i="28" s="1"/>
  <c r="AP159" i="28" a="1"/>
  <c r="AP159" i="28" s="1"/>
  <c r="AP158" i="28" a="1"/>
  <c r="AP158" i="28" s="1"/>
  <c r="AP157" i="28" a="1"/>
  <c r="AP157" i="28" s="1"/>
  <c r="AP156" i="28" a="1"/>
  <c r="AP156" i="28" s="1"/>
  <c r="AP155" i="28" a="1"/>
  <c r="AP155" i="28" s="1"/>
  <c r="AP154" i="28" a="1"/>
  <c r="AP154" i="28" s="1"/>
  <c r="AP153" i="28" a="1"/>
  <c r="AP153" i="28" s="1"/>
  <c r="AP152" i="28" a="1"/>
  <c r="AP152" i="28" s="1"/>
  <c r="AP151" i="28" a="1"/>
  <c r="AP151" i="28" s="1"/>
  <c r="AP150" i="28" a="1"/>
  <c r="AP150" i="28" s="1"/>
  <c r="AP149" i="28" a="1"/>
  <c r="AP149" i="28" s="1"/>
  <c r="AP148" i="28" a="1"/>
  <c r="AP148" i="28" s="1"/>
  <c r="AP147" i="28" a="1"/>
  <c r="AP147" i="28" s="1"/>
  <c r="AP146" i="28" a="1"/>
  <c r="AP146" i="28" s="1"/>
  <c r="AP145" i="28" a="1"/>
  <c r="AP145" i="28" s="1"/>
  <c r="AP144" i="28" a="1"/>
  <c r="AP144" i="28" s="1"/>
  <c r="AP143" i="28" a="1"/>
  <c r="AP143" i="28" s="1"/>
  <c r="AP142" i="28" a="1"/>
  <c r="AP142" i="28" s="1"/>
  <c r="AP141" i="28" a="1"/>
  <c r="AP141" i="28" s="1"/>
  <c r="AP140" i="28" a="1"/>
  <c r="AP140" i="28" s="1"/>
  <c r="AP139" i="28" a="1"/>
  <c r="AP139" i="28" s="1"/>
  <c r="AP138" i="28" a="1"/>
  <c r="AP138" i="28" s="1"/>
  <c r="AP137" i="28" a="1"/>
  <c r="AP137" i="28" s="1"/>
  <c r="AP136" i="28" a="1"/>
  <c r="AP136" i="28" s="1"/>
  <c r="AP135" i="28" a="1"/>
  <c r="AP135" i="28" s="1"/>
  <c r="AP134" i="28" a="1"/>
  <c r="AP134" i="28" s="1"/>
  <c r="AP133" i="28" a="1"/>
  <c r="AP133" i="28" s="1"/>
  <c r="AP132" i="28" a="1"/>
  <c r="AP132" i="28" s="1"/>
  <c r="AP131" i="28" a="1"/>
  <c r="AP131" i="28" s="1"/>
  <c r="AP130" i="28" a="1"/>
  <c r="AP130" i="28" s="1"/>
  <c r="AP129" i="28" a="1"/>
  <c r="AP129" i="28" s="1"/>
  <c r="AP128" i="28" a="1"/>
  <c r="AP128" i="28" s="1"/>
  <c r="AP127" i="28" a="1"/>
  <c r="AP127" i="28" s="1"/>
  <c r="AP126" i="28" a="1"/>
  <c r="AP126" i="28" s="1"/>
  <c r="AP125" i="28" a="1"/>
  <c r="AP125" i="28" s="1"/>
  <c r="AP124" i="28" a="1"/>
  <c r="AP124" i="28" s="1"/>
  <c r="AP123" i="28" a="1"/>
  <c r="AP123" i="28" s="1"/>
  <c r="AP122" i="28" a="1"/>
  <c r="AP122" i="28" s="1"/>
  <c r="AP121" i="28" a="1"/>
  <c r="AP121" i="28" s="1"/>
  <c r="AP120" i="28" a="1"/>
  <c r="AP120" i="28" s="1"/>
  <c r="AP119" i="28" a="1"/>
  <c r="AP119" i="28" s="1"/>
  <c r="AP118" i="28" a="1"/>
  <c r="AP118" i="28" s="1"/>
  <c r="AP117" i="28" a="1"/>
  <c r="AP117" i="28" s="1"/>
  <c r="AP116" i="28" a="1"/>
  <c r="AP116" i="28" s="1"/>
  <c r="AP115" i="28" a="1"/>
  <c r="AP115" i="28" s="1"/>
  <c r="AP114" i="28" a="1"/>
  <c r="AP114" i="28" s="1"/>
  <c r="AP113" i="28" a="1"/>
  <c r="AP113" i="28" s="1"/>
  <c r="AP112" i="28" a="1"/>
  <c r="AP112" i="28" s="1"/>
  <c r="AP111" i="28" a="1"/>
  <c r="AP111" i="28" s="1"/>
  <c r="AP110" i="28" a="1"/>
  <c r="AP110" i="28" s="1"/>
  <c r="AP109" i="28" a="1"/>
  <c r="AP109" i="28" s="1"/>
  <c r="AP108" i="28" a="1"/>
  <c r="AP108" i="28" s="1"/>
  <c r="AP107" i="28" a="1"/>
  <c r="AP107" i="28" s="1"/>
  <c r="AP106" i="28" a="1"/>
  <c r="AP106" i="28" s="1"/>
  <c r="AP105" i="28" a="1"/>
  <c r="AP105" i="28" s="1"/>
  <c r="AP104" i="28" a="1"/>
  <c r="AP104" i="28" s="1"/>
  <c r="AP103" i="28" a="1"/>
  <c r="AP103" i="28" s="1"/>
  <c r="AP102" i="28" a="1"/>
  <c r="AP102" i="28" s="1"/>
  <c r="AP101" i="28" a="1"/>
  <c r="AP101" i="28" s="1"/>
  <c r="AP100" i="28" a="1"/>
  <c r="AP100" i="28" s="1"/>
  <c r="AP99" i="28" a="1"/>
  <c r="AP99" i="28" s="1"/>
  <c r="AP98" i="28" a="1"/>
  <c r="AP98" i="28" s="1"/>
  <c r="AP97" i="28" a="1"/>
  <c r="AP97" i="28" s="1"/>
  <c r="AP96" i="28" a="1"/>
  <c r="AP96" i="28" s="1"/>
  <c r="AP95" i="28" a="1"/>
  <c r="AP95" i="28" s="1"/>
  <c r="AP94" i="28" a="1"/>
  <c r="AP94" i="28" s="1"/>
  <c r="AP93" i="28" a="1"/>
  <c r="AP93" i="28" s="1"/>
  <c r="AP92" i="28" a="1"/>
  <c r="AP92" i="28" s="1"/>
  <c r="AP91" i="28" a="1"/>
  <c r="AP91" i="28" s="1"/>
  <c r="AP90" i="28" a="1"/>
  <c r="AP90" i="28" s="1"/>
  <c r="AP89" i="28" a="1"/>
  <c r="AP89" i="28" s="1"/>
  <c r="AP88" i="28" a="1"/>
  <c r="AP88" i="28" s="1"/>
  <c r="AP87" i="28" a="1"/>
  <c r="AP87" i="28" s="1"/>
  <c r="AP86" i="28" a="1"/>
  <c r="AP86" i="28" s="1"/>
  <c r="AP85" i="28" a="1"/>
  <c r="AP85" i="28" s="1"/>
  <c r="AP84" i="28" a="1"/>
  <c r="AP84" i="28" s="1"/>
  <c r="AP83" i="28" a="1"/>
  <c r="AP83" i="28" s="1"/>
  <c r="AP82" i="28" a="1"/>
  <c r="AP82" i="28" s="1"/>
  <c r="AP81" i="28" a="1"/>
  <c r="AP81" i="28" s="1"/>
  <c r="AP80" i="28" a="1"/>
  <c r="AP80" i="28" s="1"/>
  <c r="AP79" i="28" a="1"/>
  <c r="AP79" i="28" s="1"/>
  <c r="AP78" i="28" a="1"/>
  <c r="AP78" i="28" s="1"/>
  <c r="AP77" i="28" a="1"/>
  <c r="AP77" i="28" s="1"/>
  <c r="AP76" i="28" a="1"/>
  <c r="AP76" i="28" s="1"/>
  <c r="AP75" i="28" a="1"/>
  <c r="AP75" i="28" s="1"/>
  <c r="AP74" i="28" a="1"/>
  <c r="AP74" i="28" s="1"/>
  <c r="AP73" i="28" a="1"/>
  <c r="AP73" i="28" s="1"/>
  <c r="AP72" i="28" a="1"/>
  <c r="AP72" i="28" s="1"/>
  <c r="AP71" i="28" a="1"/>
  <c r="AP71" i="28" s="1"/>
  <c r="AP70" i="28" a="1"/>
  <c r="AP70" i="28" s="1"/>
  <c r="AP69" i="28" a="1"/>
  <c r="AP69" i="28" s="1"/>
  <c r="AP68" i="28" a="1"/>
  <c r="AP68" i="28" s="1"/>
  <c r="AP67" i="28" a="1"/>
  <c r="AP67" i="28" s="1"/>
  <c r="AP66" i="28" a="1"/>
  <c r="AP66" i="28" s="1"/>
  <c r="AP65" i="28" a="1"/>
  <c r="AP65" i="28" s="1"/>
  <c r="AP64" i="28" a="1"/>
  <c r="AP64" i="28" s="1"/>
  <c r="AP63" i="28" a="1"/>
  <c r="AP63" i="28" s="1"/>
  <c r="AP62" i="28" a="1"/>
  <c r="AP62" i="28" s="1"/>
  <c r="AP61" i="28" a="1"/>
  <c r="AP61" i="28" s="1"/>
  <c r="AP60" i="28" a="1"/>
  <c r="AP60" i="28" s="1"/>
  <c r="AP59" i="28" a="1"/>
  <c r="AP59" i="28" s="1"/>
  <c r="AP58" i="28" a="1"/>
  <c r="AP58" i="28" s="1"/>
  <c r="AP57" i="28" a="1"/>
  <c r="AP57" i="28" s="1"/>
  <c r="AP56" i="28" a="1"/>
  <c r="AP56" i="28" s="1"/>
  <c r="AP55" i="28" a="1"/>
  <c r="AP55" i="28" s="1"/>
  <c r="AP54" i="28" a="1"/>
  <c r="AP54" i="28" s="1"/>
  <c r="AP53" i="28" a="1"/>
  <c r="AP53" i="28" s="1"/>
  <c r="AP52" i="28" a="1"/>
  <c r="AP52" i="28" s="1"/>
  <c r="AP51" i="28" a="1"/>
  <c r="AP51" i="28" s="1"/>
  <c r="AP50" i="28" a="1"/>
  <c r="AP50" i="28" s="1"/>
  <c r="AP49" i="28" a="1"/>
  <c r="AP49" i="28" s="1"/>
  <c r="AP48" i="28" a="1"/>
  <c r="AP48" i="28" s="1"/>
  <c r="AP47" i="28" a="1"/>
  <c r="AP47" i="28" s="1"/>
  <c r="AP46" i="28" a="1"/>
  <c r="AP46" i="28" s="1"/>
  <c r="AP45" i="28" a="1"/>
  <c r="AP45" i="28" s="1"/>
  <c r="AP44" i="28" a="1"/>
  <c r="AP44" i="28" s="1"/>
  <c r="AP43" i="28" a="1"/>
  <c r="AP43" i="28" s="1"/>
  <c r="AP42" i="28" a="1"/>
  <c r="AP42" i="28" s="1"/>
  <c r="AP41" i="28" a="1"/>
  <c r="AP41" i="28" s="1"/>
  <c r="AP40" i="28" a="1"/>
  <c r="AP40" i="28" s="1"/>
  <c r="AP39" i="28" a="1"/>
  <c r="AP39" i="28" s="1"/>
  <c r="AP34" i="28" a="1"/>
  <c r="AP34" i="28" s="1"/>
  <c r="AP33" i="28" a="1"/>
  <c r="AP33" i="28" s="1"/>
  <c r="AP27" i="28" a="1"/>
  <c r="AP27" i="28" s="1"/>
  <c r="AP26" i="28" a="1"/>
  <c r="AP26" i="28" s="1"/>
  <c r="AP25" i="28" a="1"/>
  <c r="AP25" i="28" s="1"/>
  <c r="AP24" i="28" a="1"/>
  <c r="AP24" i="28" s="1"/>
  <c r="AP23" i="28" a="1"/>
  <c r="AP23" i="28" s="1"/>
  <c r="AP21" i="28" a="1"/>
  <c r="AP21" i="28" s="1"/>
  <c r="AP18" i="28" a="1"/>
  <c r="AP18" i="28" s="1"/>
  <c r="AP13" i="28" a="1"/>
  <c r="AP13" i="28" s="1"/>
  <c r="AP12" i="28" a="1"/>
  <c r="AP12" i="28" s="1"/>
  <c r="AP11" i="28" a="1"/>
  <c r="AP11" i="28" s="1"/>
  <c r="AP10" i="28" a="1"/>
  <c r="AP10" i="28" s="1"/>
  <c r="AP22" i="28" a="1"/>
  <c r="AP22" i="28" s="1"/>
  <c r="AP35" i="28" a="1"/>
  <c r="AP35" i="28" s="1"/>
  <c r="AP8" i="28" a="1"/>
  <c r="AP8" i="28" s="1"/>
  <c r="AP9" i="28" a="1"/>
  <c r="AP9" i="28" s="1"/>
  <c r="AP37" i="28" a="1"/>
  <c r="AP37" i="28" s="1"/>
  <c r="AP36" i="28" a="1"/>
  <c r="AP36" i="28" s="1"/>
  <c r="AP38" i="28" a="1"/>
  <c r="AP38" i="28" s="1"/>
  <c r="AP28" i="28" a="1"/>
  <c r="AP28" i="28" s="1"/>
  <c r="AP14" i="28" l="1" a="1"/>
  <c r="AP14" i="28" s="1"/>
  <c r="AP15" i="28" a="1"/>
  <c r="AP15" i="28" s="1"/>
  <c r="AP29" i="28" a="1"/>
  <c r="AP29" i="28" s="1"/>
  <c r="AP30" i="28" a="1"/>
  <c r="AP30" i="28" s="1"/>
  <c r="AP16" i="28" a="1"/>
  <c r="AP16" i="28" s="1"/>
  <c r="AP31" i="28" a="1"/>
  <c r="AP31" i="28" s="1"/>
  <c r="AP17" i="28" a="1"/>
  <c r="AP17" i="28" s="1"/>
  <c r="AP32" i="28" a="1"/>
  <c r="AP32" i="28" s="1"/>
  <c r="AP19" i="28" a="1"/>
  <c r="AP19" i="28" s="1"/>
  <c r="AP20" i="28" a="1"/>
  <c r="AP20" i="28" s="1"/>
  <c r="C74" i="57"/>
  <c r="B73" i="57"/>
  <c r="A2" i="32"/>
  <c r="B70" i="57"/>
  <c r="C14" i="59"/>
  <c r="B14" i="59"/>
  <c r="C117" i="59"/>
  <c r="C116" i="59"/>
  <c r="C115" i="59"/>
  <c r="C114" i="59"/>
  <c r="C113" i="59"/>
  <c r="C112" i="59"/>
  <c r="C111" i="59"/>
  <c r="C110" i="59"/>
  <c r="C109" i="59"/>
  <c r="C108" i="59"/>
  <c r="C107" i="59"/>
  <c r="C106" i="59"/>
  <c r="C105" i="59"/>
  <c r="C104" i="59"/>
  <c r="C103" i="59"/>
  <c r="C102" i="59"/>
  <c r="C101" i="59"/>
  <c r="C100" i="59"/>
  <c r="C99" i="59"/>
  <c r="C98" i="59"/>
  <c r="C97" i="59"/>
  <c r="C96" i="59"/>
  <c r="C95" i="59"/>
  <c r="C94" i="59"/>
  <c r="C93" i="59"/>
  <c r="C92" i="59"/>
  <c r="C91" i="59"/>
  <c r="C90" i="59"/>
  <c r="C89" i="59"/>
  <c r="C88" i="59"/>
  <c r="C87" i="59"/>
  <c r="C86" i="59"/>
  <c r="C85" i="59"/>
  <c r="C84" i="59"/>
  <c r="C83" i="59"/>
  <c r="C82" i="59"/>
  <c r="C81" i="59"/>
  <c r="C80" i="59"/>
  <c r="C79" i="59"/>
  <c r="C78" i="59"/>
  <c r="C77" i="59"/>
  <c r="C76" i="59"/>
  <c r="C75" i="59"/>
  <c r="C74" i="59"/>
  <c r="C73" i="59"/>
  <c r="C72" i="59"/>
  <c r="C71" i="59"/>
  <c r="C70" i="59"/>
  <c r="C69" i="59"/>
  <c r="C68" i="59"/>
  <c r="C67" i="59"/>
  <c r="C66" i="59"/>
  <c r="C65" i="59"/>
  <c r="C64" i="59"/>
  <c r="C63" i="59"/>
  <c r="C62" i="59"/>
  <c r="C61" i="59"/>
  <c r="C60" i="59"/>
  <c r="C59" i="59"/>
  <c r="C58" i="59"/>
  <c r="C57" i="59"/>
  <c r="C56" i="59"/>
  <c r="C55" i="59"/>
  <c r="C54" i="59"/>
  <c r="C53" i="59"/>
  <c r="C52" i="59"/>
  <c r="C51" i="59"/>
  <c r="C50" i="59"/>
  <c r="C49" i="59"/>
  <c r="C48" i="59"/>
  <c r="C47" i="59"/>
  <c r="C46" i="59"/>
  <c r="C45" i="59"/>
  <c r="C44" i="59"/>
  <c r="C43" i="59"/>
  <c r="C42" i="59"/>
  <c r="C41" i="59"/>
  <c r="C40" i="59"/>
  <c r="C39" i="59"/>
  <c r="C38" i="59"/>
  <c r="C37" i="59"/>
  <c r="C36" i="59"/>
  <c r="C35" i="59"/>
  <c r="B117" i="59"/>
  <c r="B116" i="59"/>
  <c r="B115" i="59"/>
  <c r="B114" i="59"/>
  <c r="B113" i="59"/>
  <c r="B112" i="59"/>
  <c r="B111" i="59"/>
  <c r="B110" i="59"/>
  <c r="B109" i="59"/>
  <c r="B108" i="59"/>
  <c r="B107" i="59"/>
  <c r="B106" i="59"/>
  <c r="B105" i="59"/>
  <c r="B104" i="59"/>
  <c r="B103" i="59"/>
  <c r="B102" i="59"/>
  <c r="B101" i="59"/>
  <c r="B100" i="59"/>
  <c r="B99" i="59"/>
  <c r="B98" i="59"/>
  <c r="B97" i="59"/>
  <c r="B96" i="59"/>
  <c r="B95" i="59"/>
  <c r="B94" i="59"/>
  <c r="B93" i="59"/>
  <c r="B92" i="59"/>
  <c r="B91" i="59"/>
  <c r="B90" i="59"/>
  <c r="B89" i="59"/>
  <c r="B88" i="59"/>
  <c r="B87" i="59"/>
  <c r="B86" i="59"/>
  <c r="B85" i="59"/>
  <c r="B84" i="59"/>
  <c r="B83" i="59"/>
  <c r="B82" i="59"/>
  <c r="B81" i="59"/>
  <c r="B80" i="59"/>
  <c r="B79" i="59"/>
  <c r="B78" i="59"/>
  <c r="B77" i="59"/>
  <c r="B76" i="59"/>
  <c r="B75" i="59"/>
  <c r="B74" i="59"/>
  <c r="B73" i="59"/>
  <c r="B72" i="59"/>
  <c r="B71" i="59"/>
  <c r="B70" i="59"/>
  <c r="B69" i="59"/>
  <c r="B68" i="59"/>
  <c r="B67" i="59"/>
  <c r="B66" i="59"/>
  <c r="B65" i="59"/>
  <c r="B64" i="59"/>
  <c r="B63" i="59"/>
  <c r="B62" i="59"/>
  <c r="B61" i="59"/>
  <c r="B60" i="59"/>
  <c r="B59" i="59"/>
  <c r="B58" i="59"/>
  <c r="B57" i="59"/>
  <c r="B56" i="59"/>
  <c r="B55" i="59"/>
  <c r="B54" i="59"/>
  <c r="B53" i="59"/>
  <c r="B52" i="59"/>
  <c r="B51" i="59"/>
  <c r="B50" i="59"/>
  <c r="B49" i="59"/>
  <c r="B48" i="59"/>
  <c r="B47" i="59"/>
  <c r="B46" i="59"/>
  <c r="B45" i="59"/>
  <c r="B44" i="59"/>
  <c r="B43" i="59"/>
  <c r="B42" i="59"/>
  <c r="B41" i="59"/>
  <c r="B40" i="59"/>
  <c r="B39" i="59"/>
  <c r="B38" i="59"/>
  <c r="B37" i="59"/>
  <c r="B36" i="59"/>
  <c r="B35" i="59"/>
  <c r="A3" i="59"/>
  <c r="B71" i="57" s="1"/>
  <c r="K2" i="58"/>
  <c r="F2" i="58"/>
  <c r="A3" i="58"/>
  <c r="A23" i="48"/>
  <c r="A22" i="48"/>
  <c r="A21" i="48"/>
  <c r="A20" i="48"/>
  <c r="A9" i="59" a="1"/>
  <c r="A9" i="59" s="1"/>
  <c r="C9" i="59" s="1"/>
  <c r="O57" i="36"/>
  <c r="O56" i="36"/>
  <c r="O55" i="36"/>
  <c r="O54" i="36"/>
  <c r="O53" i="36"/>
  <c r="O52" i="36"/>
  <c r="O51" i="36"/>
  <c r="O50" i="36"/>
  <c r="O49" i="36"/>
  <c r="O48" i="36"/>
  <c r="O47" i="36"/>
  <c r="O46" i="36"/>
  <c r="O45" i="36"/>
  <c r="O44" i="36"/>
  <c r="O43" i="36"/>
  <c r="O42" i="36"/>
  <c r="O41" i="36"/>
  <c r="O40" i="36"/>
  <c r="O39" i="36"/>
  <c r="O38" i="36"/>
  <c r="O37" i="36"/>
  <c r="O36" i="36"/>
  <c r="O35" i="36"/>
  <c r="O34" i="36"/>
  <c r="O33" i="36"/>
  <c r="O32" i="36"/>
  <c r="O31" i="36"/>
  <c r="O30" i="36"/>
  <c r="O29" i="36"/>
  <c r="O28" i="36"/>
  <c r="O27" i="36"/>
  <c r="D12" i="39"/>
  <c r="A12" i="39"/>
  <c r="B64" i="57"/>
  <c r="B61" i="57"/>
  <c r="C65" i="57"/>
  <c r="B52" i="57"/>
  <c r="B10" i="59" l="1"/>
  <c r="B62" i="57"/>
  <c r="B12" i="59"/>
  <c r="B9" i="59"/>
  <c r="B11" i="59"/>
  <c r="C10" i="59"/>
  <c r="C11" i="59"/>
  <c r="C12" i="59"/>
  <c r="D11" i="39"/>
  <c r="D9" i="39"/>
  <c r="D8" i="39"/>
  <c r="D7" i="39"/>
  <c r="A11" i="39"/>
  <c r="A9" i="39"/>
  <c r="A8" i="39"/>
  <c r="A7" i="39"/>
  <c r="A2" i="28"/>
  <c r="B53" i="57" s="1"/>
  <c r="B55" i="57"/>
  <c r="C56" i="57"/>
  <c r="B54" i="57"/>
  <c r="C47" i="57"/>
  <c r="B43" i="57"/>
  <c r="B46" i="57"/>
  <c r="B45" i="57"/>
  <c r="A2" i="36"/>
  <c r="B44" i="57" s="1"/>
  <c r="G1" i="46"/>
  <c r="E1" i="39"/>
  <c r="N19" i="36"/>
  <c r="O19" i="36" s="1"/>
  <c r="N20" i="36"/>
  <c r="O20" i="36" s="1"/>
  <c r="U6" i="50"/>
  <c r="L6" i="50"/>
  <c r="K6" i="50"/>
  <c r="J6" i="50"/>
  <c r="B6" i="50"/>
  <c r="C6" i="50"/>
  <c r="D6" i="50"/>
  <c r="E6" i="50"/>
  <c r="F6" i="50"/>
  <c r="G6" i="50"/>
  <c r="I6" i="50"/>
  <c r="H6" i="50"/>
  <c r="A6" i="50"/>
  <c r="B37" i="41" l="1"/>
  <c r="W6" i="50" s="1"/>
  <c r="B36" i="41"/>
  <c r="B3" i="40"/>
  <c r="D31" i="39" l="1"/>
  <c r="V6" i="50"/>
  <c r="U507" i="28"/>
  <c r="U506" i="28"/>
  <c r="U505" i="28"/>
  <c r="U504" i="28"/>
  <c r="U503" i="28"/>
  <c r="U502" i="28"/>
  <c r="U501" i="28"/>
  <c r="U500" i="28"/>
  <c r="U499" i="28"/>
  <c r="U498" i="28"/>
  <c r="U497" i="28"/>
  <c r="U496" i="28"/>
  <c r="U495" i="28"/>
  <c r="U494" i="28"/>
  <c r="U493" i="28"/>
  <c r="U492" i="28"/>
  <c r="U491" i="28"/>
  <c r="U490" i="28"/>
  <c r="U489" i="28"/>
  <c r="U488" i="28"/>
  <c r="U487" i="28"/>
  <c r="U486" i="28"/>
  <c r="U485" i="28"/>
  <c r="U484" i="28"/>
  <c r="U483" i="28"/>
  <c r="U482" i="28"/>
  <c r="U481" i="28"/>
  <c r="U480" i="28"/>
  <c r="U479" i="28"/>
  <c r="U478" i="28"/>
  <c r="U477" i="28"/>
  <c r="U476" i="28"/>
  <c r="U475" i="28"/>
  <c r="U474" i="28"/>
  <c r="U473" i="28"/>
  <c r="U472" i="28"/>
  <c r="U471" i="28"/>
  <c r="U470" i="28"/>
  <c r="U469" i="28"/>
  <c r="U468" i="28"/>
  <c r="U467" i="28"/>
  <c r="U466" i="28"/>
  <c r="U465" i="28"/>
  <c r="U464" i="28"/>
  <c r="U463" i="28"/>
  <c r="U462" i="28"/>
  <c r="U461" i="28"/>
  <c r="U460" i="28"/>
  <c r="U459" i="28"/>
  <c r="U458" i="28"/>
  <c r="U457" i="28"/>
  <c r="U456" i="28"/>
  <c r="U455" i="28"/>
  <c r="U454" i="28"/>
  <c r="U453" i="28"/>
  <c r="U452" i="28"/>
  <c r="U451" i="28"/>
  <c r="U450" i="28"/>
  <c r="U449" i="28"/>
  <c r="U448" i="28"/>
  <c r="U447" i="28"/>
  <c r="U446" i="28"/>
  <c r="U445" i="28"/>
  <c r="U444" i="28"/>
  <c r="U443" i="28"/>
  <c r="U442" i="28"/>
  <c r="U441" i="28"/>
  <c r="U440" i="28"/>
  <c r="U439" i="28"/>
  <c r="U438" i="28"/>
  <c r="U437" i="28"/>
  <c r="U436" i="28"/>
  <c r="U435" i="28"/>
  <c r="U434" i="28"/>
  <c r="U433" i="28"/>
  <c r="U432" i="28"/>
  <c r="U431" i="28"/>
  <c r="U430" i="28"/>
  <c r="U429" i="28"/>
  <c r="U428" i="28"/>
  <c r="U427" i="28"/>
  <c r="U426" i="28"/>
  <c r="U425" i="28"/>
  <c r="U424" i="28"/>
  <c r="U423" i="28"/>
  <c r="U422" i="28"/>
  <c r="U421" i="28"/>
  <c r="U420" i="28"/>
  <c r="U419" i="28"/>
  <c r="U418" i="28"/>
  <c r="U417" i="28"/>
  <c r="U416" i="28"/>
  <c r="U415" i="28"/>
  <c r="U414" i="28"/>
  <c r="U413" i="28"/>
  <c r="U412" i="28"/>
  <c r="U411" i="28"/>
  <c r="U410" i="28"/>
  <c r="U409" i="28"/>
  <c r="U408" i="28"/>
  <c r="U407" i="28"/>
  <c r="U406" i="28"/>
  <c r="U405" i="28"/>
  <c r="U404" i="28"/>
  <c r="U403" i="28"/>
  <c r="U402" i="28"/>
  <c r="U401" i="28"/>
  <c r="U400" i="28"/>
  <c r="U399" i="28"/>
  <c r="U398" i="28"/>
  <c r="U397" i="28"/>
  <c r="U396" i="28"/>
  <c r="U395" i="28"/>
  <c r="U394" i="28"/>
  <c r="U393" i="28"/>
  <c r="U392" i="28"/>
  <c r="U391" i="28"/>
  <c r="U390" i="28"/>
  <c r="U389" i="28"/>
  <c r="U388" i="28"/>
  <c r="U387" i="28"/>
  <c r="U386" i="28"/>
  <c r="U385" i="28"/>
  <c r="U384" i="28"/>
  <c r="U383" i="28"/>
  <c r="U382" i="28"/>
  <c r="U381" i="28"/>
  <c r="U380" i="28"/>
  <c r="U379" i="28"/>
  <c r="U378" i="28"/>
  <c r="U377" i="28"/>
  <c r="U376" i="28"/>
  <c r="U375" i="28"/>
  <c r="U374" i="28"/>
  <c r="U373" i="28"/>
  <c r="U372" i="28"/>
  <c r="U371" i="28"/>
  <c r="U370" i="28"/>
  <c r="U369" i="28"/>
  <c r="U368" i="28"/>
  <c r="U367" i="28"/>
  <c r="U366" i="28"/>
  <c r="U365" i="28"/>
  <c r="U364" i="28"/>
  <c r="U363" i="28"/>
  <c r="U362" i="28"/>
  <c r="U361" i="28"/>
  <c r="U360" i="28"/>
  <c r="U359" i="28"/>
  <c r="U358" i="28"/>
  <c r="U357" i="28"/>
  <c r="U356" i="28"/>
  <c r="U355" i="28"/>
  <c r="U354" i="28"/>
  <c r="U353" i="28"/>
  <c r="U352" i="28"/>
  <c r="U351" i="28"/>
  <c r="U350" i="28"/>
  <c r="U349" i="28"/>
  <c r="U348" i="28"/>
  <c r="U347" i="28"/>
  <c r="U346" i="28"/>
  <c r="U345" i="28"/>
  <c r="U344" i="28"/>
  <c r="U343" i="28"/>
  <c r="U342" i="28"/>
  <c r="U341" i="28"/>
  <c r="U340" i="28"/>
  <c r="U339" i="28"/>
  <c r="U338" i="28"/>
  <c r="U337" i="28"/>
  <c r="U336" i="28"/>
  <c r="U335" i="28"/>
  <c r="U334" i="28"/>
  <c r="U333" i="28"/>
  <c r="U332" i="28"/>
  <c r="U331" i="28"/>
  <c r="U330" i="28"/>
  <c r="U329" i="28"/>
  <c r="U328" i="28"/>
  <c r="U327" i="28"/>
  <c r="U326" i="28"/>
  <c r="U325" i="28"/>
  <c r="U324" i="28"/>
  <c r="U323" i="28"/>
  <c r="U322" i="28"/>
  <c r="U321" i="28"/>
  <c r="U320" i="28"/>
  <c r="U319" i="28"/>
  <c r="U318" i="28"/>
  <c r="U317" i="28"/>
  <c r="U316" i="28"/>
  <c r="U315" i="28"/>
  <c r="U314" i="28"/>
  <c r="U313" i="28"/>
  <c r="U312" i="28"/>
  <c r="U311" i="28"/>
  <c r="U310" i="28"/>
  <c r="U309" i="28"/>
  <c r="U308" i="28"/>
  <c r="U307" i="28"/>
  <c r="U306" i="28"/>
  <c r="U305" i="28"/>
  <c r="U304" i="28"/>
  <c r="U303" i="28"/>
  <c r="U302" i="28"/>
  <c r="U301" i="28"/>
  <c r="U300" i="28"/>
  <c r="U299" i="28"/>
  <c r="U298" i="28"/>
  <c r="U297" i="28"/>
  <c r="U296" i="28"/>
  <c r="U295" i="28"/>
  <c r="U294" i="28"/>
  <c r="U293" i="28"/>
  <c r="U292" i="28"/>
  <c r="U291" i="28"/>
  <c r="U290" i="28"/>
  <c r="U289" i="28"/>
  <c r="U288" i="28"/>
  <c r="U287" i="28"/>
  <c r="U286" i="28"/>
  <c r="U285" i="28"/>
  <c r="U284" i="28"/>
  <c r="U283" i="28"/>
  <c r="U282" i="28"/>
  <c r="U281" i="28"/>
  <c r="U280" i="28"/>
  <c r="U279" i="28"/>
  <c r="U278" i="28"/>
  <c r="U277" i="28"/>
  <c r="U276" i="28"/>
  <c r="U275" i="28"/>
  <c r="U274" i="28"/>
  <c r="U273" i="28"/>
  <c r="U272" i="28"/>
  <c r="U271" i="28"/>
  <c r="U270" i="28"/>
  <c r="U269" i="28"/>
  <c r="U268" i="28"/>
  <c r="U267" i="28"/>
  <c r="U266" i="28"/>
  <c r="U265" i="28"/>
  <c r="U264" i="28"/>
  <c r="U263" i="28"/>
  <c r="U262" i="28"/>
  <c r="U261" i="28"/>
  <c r="U260" i="28"/>
  <c r="U259" i="28"/>
  <c r="U258" i="28"/>
  <c r="U257" i="28"/>
  <c r="U256" i="28"/>
  <c r="U255" i="28"/>
  <c r="U254" i="28"/>
  <c r="U253" i="28"/>
  <c r="U252" i="28"/>
  <c r="U251" i="28"/>
  <c r="U250" i="28"/>
  <c r="U249" i="28"/>
  <c r="U248" i="28"/>
  <c r="U247" i="28"/>
  <c r="U246" i="28"/>
  <c r="U245" i="28"/>
  <c r="U244" i="28"/>
  <c r="U243" i="28"/>
  <c r="U242" i="28"/>
  <c r="U241" i="28"/>
  <c r="U240" i="28"/>
  <c r="U239" i="28"/>
  <c r="U238" i="28"/>
  <c r="U237" i="28"/>
  <c r="U236" i="28"/>
  <c r="U235" i="28"/>
  <c r="U234" i="28"/>
  <c r="U233" i="28"/>
  <c r="U232" i="28"/>
  <c r="U231" i="28"/>
  <c r="U230" i="28"/>
  <c r="U229" i="28"/>
  <c r="U228" i="28"/>
  <c r="U227" i="28"/>
  <c r="U226" i="28"/>
  <c r="U225" i="28"/>
  <c r="U224" i="28"/>
  <c r="U223" i="28"/>
  <c r="U222" i="28"/>
  <c r="U221" i="28"/>
  <c r="U220" i="28"/>
  <c r="U219" i="28"/>
  <c r="U218" i="28"/>
  <c r="U217" i="28"/>
  <c r="U216" i="28"/>
  <c r="U215" i="28"/>
  <c r="U214" i="28"/>
  <c r="U213" i="28"/>
  <c r="U212" i="28"/>
  <c r="U211" i="28"/>
  <c r="U210" i="28"/>
  <c r="U209" i="28"/>
  <c r="U208" i="28"/>
  <c r="U207" i="28"/>
  <c r="U206" i="28"/>
  <c r="U205" i="28"/>
  <c r="U204" i="28"/>
  <c r="U203" i="28"/>
  <c r="U202" i="28"/>
  <c r="U201" i="28"/>
  <c r="U200" i="28"/>
  <c r="U199" i="28"/>
  <c r="U198" i="28"/>
  <c r="U197" i="28"/>
  <c r="U196" i="28"/>
  <c r="U195" i="28"/>
  <c r="U194" i="28"/>
  <c r="U193" i="28"/>
  <c r="U192" i="28"/>
  <c r="U191" i="28"/>
  <c r="U190" i="28"/>
  <c r="U189" i="28"/>
  <c r="U188" i="28"/>
  <c r="U187" i="28"/>
  <c r="U186" i="28"/>
  <c r="U185" i="28"/>
  <c r="U184" i="28"/>
  <c r="U183" i="28"/>
  <c r="U182" i="28"/>
  <c r="U181" i="28"/>
  <c r="U180" i="28"/>
  <c r="U179" i="28"/>
  <c r="U178" i="28"/>
  <c r="U177" i="28"/>
  <c r="U176" i="28"/>
  <c r="U175" i="28"/>
  <c r="U174" i="28"/>
  <c r="U173" i="28"/>
  <c r="U172" i="28"/>
  <c r="U171" i="28"/>
  <c r="U170" i="28"/>
  <c r="U169" i="28"/>
  <c r="U168" i="28"/>
  <c r="U167" i="28"/>
  <c r="U166" i="28"/>
  <c r="U165" i="28"/>
  <c r="U164" i="28"/>
  <c r="U163" i="28"/>
  <c r="U162" i="28"/>
  <c r="U161" i="28"/>
  <c r="U160" i="28"/>
  <c r="U159" i="28"/>
  <c r="U158" i="28"/>
  <c r="U157" i="28"/>
  <c r="U156" i="28"/>
  <c r="U155" i="28"/>
  <c r="U154" i="28"/>
  <c r="U153" i="28"/>
  <c r="U152" i="28"/>
  <c r="U151" i="28"/>
  <c r="U150" i="28"/>
  <c r="U149" i="28"/>
  <c r="U148" i="28"/>
  <c r="U147" i="28"/>
  <c r="U146" i="28"/>
  <c r="U145" i="28"/>
  <c r="U144" i="28"/>
  <c r="U143" i="28"/>
  <c r="U142" i="28"/>
  <c r="U141" i="28"/>
  <c r="U140" i="28"/>
  <c r="U139" i="28"/>
  <c r="U138" i="28"/>
  <c r="U137" i="28"/>
  <c r="U136" i="28"/>
  <c r="U135" i="28"/>
  <c r="U134" i="28"/>
  <c r="U133" i="28"/>
  <c r="U132" i="28"/>
  <c r="U131" i="28"/>
  <c r="U130" i="28"/>
  <c r="U129" i="28"/>
  <c r="U128" i="28"/>
  <c r="U127" i="28"/>
  <c r="U126" i="28"/>
  <c r="U125" i="28"/>
  <c r="U124" i="28"/>
  <c r="U123" i="28"/>
  <c r="U122" i="28"/>
  <c r="U121" i="28"/>
  <c r="U120" i="28"/>
  <c r="U119" i="28"/>
  <c r="U118" i="28"/>
  <c r="U117" i="28"/>
  <c r="U116" i="28"/>
  <c r="U115" i="28"/>
  <c r="U114" i="28"/>
  <c r="U113" i="28"/>
  <c r="U112" i="28"/>
  <c r="U111" i="28"/>
  <c r="U110" i="28"/>
  <c r="U109" i="28"/>
  <c r="U108" i="28"/>
  <c r="U107" i="28"/>
  <c r="U106" i="28"/>
  <c r="U105" i="28"/>
  <c r="U104" i="28"/>
  <c r="U103" i="28"/>
  <c r="U102" i="28"/>
  <c r="U101" i="28"/>
  <c r="U100" i="28"/>
  <c r="U99" i="28"/>
  <c r="U98" i="28"/>
  <c r="U97" i="28"/>
  <c r="U96" i="28"/>
  <c r="U95" i="28"/>
  <c r="U94" i="28"/>
  <c r="U93" i="28"/>
  <c r="U92" i="28"/>
  <c r="U91" i="28"/>
  <c r="U90" i="28"/>
  <c r="U89" i="28"/>
  <c r="U88" i="28"/>
  <c r="U87" i="28"/>
  <c r="U86" i="28"/>
  <c r="U85" i="28"/>
  <c r="U84" i="28"/>
  <c r="U83" i="28"/>
  <c r="U82" i="28"/>
  <c r="U81" i="28"/>
  <c r="U80" i="28"/>
  <c r="U79" i="28"/>
  <c r="U78" i="28"/>
  <c r="U77" i="28"/>
  <c r="U76" i="28"/>
  <c r="U75" i="28"/>
  <c r="U74" i="28"/>
  <c r="U73" i="28"/>
  <c r="U72" i="28"/>
  <c r="U71" i="28"/>
  <c r="U70" i="28"/>
  <c r="U69" i="28"/>
  <c r="U68" i="28"/>
  <c r="U67" i="28"/>
  <c r="U66" i="28"/>
  <c r="U65" i="28"/>
  <c r="U64" i="28"/>
  <c r="U63" i="28"/>
  <c r="U62" i="28"/>
  <c r="U61" i="28"/>
  <c r="U60" i="28"/>
  <c r="U59" i="28"/>
  <c r="U58" i="28"/>
  <c r="U57" i="28"/>
  <c r="U56" i="28"/>
  <c r="U55" i="28"/>
  <c r="U54" i="28"/>
  <c r="U53" i="28"/>
  <c r="U52" i="28"/>
  <c r="U51" i="28"/>
  <c r="U50" i="28"/>
  <c r="U49" i="28"/>
  <c r="U48" i="28"/>
  <c r="U47" i="28"/>
  <c r="U46" i="28"/>
  <c r="U45" i="28"/>
  <c r="U44" i="28"/>
  <c r="U43" i="28"/>
  <c r="U42" i="28"/>
  <c r="U41" i="28"/>
  <c r="U40" i="28"/>
  <c r="U39" i="28"/>
  <c r="U38" i="28"/>
  <c r="U37" i="28"/>
  <c r="U36" i="28"/>
  <c r="U35" i="28"/>
  <c r="U34" i="28"/>
  <c r="U33" i="28"/>
  <c r="U32" i="28"/>
  <c r="U31" i="28"/>
  <c r="U30" i="28"/>
  <c r="U29" i="28"/>
  <c r="U28" i="28"/>
  <c r="U27" i="28"/>
  <c r="U26" i="28"/>
  <c r="U25" i="28"/>
  <c r="U24" i="28"/>
  <c r="U23" i="28"/>
  <c r="U22" i="28"/>
  <c r="U21" i="28"/>
  <c r="U20" i="28"/>
  <c r="U19" i="28"/>
  <c r="U18" i="28"/>
  <c r="U17" i="28"/>
  <c r="U16" i="28"/>
  <c r="U15" i="28"/>
  <c r="U14" i="28"/>
  <c r="U13" i="28"/>
  <c r="U12" i="28"/>
  <c r="U11" i="28"/>
  <c r="U10" i="28"/>
  <c r="U9" i="28"/>
  <c r="U8" i="28"/>
  <c r="A3" i="46"/>
  <c r="A3" i="39"/>
  <c r="U56" i="36"/>
  <c r="U55" i="36"/>
  <c r="U54" i="36"/>
  <c r="U53" i="36"/>
  <c r="U52" i="36"/>
  <c r="U51" i="36"/>
  <c r="U50" i="36"/>
  <c r="U49" i="36"/>
  <c r="U48" i="36"/>
  <c r="U47" i="36"/>
  <c r="U46" i="36"/>
  <c r="U45" i="36"/>
  <c r="U44" i="36"/>
  <c r="U43" i="36"/>
  <c r="U42" i="36"/>
  <c r="U41" i="36"/>
  <c r="U40" i="36"/>
  <c r="U39" i="36"/>
  <c r="U38" i="36"/>
  <c r="U37" i="36"/>
  <c r="U36" i="36"/>
  <c r="U35" i="36"/>
  <c r="U34" i="36"/>
  <c r="U33" i="36"/>
  <c r="U32" i="36"/>
  <c r="U31" i="36"/>
  <c r="U30" i="36"/>
  <c r="U29" i="36"/>
  <c r="U28" i="36"/>
  <c r="U27" i="36"/>
  <c r="T8" i="36"/>
  <c r="T9" i="36"/>
  <c r="T10" i="36"/>
  <c r="T11" i="36"/>
  <c r="T12" i="36"/>
  <c r="T13" i="36"/>
  <c r="T14" i="36"/>
  <c r="T15" i="36"/>
  <c r="T16" i="36"/>
  <c r="T17" i="36"/>
  <c r="T18" i="36"/>
  <c r="T19" i="36"/>
  <c r="T20" i="36"/>
  <c r="T21" i="36"/>
  <c r="T22" i="36"/>
  <c r="T23" i="36"/>
  <c r="T24" i="36"/>
  <c r="T25" i="36"/>
  <c r="T26" i="36"/>
  <c r="T27" i="36"/>
  <c r="T28" i="36"/>
  <c r="T29" i="36"/>
  <c r="T30" i="36"/>
  <c r="T31" i="36"/>
  <c r="T32" i="36"/>
  <c r="T33" i="36"/>
  <c r="T34" i="36"/>
  <c r="T35" i="36"/>
  <c r="T36" i="36"/>
  <c r="T37" i="36"/>
  <c r="T38" i="36"/>
  <c r="T39" i="36"/>
  <c r="T40" i="36"/>
  <c r="T41" i="36"/>
  <c r="T42" i="36"/>
  <c r="T43" i="36"/>
  <c r="T44" i="36"/>
  <c r="T45" i="36"/>
  <c r="T46" i="36"/>
  <c r="T47" i="36"/>
  <c r="T48" i="36"/>
  <c r="T49" i="36"/>
  <c r="T50" i="36"/>
  <c r="T51" i="36"/>
  <c r="T52" i="36"/>
  <c r="T53" i="36"/>
  <c r="T54" i="36"/>
  <c r="T55" i="36"/>
  <c r="T56" i="36"/>
  <c r="T57" i="36"/>
  <c r="U57" i="36" s="1"/>
  <c r="N57" i="36"/>
  <c r="N56" i="36"/>
  <c r="N55" i="36"/>
  <c r="N54" i="36"/>
  <c r="N53" i="36"/>
  <c r="N52" i="36"/>
  <c r="N51" i="36"/>
  <c r="N50" i="36"/>
  <c r="N49" i="36"/>
  <c r="N48" i="36"/>
  <c r="N47" i="36"/>
  <c r="N46" i="36"/>
  <c r="N45" i="36"/>
  <c r="N44" i="36"/>
  <c r="N43" i="36"/>
  <c r="N42" i="36"/>
  <c r="N41" i="36"/>
  <c r="N40" i="36"/>
  <c r="N39" i="36"/>
  <c r="N38" i="36"/>
  <c r="N37" i="36"/>
  <c r="N36" i="36"/>
  <c r="N35" i="36"/>
  <c r="N34" i="36"/>
  <c r="N33" i="36"/>
  <c r="N32" i="36"/>
  <c r="N31" i="36"/>
  <c r="N30" i="36"/>
  <c r="N29" i="36"/>
  <c r="N28" i="36"/>
  <c r="N27" i="36"/>
  <c r="N26" i="36"/>
  <c r="O26" i="36" s="1"/>
  <c r="N25" i="36"/>
  <c r="O25" i="36" s="1"/>
  <c r="N24" i="36"/>
  <c r="O24" i="36" s="1"/>
  <c r="N23" i="36"/>
  <c r="O23" i="36" s="1"/>
  <c r="N22" i="36"/>
  <c r="O22" i="36" s="1"/>
  <c r="N21" i="36"/>
  <c r="O21" i="36" s="1"/>
  <c r="N18" i="36"/>
  <c r="O18" i="36" s="1"/>
  <c r="N17" i="36"/>
  <c r="O17" i="36" s="1"/>
  <c r="N16" i="36"/>
  <c r="O16" i="36" s="1"/>
  <c r="N15" i="36"/>
  <c r="O15" i="36" s="1"/>
  <c r="N14" i="36"/>
  <c r="O14" i="36" s="1"/>
  <c r="N13" i="36"/>
  <c r="O13" i="36" s="1"/>
  <c r="N12" i="36"/>
  <c r="O12" i="36" s="1"/>
  <c r="N11" i="36"/>
  <c r="O11" i="36" s="1"/>
  <c r="N10" i="36"/>
  <c r="O10" i="36" s="1"/>
  <c r="N9" i="36"/>
  <c r="O9" i="36" s="1"/>
  <c r="N8" i="36"/>
  <c r="O8" i="36" s="1"/>
  <c r="B41" i="39"/>
  <c r="A24" i="39" s="1"/>
  <c r="D53" i="60" s="1"/>
  <c r="U26" i="36" l="1"/>
  <c r="U25" i="36"/>
  <c r="U24" i="36"/>
  <c r="U23" i="36"/>
  <c r="B40" i="39"/>
  <c r="U22" i="36"/>
  <c r="U19" i="36"/>
  <c r="U20" i="36"/>
  <c r="U21" i="36"/>
  <c r="U17" i="36"/>
  <c r="U12" i="36"/>
  <c r="U13" i="36"/>
  <c r="U16" i="36"/>
  <c r="U18" i="36"/>
  <c r="U8" i="36"/>
  <c r="U10" i="36"/>
  <c r="U11" i="36"/>
  <c r="U9" i="36"/>
  <c r="U14" i="36"/>
  <c r="U15" i="36"/>
  <c r="C9" i="51" a="1"/>
  <c r="C9" i="51" s="1"/>
  <c r="A507" i="58"/>
  <c r="A506" i="58"/>
  <c r="A505" i="58"/>
  <c r="A504" i="58"/>
  <c r="A503" i="58"/>
  <c r="A502" i="58"/>
  <c r="A501" i="58"/>
  <c r="A500" i="58"/>
  <c r="A499" i="58"/>
  <c r="A498" i="58"/>
  <c r="A497" i="58"/>
  <c r="A496" i="58"/>
  <c r="A495" i="58"/>
  <c r="A494" i="58"/>
  <c r="A493" i="58"/>
  <c r="A492" i="58"/>
  <c r="A491" i="58"/>
  <c r="A490" i="58"/>
  <c r="A489" i="58"/>
  <c r="A488" i="58"/>
  <c r="A487" i="58"/>
  <c r="A486" i="58"/>
  <c r="A485" i="58"/>
  <c r="A484" i="58"/>
  <c r="A483" i="58"/>
  <c r="A482" i="58"/>
  <c r="A481" i="58"/>
  <c r="A480" i="58"/>
  <c r="A479" i="58"/>
  <c r="A478" i="58"/>
  <c r="A477" i="58"/>
  <c r="A476" i="58"/>
  <c r="A475" i="58"/>
  <c r="A474" i="58"/>
  <c r="A473" i="58"/>
  <c r="A472" i="58"/>
  <c r="A471" i="58"/>
  <c r="A470" i="58"/>
  <c r="A469" i="58"/>
  <c r="A468" i="58"/>
  <c r="A467" i="58"/>
  <c r="A466" i="58"/>
  <c r="A465" i="58"/>
  <c r="A464" i="58"/>
  <c r="A463" i="58"/>
  <c r="A462" i="58"/>
  <c r="A461" i="58"/>
  <c r="A460" i="58"/>
  <c r="A459" i="58"/>
  <c r="A458" i="58"/>
  <c r="A457" i="58"/>
  <c r="A456" i="58"/>
  <c r="A455" i="58"/>
  <c r="A454" i="58"/>
  <c r="A453" i="58"/>
  <c r="A452" i="58"/>
  <c r="A451" i="58"/>
  <c r="A450" i="58"/>
  <c r="A449" i="58"/>
  <c r="A448" i="58"/>
  <c r="A447" i="58"/>
  <c r="A446" i="58"/>
  <c r="A445" i="58"/>
  <c r="A444" i="58"/>
  <c r="A443" i="58"/>
  <c r="A442" i="58"/>
  <c r="A441" i="58"/>
  <c r="A440" i="58"/>
  <c r="A439" i="58"/>
  <c r="A438" i="58"/>
  <c r="A437" i="58"/>
  <c r="A436" i="58"/>
  <c r="A435" i="58"/>
  <c r="A434" i="58"/>
  <c r="A433" i="58"/>
  <c r="A432" i="58"/>
  <c r="A431" i="58"/>
  <c r="A430" i="58"/>
  <c r="A429" i="58"/>
  <c r="A428" i="58"/>
  <c r="A427" i="58"/>
  <c r="A426" i="58"/>
  <c r="A425" i="58"/>
  <c r="A424" i="58"/>
  <c r="A423" i="58"/>
  <c r="A422" i="58"/>
  <c r="A421" i="58"/>
  <c r="A420" i="58"/>
  <c r="A419" i="58"/>
  <c r="A418" i="58"/>
  <c r="A417" i="58"/>
  <c r="A416" i="58"/>
  <c r="A415" i="58"/>
  <c r="A414" i="58"/>
  <c r="A413" i="58"/>
  <c r="A412" i="58"/>
  <c r="A411" i="58"/>
  <c r="A410" i="58"/>
  <c r="A409" i="58"/>
  <c r="A408" i="58"/>
  <c r="A407" i="58"/>
  <c r="A406" i="58"/>
  <c r="A405" i="58"/>
  <c r="A404" i="58"/>
  <c r="A403" i="58"/>
  <c r="A402" i="58"/>
  <c r="A401" i="58"/>
  <c r="A400" i="58"/>
  <c r="A399" i="58"/>
  <c r="A398" i="58"/>
  <c r="A397" i="58"/>
  <c r="A396" i="58"/>
  <c r="A395" i="58"/>
  <c r="A394" i="58"/>
  <c r="A393" i="58"/>
  <c r="A392" i="58"/>
  <c r="A391" i="58"/>
  <c r="A390" i="58"/>
  <c r="A389" i="58"/>
  <c r="A388" i="58"/>
  <c r="A387" i="58"/>
  <c r="A386" i="58"/>
  <c r="A385" i="58"/>
  <c r="A384" i="58"/>
  <c r="A383" i="58"/>
  <c r="A382" i="58"/>
  <c r="A381" i="58"/>
  <c r="A380" i="58"/>
  <c r="A379" i="58"/>
  <c r="A378" i="58"/>
  <c r="A377" i="58"/>
  <c r="A376" i="58"/>
  <c r="A375" i="58"/>
  <c r="A374" i="58"/>
  <c r="A373" i="58"/>
  <c r="A372" i="58"/>
  <c r="A371" i="58"/>
  <c r="A370" i="58"/>
  <c r="A369" i="58"/>
  <c r="A368" i="58"/>
  <c r="A367" i="58"/>
  <c r="A366" i="58"/>
  <c r="A365" i="58"/>
  <c r="A364" i="58"/>
  <c r="A363" i="58"/>
  <c r="A362" i="58"/>
  <c r="A361" i="58"/>
  <c r="A360" i="58"/>
  <c r="A359" i="58"/>
  <c r="A358" i="58"/>
  <c r="A357" i="58"/>
  <c r="A356" i="58"/>
  <c r="A355" i="58"/>
  <c r="A354" i="58"/>
  <c r="A353" i="58"/>
  <c r="A352" i="58"/>
  <c r="A351" i="58"/>
  <c r="A350" i="58"/>
  <c r="A349" i="58"/>
  <c r="A348" i="58"/>
  <c r="A347" i="58"/>
  <c r="A346" i="58"/>
  <c r="A345" i="58"/>
  <c r="A344" i="58"/>
  <c r="A343" i="58"/>
  <c r="A342" i="58"/>
  <c r="A341" i="58"/>
  <c r="A340" i="58"/>
  <c r="A339" i="58"/>
  <c r="A338" i="58"/>
  <c r="A337" i="58"/>
  <c r="A336" i="58"/>
  <c r="A335" i="58"/>
  <c r="A334" i="58"/>
  <c r="A333" i="58"/>
  <c r="A332" i="58"/>
  <c r="A331" i="58"/>
  <c r="A330" i="58"/>
  <c r="A329" i="58"/>
  <c r="A328" i="58"/>
  <c r="A327" i="58"/>
  <c r="A326" i="58"/>
  <c r="A325" i="58"/>
  <c r="A324" i="58"/>
  <c r="A323" i="58"/>
  <c r="A322" i="58"/>
  <c r="A321" i="58"/>
  <c r="A320" i="58"/>
  <c r="A319" i="58"/>
  <c r="A318" i="58"/>
  <c r="A317" i="58"/>
  <c r="A316" i="58"/>
  <c r="A315" i="58"/>
  <c r="A314" i="58"/>
  <c r="A313" i="58"/>
  <c r="A312" i="58"/>
  <c r="A311" i="58"/>
  <c r="A310" i="58"/>
  <c r="A309" i="58"/>
  <c r="A308" i="58"/>
  <c r="A307" i="58"/>
  <c r="A306" i="58"/>
  <c r="A305" i="58"/>
  <c r="A304" i="58"/>
  <c r="A303" i="58"/>
  <c r="A302" i="58"/>
  <c r="A301" i="58"/>
  <c r="A300" i="58"/>
  <c r="A299" i="58"/>
  <c r="A298" i="58"/>
  <c r="A297" i="58"/>
  <c r="A296" i="58"/>
  <c r="A295" i="58"/>
  <c r="A294" i="58"/>
  <c r="A293" i="58"/>
  <c r="A292" i="58"/>
  <c r="A291" i="58"/>
  <c r="A290" i="58"/>
  <c r="A289" i="58"/>
  <c r="A288" i="58"/>
  <c r="A287" i="58"/>
  <c r="A286" i="58"/>
  <c r="A285" i="58"/>
  <c r="A284" i="58"/>
  <c r="A283" i="58"/>
  <c r="A282" i="58"/>
  <c r="A281" i="58"/>
  <c r="A280" i="58"/>
  <c r="A279" i="58"/>
  <c r="A278" i="58"/>
  <c r="A277" i="58"/>
  <c r="A276" i="58"/>
  <c r="A275" i="58"/>
  <c r="A274" i="58"/>
  <c r="A273" i="58"/>
  <c r="A272" i="58"/>
  <c r="A271" i="58"/>
  <c r="A270" i="58"/>
  <c r="A269" i="58"/>
  <c r="A268" i="58"/>
  <c r="A267" i="58"/>
  <c r="A266" i="58"/>
  <c r="A265" i="58"/>
  <c r="A264" i="58"/>
  <c r="A263" i="58"/>
  <c r="A262" i="58"/>
  <c r="A261" i="58"/>
  <c r="A260" i="58"/>
  <c r="A259" i="58"/>
  <c r="A258" i="58"/>
  <c r="A257" i="58"/>
  <c r="A256" i="58"/>
  <c r="A255" i="58"/>
  <c r="A254" i="58"/>
  <c r="A253" i="58"/>
  <c r="A252" i="58"/>
  <c r="A251" i="58"/>
  <c r="A250" i="58"/>
  <c r="A249" i="58"/>
  <c r="A248" i="58"/>
  <c r="A247" i="58"/>
  <c r="A246" i="58"/>
  <c r="A245" i="58"/>
  <c r="A244" i="58"/>
  <c r="A243" i="58"/>
  <c r="A242" i="58"/>
  <c r="A241" i="58"/>
  <c r="A240" i="58"/>
  <c r="A239" i="58"/>
  <c r="A238" i="58"/>
  <c r="A237" i="58"/>
  <c r="A236" i="58"/>
  <c r="A235" i="58"/>
  <c r="A234" i="58"/>
  <c r="A233" i="58"/>
  <c r="A232" i="58"/>
  <c r="A231" i="58"/>
  <c r="A230" i="58"/>
  <c r="A229" i="58"/>
  <c r="A228" i="58"/>
  <c r="A227" i="58"/>
  <c r="A226" i="58"/>
  <c r="A225" i="58"/>
  <c r="A224" i="58"/>
  <c r="A223" i="58"/>
  <c r="A222" i="58"/>
  <c r="A221" i="58"/>
  <c r="A220" i="58"/>
  <c r="A219" i="58"/>
  <c r="A218" i="58"/>
  <c r="A217" i="58"/>
  <c r="A216" i="58"/>
  <c r="A215" i="58"/>
  <c r="A214" i="58"/>
  <c r="A213" i="58"/>
  <c r="A212" i="58"/>
  <c r="A211" i="58"/>
  <c r="A210" i="58"/>
  <c r="A209" i="58"/>
  <c r="A208" i="58"/>
  <c r="A207" i="58"/>
  <c r="A206" i="58"/>
  <c r="A205" i="58"/>
  <c r="A204" i="58"/>
  <c r="A203" i="58"/>
  <c r="A202" i="58"/>
  <c r="A201" i="58"/>
  <c r="A200" i="58"/>
  <c r="A199" i="58"/>
  <c r="A198" i="58"/>
  <c r="A197" i="58"/>
  <c r="A196" i="58"/>
  <c r="A195" i="58"/>
  <c r="A194" i="58"/>
  <c r="A193" i="58"/>
  <c r="A192" i="58"/>
  <c r="A191" i="58"/>
  <c r="A190" i="58"/>
  <c r="A189" i="58"/>
  <c r="A188" i="58"/>
  <c r="A187" i="58"/>
  <c r="A186" i="58"/>
  <c r="A185" i="58"/>
  <c r="A184" i="58"/>
  <c r="A183" i="58"/>
  <c r="A182" i="58"/>
  <c r="A181" i="58"/>
  <c r="A180" i="58"/>
  <c r="A179" i="58"/>
  <c r="A178" i="58"/>
  <c r="A177" i="58"/>
  <c r="A176" i="58"/>
  <c r="A175" i="58"/>
  <c r="A174" i="58"/>
  <c r="A173" i="58"/>
  <c r="A172" i="58"/>
  <c r="A171" i="58"/>
  <c r="A170" i="58"/>
  <c r="A169" i="58"/>
  <c r="A168" i="58"/>
  <c r="A167" i="58"/>
  <c r="A166" i="58"/>
  <c r="A165" i="58"/>
  <c r="A164" i="58"/>
  <c r="A163" i="58"/>
  <c r="A162" i="58"/>
  <c r="A161" i="58"/>
  <c r="A160" i="58"/>
  <c r="A159" i="58"/>
  <c r="A158" i="58"/>
  <c r="A157" i="58"/>
  <c r="A156" i="58"/>
  <c r="A155" i="58"/>
  <c r="A154" i="58"/>
  <c r="A153" i="58"/>
  <c r="A152" i="58"/>
  <c r="A151" i="58"/>
  <c r="A150" i="58"/>
  <c r="A149" i="58"/>
  <c r="A148" i="58"/>
  <c r="A147" i="58"/>
  <c r="A146" i="58"/>
  <c r="A145" i="58"/>
  <c r="A144" i="58"/>
  <c r="A143" i="58"/>
  <c r="A142" i="58"/>
  <c r="A141" i="58"/>
  <c r="A140" i="58"/>
  <c r="A139" i="58"/>
  <c r="A138" i="58"/>
  <c r="A137" i="58"/>
  <c r="A136" i="58"/>
  <c r="A135" i="58"/>
  <c r="A134" i="58"/>
  <c r="A133" i="58"/>
  <c r="A132" i="58"/>
  <c r="A131" i="58"/>
  <c r="A130" i="58"/>
  <c r="A129" i="58"/>
  <c r="A128" i="58"/>
  <c r="A127" i="58"/>
  <c r="A126" i="58"/>
  <c r="A125" i="58"/>
  <c r="A124" i="58"/>
  <c r="A123" i="58"/>
  <c r="A122" i="58"/>
  <c r="A121" i="58"/>
  <c r="A120" i="58"/>
  <c r="A119" i="58"/>
  <c r="A118" i="58"/>
  <c r="A117" i="58"/>
  <c r="A116" i="58"/>
  <c r="A115" i="58"/>
  <c r="A114" i="58"/>
  <c r="A113" i="58"/>
  <c r="A112" i="58"/>
  <c r="A111" i="58"/>
  <c r="A110" i="58"/>
  <c r="A109" i="58"/>
  <c r="A108" i="58"/>
  <c r="A107" i="58"/>
  <c r="A106" i="58"/>
  <c r="A105" i="58"/>
  <c r="A104" i="58"/>
  <c r="A103" i="58"/>
  <c r="A102" i="58"/>
  <c r="A101" i="58"/>
  <c r="A100" i="58"/>
  <c r="A99" i="58"/>
  <c r="A98" i="58"/>
  <c r="A97" i="58"/>
  <c r="A96" i="58"/>
  <c r="A95" i="58"/>
  <c r="A94" i="58"/>
  <c r="A93" i="58"/>
  <c r="A92" i="58"/>
  <c r="A91" i="58"/>
  <c r="A90" i="58"/>
  <c r="A89" i="58"/>
  <c r="A88" i="58"/>
  <c r="A87" i="58"/>
  <c r="A86" i="58"/>
  <c r="A85" i="58"/>
  <c r="A84" i="58"/>
  <c r="A83" i="58"/>
  <c r="A82" i="58"/>
  <c r="A81" i="58"/>
  <c r="A80" i="58"/>
  <c r="A79" i="58"/>
  <c r="A78" i="58"/>
  <c r="A77" i="58"/>
  <c r="A76" i="58"/>
  <c r="A75" i="58"/>
  <c r="A74" i="58"/>
  <c r="A73" i="58"/>
  <c r="A72" i="58"/>
  <c r="A71" i="58"/>
  <c r="A70" i="58"/>
  <c r="A69" i="58"/>
  <c r="A68" i="58"/>
  <c r="A67" i="58"/>
  <c r="A66" i="58"/>
  <c r="A65" i="58"/>
  <c r="A64" i="58"/>
  <c r="A63" i="58"/>
  <c r="A62" i="58"/>
  <c r="A61" i="58"/>
  <c r="A60" i="58"/>
  <c r="A59" i="58"/>
  <c r="A58" i="58"/>
  <c r="A57" i="58"/>
  <c r="A56" i="58"/>
  <c r="A55" i="58"/>
  <c r="A54" i="58"/>
  <c r="A53" i="58"/>
  <c r="A52" i="58"/>
  <c r="A51" i="58"/>
  <c r="A50" i="58"/>
  <c r="A49" i="58"/>
  <c r="A48" i="58"/>
  <c r="A47" i="58"/>
  <c r="A46" i="58"/>
  <c r="A45" i="58"/>
  <c r="A44" i="58"/>
  <c r="A43" i="58"/>
  <c r="A42" i="58"/>
  <c r="A41" i="58"/>
  <c r="A40" i="58"/>
  <c r="A39" i="58"/>
  <c r="A38" i="58"/>
  <c r="A37" i="58"/>
  <c r="A36" i="58"/>
  <c r="A35" i="58"/>
  <c r="A34" i="58"/>
  <c r="A33" i="58"/>
  <c r="A32" i="58"/>
  <c r="A31" i="58"/>
  <c r="A30" i="58"/>
  <c r="A29" i="58"/>
  <c r="A28" i="58"/>
  <c r="A27" i="58"/>
  <c r="A26" i="58"/>
  <c r="A25" i="58"/>
  <c r="A24" i="58"/>
  <c r="A23" i="58"/>
  <c r="A22" i="58"/>
  <c r="A21" i="58"/>
  <c r="A20" i="58"/>
  <c r="A19" i="58"/>
  <c r="A18" i="58"/>
  <c r="A17" i="58"/>
  <c r="A16" i="58"/>
  <c r="A15" i="58"/>
  <c r="A14" i="58"/>
  <c r="A13" i="58"/>
  <c r="A12" i="58"/>
  <c r="A11" i="58"/>
  <c r="A10" i="58"/>
  <c r="A9" i="58"/>
  <c r="A8" i="58"/>
  <c r="B16" i="39"/>
  <c r="B15" i="51" s="1"/>
  <c r="S6" i="50"/>
  <c r="T6" i="50"/>
  <c r="R6" i="50"/>
  <c r="Q6" i="50"/>
  <c r="P6" i="50"/>
  <c r="O6" i="50"/>
  <c r="N6" i="50"/>
  <c r="M6" i="50"/>
  <c r="H6" i="49"/>
  <c r="G6" i="49"/>
  <c r="F6" i="49"/>
  <c r="E6" i="49"/>
  <c r="D6" i="49"/>
  <c r="C6" i="49"/>
  <c r="B6" i="49"/>
  <c r="A6" i="49"/>
  <c r="A30" i="39"/>
  <c r="D56" i="60" s="1"/>
  <c r="Q43" i="36"/>
  <c r="R43" i="36" a="1"/>
  <c r="R43" i="36" s="1"/>
  <c r="S43" i="36" s="1"/>
  <c r="Q44" i="36"/>
  <c r="R44" i="36" a="1"/>
  <c r="R44" i="36" s="1"/>
  <c r="S44" i="36" s="1"/>
  <c r="Q45" i="36"/>
  <c r="R45" i="36" a="1"/>
  <c r="R45" i="36" s="1"/>
  <c r="S45" i="36" s="1"/>
  <c r="Q46" i="36"/>
  <c r="R46" i="36" a="1"/>
  <c r="R46" i="36" s="1"/>
  <c r="S46" i="36" s="1"/>
  <c r="Q47" i="36"/>
  <c r="R47" i="36" a="1"/>
  <c r="R47" i="36" s="1"/>
  <c r="S47" i="36" s="1"/>
  <c r="Q48" i="36"/>
  <c r="R48" i="36" a="1"/>
  <c r="R48" i="36" s="1"/>
  <c r="S48" i="36" s="1"/>
  <c r="Q49" i="36"/>
  <c r="R49" i="36" a="1"/>
  <c r="R49" i="36" s="1"/>
  <c r="S49" i="36" s="1"/>
  <c r="Q50" i="36"/>
  <c r="R50" i="36" a="1"/>
  <c r="R50" i="36" s="1"/>
  <c r="S50" i="36" s="1"/>
  <c r="Q51" i="36"/>
  <c r="R51" i="36" a="1"/>
  <c r="R51" i="36" s="1"/>
  <c r="S51" i="36" s="1"/>
  <c r="Q52" i="36"/>
  <c r="R52" i="36" a="1"/>
  <c r="R52" i="36" s="1"/>
  <c r="S52" i="36" s="1"/>
  <c r="Q53" i="36"/>
  <c r="R53" i="36" a="1"/>
  <c r="R53" i="36" s="1"/>
  <c r="S53" i="36" s="1"/>
  <c r="Q54" i="36"/>
  <c r="R54" i="36" a="1"/>
  <c r="R54" i="36" s="1"/>
  <c r="S54" i="36" s="1"/>
  <c r="Q55" i="36"/>
  <c r="R55" i="36" a="1"/>
  <c r="R55" i="36" s="1"/>
  <c r="S55" i="36" s="1"/>
  <c r="Q56" i="36"/>
  <c r="R56" i="36" a="1"/>
  <c r="R56" i="36" s="1"/>
  <c r="S56" i="36" s="1"/>
  <c r="Q40" i="36"/>
  <c r="R40" i="36" a="1"/>
  <c r="R40" i="36" s="1"/>
  <c r="S40" i="36" s="1"/>
  <c r="Q36" i="36"/>
  <c r="R36" i="36" a="1"/>
  <c r="R36" i="36" s="1"/>
  <c r="S36" i="36" s="1"/>
  <c r="Q37" i="36"/>
  <c r="R37" i="36" a="1"/>
  <c r="R37" i="36" s="1"/>
  <c r="S37" i="36" s="1"/>
  <c r="Q38" i="36"/>
  <c r="R38" i="36" a="1"/>
  <c r="R38" i="36" s="1"/>
  <c r="S38" i="36" s="1"/>
  <c r="Q39" i="36"/>
  <c r="R39" i="36" a="1"/>
  <c r="R39" i="36" s="1"/>
  <c r="S39" i="36" s="1"/>
  <c r="R25" i="36" a="1"/>
  <c r="R25" i="36" s="1"/>
  <c r="S25" i="36" s="1"/>
  <c r="Q25" i="36" s="1"/>
  <c r="R26" i="36" a="1"/>
  <c r="R26" i="36" s="1"/>
  <c r="S26" i="36" s="1"/>
  <c r="Q26" i="36" s="1"/>
  <c r="Q27" i="36"/>
  <c r="R27" i="36" a="1"/>
  <c r="R27" i="36" s="1"/>
  <c r="S27" i="36" s="1"/>
  <c r="Q28" i="36"/>
  <c r="R28" i="36" a="1"/>
  <c r="R28" i="36" s="1"/>
  <c r="S28" i="36" s="1"/>
  <c r="Q29" i="36"/>
  <c r="R29" i="36" a="1"/>
  <c r="R29" i="36" s="1"/>
  <c r="S29" i="36" s="1"/>
  <c r="Q30" i="36"/>
  <c r="R30" i="36" a="1"/>
  <c r="R30" i="36" s="1"/>
  <c r="S30" i="36" s="1"/>
  <c r="Q31" i="36"/>
  <c r="R31" i="36" a="1"/>
  <c r="R31" i="36" s="1"/>
  <c r="S31" i="36" s="1"/>
  <c r="Q32" i="36"/>
  <c r="R32" i="36" a="1"/>
  <c r="R32" i="36" s="1"/>
  <c r="S32" i="36" s="1"/>
  <c r="Q33" i="36"/>
  <c r="R33" i="36" a="1"/>
  <c r="R33" i="36" s="1"/>
  <c r="S33" i="36" s="1"/>
  <c r="Q34" i="36"/>
  <c r="R34" i="36" a="1"/>
  <c r="R34" i="36" s="1"/>
  <c r="S34" i="36" s="1"/>
  <c r="Q35" i="36"/>
  <c r="R35" i="36" a="1"/>
  <c r="R35" i="36" s="1"/>
  <c r="S35" i="36" s="1"/>
  <c r="Q41" i="36"/>
  <c r="R41" i="36" a="1"/>
  <c r="R41" i="36" s="1"/>
  <c r="S41" i="36" s="1"/>
  <c r="V8" i="36" l="1" a="1"/>
  <c r="V8" i="36" s="1"/>
  <c r="BC507" i="28" a="1"/>
  <c r="BC507" i="28" s="1"/>
  <c r="BB507" i="28" a="1"/>
  <c r="BB507" i="28" s="1"/>
  <c r="AN507" i="28" a="1"/>
  <c r="AN507" i="28" s="1"/>
  <c r="AM507" i="28"/>
  <c r="B507" i="58" s="1"/>
  <c r="BC506" i="28" a="1"/>
  <c r="BC506" i="28" s="1"/>
  <c r="BB506" i="28" a="1"/>
  <c r="BB506" i="28" s="1"/>
  <c r="AN506" i="28" a="1"/>
  <c r="AN506" i="28" s="1"/>
  <c r="AM506" i="28"/>
  <c r="B506" i="58" s="1"/>
  <c r="BC505" i="28" a="1"/>
  <c r="BC505" i="28" s="1"/>
  <c r="BB505" i="28" a="1"/>
  <c r="BB505" i="28" s="1"/>
  <c r="AN505" i="28" a="1"/>
  <c r="AN505" i="28" s="1"/>
  <c r="AM505" i="28"/>
  <c r="B505" i="58" s="1"/>
  <c r="BC504" i="28" a="1"/>
  <c r="BC504" i="28" s="1"/>
  <c r="BB504" i="28" a="1"/>
  <c r="BB504" i="28" s="1"/>
  <c r="AN504" i="28" a="1"/>
  <c r="AN504" i="28" s="1"/>
  <c r="AM504" i="28"/>
  <c r="B504" i="58" s="1"/>
  <c r="BC503" i="28" a="1"/>
  <c r="BC503" i="28" s="1"/>
  <c r="BB503" i="28" a="1"/>
  <c r="BB503" i="28" s="1"/>
  <c r="AN503" i="28" a="1"/>
  <c r="AN503" i="28" s="1"/>
  <c r="AM503" i="28"/>
  <c r="B503" i="58" s="1"/>
  <c r="BC502" i="28" a="1"/>
  <c r="BC502" i="28" s="1"/>
  <c r="BB502" i="28" a="1"/>
  <c r="BB502" i="28" s="1"/>
  <c r="AN502" i="28" a="1"/>
  <c r="AN502" i="28" s="1"/>
  <c r="AM502" i="28"/>
  <c r="B502" i="58" s="1"/>
  <c r="BC501" i="28" a="1"/>
  <c r="BC501" i="28" s="1"/>
  <c r="BB501" i="28" a="1"/>
  <c r="BB501" i="28" s="1"/>
  <c r="AN501" i="28" a="1"/>
  <c r="AN501" i="28" s="1"/>
  <c r="AM501" i="28"/>
  <c r="B501" i="58" s="1"/>
  <c r="BC500" i="28" a="1"/>
  <c r="BC500" i="28" s="1"/>
  <c r="BB500" i="28" a="1"/>
  <c r="BB500" i="28" s="1"/>
  <c r="AN500" i="28" a="1"/>
  <c r="AN500" i="28" s="1"/>
  <c r="AM500" i="28"/>
  <c r="B500" i="58" s="1"/>
  <c r="BC499" i="28" a="1"/>
  <c r="BC499" i="28" s="1"/>
  <c r="BB499" i="28" a="1"/>
  <c r="BB499" i="28" s="1"/>
  <c r="AN499" i="28" a="1"/>
  <c r="AN499" i="28" s="1"/>
  <c r="AM499" i="28"/>
  <c r="B499" i="58" s="1"/>
  <c r="BC498" i="28" a="1"/>
  <c r="BC498" i="28" s="1"/>
  <c r="BB498" i="28" a="1"/>
  <c r="BB498" i="28" s="1"/>
  <c r="AN498" i="28" a="1"/>
  <c r="AN498" i="28" s="1"/>
  <c r="AM498" i="28"/>
  <c r="B498" i="58" s="1"/>
  <c r="BC497" i="28" a="1"/>
  <c r="BC497" i="28" s="1"/>
  <c r="BB497" i="28" a="1"/>
  <c r="BB497" i="28" s="1"/>
  <c r="AN497" i="28" a="1"/>
  <c r="AN497" i="28" s="1"/>
  <c r="AM497" i="28"/>
  <c r="B497" i="58" s="1"/>
  <c r="BC496" i="28" a="1"/>
  <c r="BC496" i="28" s="1"/>
  <c r="BB496" i="28" a="1"/>
  <c r="BB496" i="28" s="1"/>
  <c r="AN496" i="28" a="1"/>
  <c r="AN496" i="28" s="1"/>
  <c r="AM496" i="28"/>
  <c r="B496" i="58" s="1"/>
  <c r="BC495" i="28" a="1"/>
  <c r="BC495" i="28" s="1"/>
  <c r="BB495" i="28" a="1"/>
  <c r="BB495" i="28" s="1"/>
  <c r="AN495" i="28" a="1"/>
  <c r="AN495" i="28" s="1"/>
  <c r="AM495" i="28"/>
  <c r="B495" i="58" s="1"/>
  <c r="BC494" i="28" a="1"/>
  <c r="BC494" i="28" s="1"/>
  <c r="BB494" i="28" a="1"/>
  <c r="BB494" i="28" s="1"/>
  <c r="AN494" i="28" a="1"/>
  <c r="AN494" i="28" s="1"/>
  <c r="AM494" i="28"/>
  <c r="B494" i="58" s="1"/>
  <c r="BC493" i="28" a="1"/>
  <c r="BC493" i="28" s="1"/>
  <c r="BB493" i="28" a="1"/>
  <c r="BB493" i="28" s="1"/>
  <c r="AN493" i="28" a="1"/>
  <c r="AN493" i="28" s="1"/>
  <c r="AM493" i="28"/>
  <c r="B493" i="58" s="1"/>
  <c r="BC492" i="28" a="1"/>
  <c r="BC492" i="28" s="1"/>
  <c r="BB492" i="28" a="1"/>
  <c r="BB492" i="28" s="1"/>
  <c r="AN492" i="28" a="1"/>
  <c r="AN492" i="28" s="1"/>
  <c r="AM492" i="28"/>
  <c r="B492" i="58" s="1"/>
  <c r="BC491" i="28" a="1"/>
  <c r="BC491" i="28" s="1"/>
  <c r="BB491" i="28" a="1"/>
  <c r="BB491" i="28" s="1"/>
  <c r="AN491" i="28" a="1"/>
  <c r="AN491" i="28" s="1"/>
  <c r="AM491" i="28"/>
  <c r="B491" i="58" s="1"/>
  <c r="BC490" i="28" a="1"/>
  <c r="BC490" i="28" s="1"/>
  <c r="BB490" i="28" a="1"/>
  <c r="BB490" i="28" s="1"/>
  <c r="AN490" i="28" a="1"/>
  <c r="AN490" i="28" s="1"/>
  <c r="AM490" i="28"/>
  <c r="B490" i="58" s="1"/>
  <c r="BC489" i="28" a="1"/>
  <c r="BC489" i="28" s="1"/>
  <c r="BB489" i="28" a="1"/>
  <c r="BB489" i="28" s="1"/>
  <c r="AN489" i="28" a="1"/>
  <c r="AN489" i="28" s="1"/>
  <c r="AM489" i="28"/>
  <c r="B489" i="58" s="1"/>
  <c r="BC488" i="28" a="1"/>
  <c r="BC488" i="28" s="1"/>
  <c r="BB488" i="28" a="1"/>
  <c r="BB488" i="28" s="1"/>
  <c r="AN488" i="28" a="1"/>
  <c r="AN488" i="28" s="1"/>
  <c r="AM488" i="28"/>
  <c r="B488" i="58" s="1"/>
  <c r="BC487" i="28" a="1"/>
  <c r="BC487" i="28" s="1"/>
  <c r="BB487" i="28" a="1"/>
  <c r="BB487" i="28" s="1"/>
  <c r="AN487" i="28" a="1"/>
  <c r="AN487" i="28" s="1"/>
  <c r="AM487" i="28"/>
  <c r="B487" i="58" s="1"/>
  <c r="BC486" i="28" a="1"/>
  <c r="BC486" i="28" s="1"/>
  <c r="BB486" i="28" a="1"/>
  <c r="BB486" i="28" s="1"/>
  <c r="AN486" i="28" a="1"/>
  <c r="AN486" i="28" s="1"/>
  <c r="AM486" i="28"/>
  <c r="B486" i="58" s="1"/>
  <c r="BC485" i="28" a="1"/>
  <c r="BC485" i="28" s="1"/>
  <c r="BB485" i="28" a="1"/>
  <c r="BB485" i="28" s="1"/>
  <c r="AN485" i="28" a="1"/>
  <c r="AN485" i="28" s="1"/>
  <c r="AM485" i="28"/>
  <c r="B485" i="58" s="1"/>
  <c r="BC484" i="28" a="1"/>
  <c r="BC484" i="28" s="1"/>
  <c r="BB484" i="28" a="1"/>
  <c r="BB484" i="28" s="1"/>
  <c r="AN484" i="28" a="1"/>
  <c r="AN484" i="28" s="1"/>
  <c r="AM484" i="28"/>
  <c r="B484" i="58" s="1"/>
  <c r="BC483" i="28" a="1"/>
  <c r="BC483" i="28" s="1"/>
  <c r="BB483" i="28" a="1"/>
  <c r="BB483" i="28" s="1"/>
  <c r="AN483" i="28" a="1"/>
  <c r="AN483" i="28" s="1"/>
  <c r="AM483" i="28"/>
  <c r="B483" i="58" s="1"/>
  <c r="BC482" i="28" a="1"/>
  <c r="BC482" i="28" s="1"/>
  <c r="BB482" i="28" a="1"/>
  <c r="BB482" i="28" s="1"/>
  <c r="AN482" i="28" a="1"/>
  <c r="AN482" i="28" s="1"/>
  <c r="AM482" i="28"/>
  <c r="B482" i="58" s="1"/>
  <c r="BC481" i="28" a="1"/>
  <c r="BC481" i="28" s="1"/>
  <c r="BB481" i="28" a="1"/>
  <c r="BB481" i="28" s="1"/>
  <c r="AN481" i="28" a="1"/>
  <c r="AN481" i="28" s="1"/>
  <c r="AM481" i="28"/>
  <c r="B481" i="58" s="1"/>
  <c r="BC480" i="28" a="1"/>
  <c r="BC480" i="28" s="1"/>
  <c r="BB480" i="28" a="1"/>
  <c r="BB480" i="28" s="1"/>
  <c r="AN480" i="28" a="1"/>
  <c r="AN480" i="28" s="1"/>
  <c r="AM480" i="28"/>
  <c r="B480" i="58" s="1"/>
  <c r="BC479" i="28" a="1"/>
  <c r="BC479" i="28" s="1"/>
  <c r="BB479" i="28" a="1"/>
  <c r="BB479" i="28" s="1"/>
  <c r="AN479" i="28" a="1"/>
  <c r="AN479" i="28" s="1"/>
  <c r="AM479" i="28"/>
  <c r="B479" i="58" s="1"/>
  <c r="BC478" i="28" a="1"/>
  <c r="BC478" i="28" s="1"/>
  <c r="BB478" i="28" a="1"/>
  <c r="BB478" i="28" s="1"/>
  <c r="AN478" i="28" a="1"/>
  <c r="AN478" i="28" s="1"/>
  <c r="AM478" i="28"/>
  <c r="B478" i="58" s="1"/>
  <c r="BC477" i="28" a="1"/>
  <c r="BC477" i="28" s="1"/>
  <c r="BB477" i="28" a="1"/>
  <c r="BB477" i="28" s="1"/>
  <c r="AN477" i="28" a="1"/>
  <c r="AN477" i="28" s="1"/>
  <c r="AM477" i="28"/>
  <c r="B477" i="58" s="1"/>
  <c r="BC476" i="28" a="1"/>
  <c r="BC476" i="28" s="1"/>
  <c r="BB476" i="28" a="1"/>
  <c r="BB476" i="28" s="1"/>
  <c r="AN476" i="28" a="1"/>
  <c r="AN476" i="28" s="1"/>
  <c r="AM476" i="28"/>
  <c r="B476" i="58" s="1"/>
  <c r="BC475" i="28" a="1"/>
  <c r="BC475" i="28" s="1"/>
  <c r="BB475" i="28" a="1"/>
  <c r="BB475" i="28" s="1"/>
  <c r="AN475" i="28" a="1"/>
  <c r="AN475" i="28" s="1"/>
  <c r="AM475" i="28"/>
  <c r="B475" i="58" s="1"/>
  <c r="BC474" i="28" a="1"/>
  <c r="BC474" i="28" s="1"/>
  <c r="BB474" i="28" a="1"/>
  <c r="BB474" i="28" s="1"/>
  <c r="AN474" i="28" a="1"/>
  <c r="AN474" i="28" s="1"/>
  <c r="AM474" i="28"/>
  <c r="B474" i="58" s="1"/>
  <c r="BC473" i="28" a="1"/>
  <c r="BC473" i="28" s="1"/>
  <c r="BB473" i="28" a="1"/>
  <c r="BB473" i="28" s="1"/>
  <c r="AN473" i="28" a="1"/>
  <c r="AN473" i="28" s="1"/>
  <c r="AM473" i="28"/>
  <c r="B473" i="58" s="1"/>
  <c r="BC472" i="28" a="1"/>
  <c r="BC472" i="28" s="1"/>
  <c r="BB472" i="28" a="1"/>
  <c r="BB472" i="28" s="1"/>
  <c r="AN472" i="28" a="1"/>
  <c r="AN472" i="28" s="1"/>
  <c r="AM472" i="28"/>
  <c r="B472" i="58" s="1"/>
  <c r="BC471" i="28" a="1"/>
  <c r="BC471" i="28" s="1"/>
  <c r="BB471" i="28" a="1"/>
  <c r="BB471" i="28" s="1"/>
  <c r="AN471" i="28" a="1"/>
  <c r="AN471" i="28" s="1"/>
  <c r="AM471" i="28"/>
  <c r="B471" i="58" s="1"/>
  <c r="BC470" i="28" a="1"/>
  <c r="BC470" i="28" s="1"/>
  <c r="BB470" i="28" a="1"/>
  <c r="BB470" i="28" s="1"/>
  <c r="AN470" i="28" a="1"/>
  <c r="AN470" i="28" s="1"/>
  <c r="AM470" i="28"/>
  <c r="B470" i="58" s="1"/>
  <c r="BC469" i="28" a="1"/>
  <c r="BC469" i="28" s="1"/>
  <c r="BB469" i="28" a="1"/>
  <c r="BB469" i="28" s="1"/>
  <c r="AN469" i="28" a="1"/>
  <c r="AN469" i="28" s="1"/>
  <c r="AM469" i="28"/>
  <c r="B469" i="58" s="1"/>
  <c r="BC468" i="28" a="1"/>
  <c r="BC468" i="28" s="1"/>
  <c r="BB468" i="28" a="1"/>
  <c r="BB468" i="28" s="1"/>
  <c r="AN468" i="28" a="1"/>
  <c r="AN468" i="28" s="1"/>
  <c r="AM468" i="28"/>
  <c r="B468" i="58" s="1"/>
  <c r="BC467" i="28" a="1"/>
  <c r="BC467" i="28" s="1"/>
  <c r="BB467" i="28" a="1"/>
  <c r="BB467" i="28" s="1"/>
  <c r="AN467" i="28" a="1"/>
  <c r="AN467" i="28" s="1"/>
  <c r="AM467" i="28"/>
  <c r="B467" i="58" s="1"/>
  <c r="BC466" i="28" a="1"/>
  <c r="BC466" i="28" s="1"/>
  <c r="BB466" i="28" a="1"/>
  <c r="BB466" i="28" s="1"/>
  <c r="AN466" i="28" a="1"/>
  <c r="AN466" i="28" s="1"/>
  <c r="AM466" i="28"/>
  <c r="B466" i="58" s="1"/>
  <c r="BC465" i="28" a="1"/>
  <c r="BC465" i="28" s="1"/>
  <c r="BB465" i="28" a="1"/>
  <c r="BB465" i="28" s="1"/>
  <c r="AN465" i="28" a="1"/>
  <c r="AN465" i="28" s="1"/>
  <c r="AM465" i="28"/>
  <c r="B465" i="58" s="1"/>
  <c r="BC464" i="28" a="1"/>
  <c r="BC464" i="28" s="1"/>
  <c r="BB464" i="28" a="1"/>
  <c r="BB464" i="28" s="1"/>
  <c r="AN464" i="28" a="1"/>
  <c r="AN464" i="28" s="1"/>
  <c r="AM464" i="28"/>
  <c r="B464" i="58" s="1"/>
  <c r="BC463" i="28" a="1"/>
  <c r="BC463" i="28" s="1"/>
  <c r="BB463" i="28" a="1"/>
  <c r="BB463" i="28" s="1"/>
  <c r="AN463" i="28" a="1"/>
  <c r="AN463" i="28" s="1"/>
  <c r="AM463" i="28"/>
  <c r="B463" i="58" s="1"/>
  <c r="BC462" i="28" a="1"/>
  <c r="BC462" i="28" s="1"/>
  <c r="BB462" i="28" a="1"/>
  <c r="BB462" i="28" s="1"/>
  <c r="AN462" i="28" a="1"/>
  <c r="AN462" i="28" s="1"/>
  <c r="AM462" i="28"/>
  <c r="B462" i="58" s="1"/>
  <c r="BC461" i="28" a="1"/>
  <c r="BC461" i="28" s="1"/>
  <c r="BB461" i="28" a="1"/>
  <c r="BB461" i="28" s="1"/>
  <c r="AN461" i="28" a="1"/>
  <c r="AN461" i="28" s="1"/>
  <c r="AM461" i="28"/>
  <c r="B461" i="58" s="1"/>
  <c r="BC460" i="28" a="1"/>
  <c r="BC460" i="28" s="1"/>
  <c r="BB460" i="28" a="1"/>
  <c r="BB460" i="28" s="1"/>
  <c r="AN460" i="28" a="1"/>
  <c r="AN460" i="28" s="1"/>
  <c r="AM460" i="28"/>
  <c r="B460" i="58" s="1"/>
  <c r="BC459" i="28" a="1"/>
  <c r="BC459" i="28" s="1"/>
  <c r="BB459" i="28" a="1"/>
  <c r="BB459" i="28" s="1"/>
  <c r="AN459" i="28" a="1"/>
  <c r="AN459" i="28" s="1"/>
  <c r="AM459" i="28"/>
  <c r="B459" i="58" s="1"/>
  <c r="BC458" i="28" a="1"/>
  <c r="BC458" i="28" s="1"/>
  <c r="BB458" i="28" a="1"/>
  <c r="BB458" i="28" s="1"/>
  <c r="AN458" i="28" a="1"/>
  <c r="AN458" i="28" s="1"/>
  <c r="AM458" i="28"/>
  <c r="B458" i="58" s="1"/>
  <c r="BC457" i="28" a="1"/>
  <c r="BC457" i="28" s="1"/>
  <c r="BB457" i="28" a="1"/>
  <c r="BB457" i="28" s="1"/>
  <c r="AN457" i="28" a="1"/>
  <c r="AN457" i="28" s="1"/>
  <c r="AM457" i="28"/>
  <c r="B457" i="58" s="1"/>
  <c r="BC456" i="28" a="1"/>
  <c r="BC456" i="28" s="1"/>
  <c r="BB456" i="28" a="1"/>
  <c r="BB456" i="28" s="1"/>
  <c r="AN456" i="28" a="1"/>
  <c r="AN456" i="28" s="1"/>
  <c r="AM456" i="28"/>
  <c r="B456" i="58" s="1"/>
  <c r="BC455" i="28" a="1"/>
  <c r="BC455" i="28" s="1"/>
  <c r="BB455" i="28" a="1"/>
  <c r="BB455" i="28" s="1"/>
  <c r="AN455" i="28" a="1"/>
  <c r="AN455" i="28" s="1"/>
  <c r="AM455" i="28"/>
  <c r="B455" i="58" s="1"/>
  <c r="BC454" i="28" a="1"/>
  <c r="BC454" i="28" s="1"/>
  <c r="BB454" i="28" a="1"/>
  <c r="BB454" i="28" s="1"/>
  <c r="AN454" i="28" a="1"/>
  <c r="AN454" i="28" s="1"/>
  <c r="AM454" i="28"/>
  <c r="B454" i="58" s="1"/>
  <c r="BC453" i="28" a="1"/>
  <c r="BC453" i="28" s="1"/>
  <c r="BB453" i="28" a="1"/>
  <c r="BB453" i="28" s="1"/>
  <c r="AN453" i="28" a="1"/>
  <c r="AN453" i="28" s="1"/>
  <c r="AM453" i="28"/>
  <c r="B453" i="58" s="1"/>
  <c r="BC452" i="28" a="1"/>
  <c r="BC452" i="28" s="1"/>
  <c r="BB452" i="28" a="1"/>
  <c r="BB452" i="28" s="1"/>
  <c r="AN452" i="28" a="1"/>
  <c r="AN452" i="28" s="1"/>
  <c r="AM452" i="28"/>
  <c r="B452" i="58" s="1"/>
  <c r="BC451" i="28" a="1"/>
  <c r="BC451" i="28" s="1"/>
  <c r="BB451" i="28" a="1"/>
  <c r="BB451" i="28" s="1"/>
  <c r="AN451" i="28" a="1"/>
  <c r="AN451" i="28" s="1"/>
  <c r="AM451" i="28"/>
  <c r="B451" i="58" s="1"/>
  <c r="BC450" i="28" a="1"/>
  <c r="BC450" i="28" s="1"/>
  <c r="BB450" i="28" a="1"/>
  <c r="BB450" i="28" s="1"/>
  <c r="AN450" i="28" a="1"/>
  <c r="AN450" i="28" s="1"/>
  <c r="AM450" i="28"/>
  <c r="B450" i="58" s="1"/>
  <c r="BC449" i="28" a="1"/>
  <c r="BC449" i="28" s="1"/>
  <c r="BB449" i="28" a="1"/>
  <c r="BB449" i="28" s="1"/>
  <c r="AN449" i="28" a="1"/>
  <c r="AN449" i="28" s="1"/>
  <c r="AM449" i="28"/>
  <c r="B449" i="58" s="1"/>
  <c r="BC448" i="28" a="1"/>
  <c r="BC448" i="28" s="1"/>
  <c r="BB448" i="28" a="1"/>
  <c r="BB448" i="28" s="1"/>
  <c r="AN448" i="28" a="1"/>
  <c r="AN448" i="28" s="1"/>
  <c r="AM448" i="28"/>
  <c r="B448" i="58" s="1"/>
  <c r="BC447" i="28" a="1"/>
  <c r="BC447" i="28" s="1"/>
  <c r="BB447" i="28" a="1"/>
  <c r="BB447" i="28" s="1"/>
  <c r="AN447" i="28" a="1"/>
  <c r="AN447" i="28" s="1"/>
  <c r="AM447" i="28"/>
  <c r="B447" i="58" s="1"/>
  <c r="BC446" i="28" a="1"/>
  <c r="BC446" i="28" s="1"/>
  <c r="BB446" i="28" a="1"/>
  <c r="BB446" i="28" s="1"/>
  <c r="AN446" i="28" a="1"/>
  <c r="AN446" i="28" s="1"/>
  <c r="AM446" i="28"/>
  <c r="B446" i="58" s="1"/>
  <c r="BC445" i="28" a="1"/>
  <c r="BC445" i="28" s="1"/>
  <c r="BB445" i="28" a="1"/>
  <c r="BB445" i="28" s="1"/>
  <c r="AN445" i="28" a="1"/>
  <c r="AN445" i="28" s="1"/>
  <c r="AM445" i="28"/>
  <c r="B445" i="58" s="1"/>
  <c r="BC444" i="28" a="1"/>
  <c r="BC444" i="28" s="1"/>
  <c r="BB444" i="28" a="1"/>
  <c r="BB444" i="28" s="1"/>
  <c r="AN444" i="28" a="1"/>
  <c r="AN444" i="28" s="1"/>
  <c r="AM444" i="28"/>
  <c r="B444" i="58" s="1"/>
  <c r="BC443" i="28" a="1"/>
  <c r="BC443" i="28" s="1"/>
  <c r="BB443" i="28" a="1"/>
  <c r="BB443" i="28" s="1"/>
  <c r="AN443" i="28" a="1"/>
  <c r="AN443" i="28" s="1"/>
  <c r="AM443" i="28"/>
  <c r="B443" i="58" s="1"/>
  <c r="BC442" i="28" a="1"/>
  <c r="BC442" i="28" s="1"/>
  <c r="BB442" i="28" a="1"/>
  <c r="BB442" i="28" s="1"/>
  <c r="AN442" i="28" a="1"/>
  <c r="AN442" i="28" s="1"/>
  <c r="AM442" i="28"/>
  <c r="B442" i="58" s="1"/>
  <c r="BC441" i="28" a="1"/>
  <c r="BC441" i="28" s="1"/>
  <c r="BB441" i="28" a="1"/>
  <c r="BB441" i="28" s="1"/>
  <c r="AN441" i="28" a="1"/>
  <c r="AN441" i="28" s="1"/>
  <c r="AM441" i="28"/>
  <c r="B441" i="58" s="1"/>
  <c r="BC440" i="28" a="1"/>
  <c r="BC440" i="28" s="1"/>
  <c r="BB440" i="28" a="1"/>
  <c r="BB440" i="28" s="1"/>
  <c r="AN440" i="28" a="1"/>
  <c r="AN440" i="28" s="1"/>
  <c r="AM440" i="28"/>
  <c r="B440" i="58" s="1"/>
  <c r="BC439" i="28" a="1"/>
  <c r="BC439" i="28" s="1"/>
  <c r="BB439" i="28" a="1"/>
  <c r="BB439" i="28" s="1"/>
  <c r="AN439" i="28" a="1"/>
  <c r="AN439" i="28" s="1"/>
  <c r="AM439" i="28"/>
  <c r="B439" i="58" s="1"/>
  <c r="BC438" i="28" a="1"/>
  <c r="BC438" i="28" s="1"/>
  <c r="BB438" i="28" a="1"/>
  <c r="BB438" i="28" s="1"/>
  <c r="AN438" i="28" a="1"/>
  <c r="AN438" i="28" s="1"/>
  <c r="AM438" i="28"/>
  <c r="B438" i="58" s="1"/>
  <c r="BC437" i="28" a="1"/>
  <c r="BC437" i="28" s="1"/>
  <c r="BB437" i="28" a="1"/>
  <c r="BB437" i="28" s="1"/>
  <c r="AN437" i="28" a="1"/>
  <c r="AN437" i="28" s="1"/>
  <c r="AM437" i="28"/>
  <c r="B437" i="58" s="1"/>
  <c r="BC436" i="28" a="1"/>
  <c r="BC436" i="28" s="1"/>
  <c r="BB436" i="28" a="1"/>
  <c r="BB436" i="28" s="1"/>
  <c r="AN436" i="28" a="1"/>
  <c r="AN436" i="28" s="1"/>
  <c r="AM436" i="28"/>
  <c r="B436" i="58" s="1"/>
  <c r="BC435" i="28" a="1"/>
  <c r="BC435" i="28" s="1"/>
  <c r="BB435" i="28" a="1"/>
  <c r="BB435" i="28" s="1"/>
  <c r="AN435" i="28" a="1"/>
  <c r="AN435" i="28" s="1"/>
  <c r="AM435" i="28"/>
  <c r="B435" i="58" s="1"/>
  <c r="BC434" i="28" a="1"/>
  <c r="BC434" i="28" s="1"/>
  <c r="BB434" i="28" a="1"/>
  <c r="BB434" i="28" s="1"/>
  <c r="AN434" i="28" a="1"/>
  <c r="AN434" i="28" s="1"/>
  <c r="AM434" i="28"/>
  <c r="B434" i="58" s="1"/>
  <c r="BC433" i="28" a="1"/>
  <c r="BC433" i="28" s="1"/>
  <c r="BB433" i="28" a="1"/>
  <c r="BB433" i="28" s="1"/>
  <c r="AN433" i="28" a="1"/>
  <c r="AN433" i="28" s="1"/>
  <c r="AM433" i="28"/>
  <c r="B433" i="58" s="1"/>
  <c r="BC432" i="28" a="1"/>
  <c r="BC432" i="28" s="1"/>
  <c r="BB432" i="28" a="1"/>
  <c r="BB432" i="28" s="1"/>
  <c r="AN432" i="28" a="1"/>
  <c r="AN432" i="28" s="1"/>
  <c r="AM432" i="28"/>
  <c r="B432" i="58" s="1"/>
  <c r="BC431" i="28" a="1"/>
  <c r="BC431" i="28" s="1"/>
  <c r="BB431" i="28" a="1"/>
  <c r="BB431" i="28" s="1"/>
  <c r="AN431" i="28" a="1"/>
  <c r="AN431" i="28" s="1"/>
  <c r="AM431" i="28"/>
  <c r="B431" i="58" s="1"/>
  <c r="BC430" i="28" a="1"/>
  <c r="BC430" i="28" s="1"/>
  <c r="BB430" i="28" a="1"/>
  <c r="BB430" i="28" s="1"/>
  <c r="AN430" i="28" a="1"/>
  <c r="AN430" i="28" s="1"/>
  <c r="AM430" i="28"/>
  <c r="B430" i="58" s="1"/>
  <c r="BC429" i="28" a="1"/>
  <c r="BC429" i="28" s="1"/>
  <c r="BB429" i="28" a="1"/>
  <c r="BB429" i="28" s="1"/>
  <c r="AN429" i="28" a="1"/>
  <c r="AN429" i="28" s="1"/>
  <c r="AM429" i="28"/>
  <c r="B429" i="58" s="1"/>
  <c r="BC428" i="28" a="1"/>
  <c r="BC428" i="28" s="1"/>
  <c r="BB428" i="28" a="1"/>
  <c r="BB428" i="28" s="1"/>
  <c r="AN428" i="28" a="1"/>
  <c r="AN428" i="28" s="1"/>
  <c r="AM428" i="28"/>
  <c r="B428" i="58" s="1"/>
  <c r="BC427" i="28" a="1"/>
  <c r="BC427" i="28" s="1"/>
  <c r="BB427" i="28" a="1"/>
  <c r="BB427" i="28" s="1"/>
  <c r="AN427" i="28" a="1"/>
  <c r="AN427" i="28" s="1"/>
  <c r="AM427" i="28"/>
  <c r="B427" i="58" s="1"/>
  <c r="BC426" i="28" a="1"/>
  <c r="BC426" i="28" s="1"/>
  <c r="BB426" i="28" a="1"/>
  <c r="BB426" i="28" s="1"/>
  <c r="AN426" i="28" a="1"/>
  <c r="AN426" i="28" s="1"/>
  <c r="AM426" i="28"/>
  <c r="B426" i="58" s="1"/>
  <c r="BC425" i="28" a="1"/>
  <c r="BC425" i="28" s="1"/>
  <c r="BB425" i="28" a="1"/>
  <c r="BB425" i="28" s="1"/>
  <c r="AN425" i="28" a="1"/>
  <c r="AN425" i="28" s="1"/>
  <c r="AM425" i="28"/>
  <c r="B425" i="58" s="1"/>
  <c r="BC424" i="28" a="1"/>
  <c r="BC424" i="28" s="1"/>
  <c r="BB424" i="28" a="1"/>
  <c r="BB424" i="28" s="1"/>
  <c r="AN424" i="28" a="1"/>
  <c r="AN424" i="28" s="1"/>
  <c r="AM424" i="28"/>
  <c r="B424" i="58" s="1"/>
  <c r="BC423" i="28" a="1"/>
  <c r="BC423" i="28" s="1"/>
  <c r="BB423" i="28" a="1"/>
  <c r="BB423" i="28" s="1"/>
  <c r="AN423" i="28" a="1"/>
  <c r="AN423" i="28" s="1"/>
  <c r="AM423" i="28"/>
  <c r="B423" i="58" s="1"/>
  <c r="BC422" i="28" a="1"/>
  <c r="BC422" i="28" s="1"/>
  <c r="BB422" i="28" a="1"/>
  <c r="BB422" i="28" s="1"/>
  <c r="AN422" i="28" a="1"/>
  <c r="AN422" i="28" s="1"/>
  <c r="AM422" i="28"/>
  <c r="B422" i="58" s="1"/>
  <c r="BC421" i="28" a="1"/>
  <c r="BC421" i="28" s="1"/>
  <c r="BB421" i="28" a="1"/>
  <c r="BB421" i="28" s="1"/>
  <c r="AN421" i="28" a="1"/>
  <c r="AN421" i="28" s="1"/>
  <c r="AM421" i="28"/>
  <c r="B421" i="58" s="1"/>
  <c r="BC420" i="28" a="1"/>
  <c r="BC420" i="28" s="1"/>
  <c r="BB420" i="28" a="1"/>
  <c r="BB420" i="28" s="1"/>
  <c r="AN420" i="28" a="1"/>
  <c r="AN420" i="28" s="1"/>
  <c r="AM420" i="28"/>
  <c r="B420" i="58" s="1"/>
  <c r="BC419" i="28" a="1"/>
  <c r="BC419" i="28" s="1"/>
  <c r="BB419" i="28" a="1"/>
  <c r="BB419" i="28" s="1"/>
  <c r="AN419" i="28" a="1"/>
  <c r="AN419" i="28" s="1"/>
  <c r="AM419" i="28"/>
  <c r="B419" i="58" s="1"/>
  <c r="BC418" i="28" a="1"/>
  <c r="BC418" i="28" s="1"/>
  <c r="BB418" i="28" a="1"/>
  <c r="BB418" i="28" s="1"/>
  <c r="AN418" i="28" a="1"/>
  <c r="AN418" i="28" s="1"/>
  <c r="AM418" i="28"/>
  <c r="B418" i="58" s="1"/>
  <c r="BC417" i="28" a="1"/>
  <c r="BC417" i="28" s="1"/>
  <c r="BB417" i="28" a="1"/>
  <c r="BB417" i="28" s="1"/>
  <c r="AN417" i="28" a="1"/>
  <c r="AN417" i="28" s="1"/>
  <c r="AM417" i="28"/>
  <c r="B417" i="58" s="1"/>
  <c r="BC416" i="28" a="1"/>
  <c r="BC416" i="28" s="1"/>
  <c r="BB416" i="28" a="1"/>
  <c r="BB416" i="28" s="1"/>
  <c r="AN416" i="28" a="1"/>
  <c r="AN416" i="28" s="1"/>
  <c r="AM416" i="28"/>
  <c r="B416" i="58" s="1"/>
  <c r="BC415" i="28" a="1"/>
  <c r="BC415" i="28" s="1"/>
  <c r="BB415" i="28" a="1"/>
  <c r="BB415" i="28" s="1"/>
  <c r="AN415" i="28" a="1"/>
  <c r="AN415" i="28" s="1"/>
  <c r="AM415" i="28"/>
  <c r="B415" i="58" s="1"/>
  <c r="BC414" i="28" a="1"/>
  <c r="BC414" i="28" s="1"/>
  <c r="BB414" i="28" a="1"/>
  <c r="BB414" i="28" s="1"/>
  <c r="AN414" i="28" a="1"/>
  <c r="AN414" i="28" s="1"/>
  <c r="AM414" i="28"/>
  <c r="B414" i="58" s="1"/>
  <c r="BC413" i="28" a="1"/>
  <c r="BC413" i="28" s="1"/>
  <c r="BB413" i="28" a="1"/>
  <c r="BB413" i="28" s="1"/>
  <c r="AN413" i="28" a="1"/>
  <c r="AN413" i="28" s="1"/>
  <c r="AM413" i="28"/>
  <c r="B413" i="58" s="1"/>
  <c r="BC412" i="28" a="1"/>
  <c r="BC412" i="28" s="1"/>
  <c r="BB412" i="28" a="1"/>
  <c r="BB412" i="28" s="1"/>
  <c r="AN412" i="28" a="1"/>
  <c r="AN412" i="28" s="1"/>
  <c r="AM412" i="28"/>
  <c r="B412" i="58" s="1"/>
  <c r="BC411" i="28" a="1"/>
  <c r="BC411" i="28" s="1"/>
  <c r="BB411" i="28" a="1"/>
  <c r="BB411" i="28" s="1"/>
  <c r="AN411" i="28" a="1"/>
  <c r="AN411" i="28" s="1"/>
  <c r="AM411" i="28"/>
  <c r="B411" i="58" s="1"/>
  <c r="BC410" i="28" a="1"/>
  <c r="BC410" i="28" s="1"/>
  <c r="BB410" i="28" a="1"/>
  <c r="BB410" i="28" s="1"/>
  <c r="AN410" i="28" a="1"/>
  <c r="AN410" i="28" s="1"/>
  <c r="AM410" i="28"/>
  <c r="B410" i="58" s="1"/>
  <c r="BC409" i="28" a="1"/>
  <c r="BC409" i="28" s="1"/>
  <c r="BB409" i="28" a="1"/>
  <c r="BB409" i="28" s="1"/>
  <c r="AN409" i="28" a="1"/>
  <c r="AN409" i="28" s="1"/>
  <c r="AM409" i="28"/>
  <c r="B409" i="58" s="1"/>
  <c r="BC408" i="28" a="1"/>
  <c r="BC408" i="28" s="1"/>
  <c r="BB408" i="28" a="1"/>
  <c r="BB408" i="28" s="1"/>
  <c r="AN408" i="28" a="1"/>
  <c r="AN408" i="28" s="1"/>
  <c r="AM408" i="28"/>
  <c r="B408" i="58" s="1"/>
  <c r="BC407" i="28" a="1"/>
  <c r="BC407" i="28" s="1"/>
  <c r="BB407" i="28" a="1"/>
  <c r="BB407" i="28" s="1"/>
  <c r="AN407" i="28" a="1"/>
  <c r="AN407" i="28" s="1"/>
  <c r="AM407" i="28"/>
  <c r="B407" i="58" s="1"/>
  <c r="BC406" i="28" a="1"/>
  <c r="BC406" i="28" s="1"/>
  <c r="BB406" i="28" a="1"/>
  <c r="BB406" i="28" s="1"/>
  <c r="AN406" i="28" a="1"/>
  <c r="AN406" i="28" s="1"/>
  <c r="AM406" i="28"/>
  <c r="B406" i="58" s="1"/>
  <c r="BC405" i="28" a="1"/>
  <c r="BC405" i="28" s="1"/>
  <c r="BB405" i="28" a="1"/>
  <c r="BB405" i="28" s="1"/>
  <c r="AN405" i="28" a="1"/>
  <c r="AN405" i="28" s="1"/>
  <c r="AM405" i="28"/>
  <c r="B405" i="58" s="1"/>
  <c r="BC404" i="28" a="1"/>
  <c r="BC404" i="28" s="1"/>
  <c r="BB404" i="28" a="1"/>
  <c r="BB404" i="28" s="1"/>
  <c r="AN404" i="28" a="1"/>
  <c r="AN404" i="28" s="1"/>
  <c r="AM404" i="28"/>
  <c r="B404" i="58" s="1"/>
  <c r="BC403" i="28" a="1"/>
  <c r="BC403" i="28" s="1"/>
  <c r="BB403" i="28" a="1"/>
  <c r="BB403" i="28" s="1"/>
  <c r="AN403" i="28" a="1"/>
  <c r="AN403" i="28" s="1"/>
  <c r="AM403" i="28"/>
  <c r="B403" i="58" s="1"/>
  <c r="BC402" i="28" a="1"/>
  <c r="BC402" i="28" s="1"/>
  <c r="BB402" i="28" a="1"/>
  <c r="BB402" i="28" s="1"/>
  <c r="AN402" i="28" a="1"/>
  <c r="AN402" i="28" s="1"/>
  <c r="AM402" i="28"/>
  <c r="B402" i="58" s="1"/>
  <c r="BC401" i="28" a="1"/>
  <c r="BC401" i="28" s="1"/>
  <c r="BB401" i="28" a="1"/>
  <c r="BB401" i="28" s="1"/>
  <c r="AN401" i="28" a="1"/>
  <c r="AN401" i="28" s="1"/>
  <c r="AM401" i="28"/>
  <c r="B401" i="58" s="1"/>
  <c r="BC400" i="28" a="1"/>
  <c r="BC400" i="28" s="1"/>
  <c r="BB400" i="28" a="1"/>
  <c r="BB400" i="28" s="1"/>
  <c r="AN400" i="28" a="1"/>
  <c r="AN400" i="28" s="1"/>
  <c r="AM400" i="28"/>
  <c r="B400" i="58" s="1"/>
  <c r="BC399" i="28" a="1"/>
  <c r="BC399" i="28" s="1"/>
  <c r="BB399" i="28" a="1"/>
  <c r="BB399" i="28" s="1"/>
  <c r="AN399" i="28" a="1"/>
  <c r="AN399" i="28" s="1"/>
  <c r="AM399" i="28"/>
  <c r="B399" i="58" s="1"/>
  <c r="BC398" i="28" a="1"/>
  <c r="BC398" i="28" s="1"/>
  <c r="BB398" i="28" a="1"/>
  <c r="BB398" i="28" s="1"/>
  <c r="AN398" i="28" a="1"/>
  <c r="AN398" i="28" s="1"/>
  <c r="AM398" i="28"/>
  <c r="B398" i="58" s="1"/>
  <c r="BC397" i="28" a="1"/>
  <c r="BC397" i="28" s="1"/>
  <c r="BB397" i="28" a="1"/>
  <c r="BB397" i="28" s="1"/>
  <c r="AN397" i="28" a="1"/>
  <c r="AN397" i="28" s="1"/>
  <c r="AM397" i="28"/>
  <c r="B397" i="58" s="1"/>
  <c r="BC396" i="28" a="1"/>
  <c r="BC396" i="28" s="1"/>
  <c r="BB396" i="28" a="1"/>
  <c r="BB396" i="28" s="1"/>
  <c r="AN396" i="28" a="1"/>
  <c r="AN396" i="28" s="1"/>
  <c r="AM396" i="28"/>
  <c r="B396" i="58" s="1"/>
  <c r="BC395" i="28" a="1"/>
  <c r="BC395" i="28" s="1"/>
  <c r="BB395" i="28" a="1"/>
  <c r="BB395" i="28" s="1"/>
  <c r="AN395" i="28" a="1"/>
  <c r="AN395" i="28" s="1"/>
  <c r="AM395" i="28"/>
  <c r="B395" i="58" s="1"/>
  <c r="BC394" i="28" a="1"/>
  <c r="BC394" i="28" s="1"/>
  <c r="BB394" i="28" a="1"/>
  <c r="BB394" i="28" s="1"/>
  <c r="AN394" i="28" a="1"/>
  <c r="AN394" i="28" s="1"/>
  <c r="AM394" i="28"/>
  <c r="B394" i="58" s="1"/>
  <c r="BC393" i="28" a="1"/>
  <c r="BC393" i="28" s="1"/>
  <c r="BB393" i="28" a="1"/>
  <c r="BB393" i="28" s="1"/>
  <c r="AN393" i="28" a="1"/>
  <c r="AN393" i="28" s="1"/>
  <c r="AM393" i="28"/>
  <c r="B393" i="58" s="1"/>
  <c r="BC392" i="28" a="1"/>
  <c r="BC392" i="28" s="1"/>
  <c r="BB392" i="28" a="1"/>
  <c r="BB392" i="28" s="1"/>
  <c r="AN392" i="28" a="1"/>
  <c r="AN392" i="28" s="1"/>
  <c r="AM392" i="28"/>
  <c r="B392" i="58" s="1"/>
  <c r="BC391" i="28" a="1"/>
  <c r="BC391" i="28" s="1"/>
  <c r="BB391" i="28" a="1"/>
  <c r="BB391" i="28" s="1"/>
  <c r="AN391" i="28" a="1"/>
  <c r="AN391" i="28" s="1"/>
  <c r="AM391" i="28"/>
  <c r="B391" i="58" s="1"/>
  <c r="BC390" i="28" a="1"/>
  <c r="BC390" i="28" s="1"/>
  <c r="BB390" i="28" a="1"/>
  <c r="BB390" i="28" s="1"/>
  <c r="AN390" i="28" a="1"/>
  <c r="AN390" i="28" s="1"/>
  <c r="AM390" i="28"/>
  <c r="B390" i="58" s="1"/>
  <c r="BC389" i="28" a="1"/>
  <c r="BC389" i="28" s="1"/>
  <c r="BB389" i="28" a="1"/>
  <c r="BB389" i="28" s="1"/>
  <c r="AN389" i="28" a="1"/>
  <c r="AN389" i="28" s="1"/>
  <c r="AM389" i="28"/>
  <c r="B389" i="58" s="1"/>
  <c r="BC388" i="28" a="1"/>
  <c r="BC388" i="28" s="1"/>
  <c r="BB388" i="28" a="1"/>
  <c r="BB388" i="28" s="1"/>
  <c r="AN388" i="28" a="1"/>
  <c r="AN388" i="28" s="1"/>
  <c r="AM388" i="28"/>
  <c r="B388" i="58" s="1"/>
  <c r="BC387" i="28" a="1"/>
  <c r="BC387" i="28" s="1"/>
  <c r="BB387" i="28" a="1"/>
  <c r="BB387" i="28" s="1"/>
  <c r="AN387" i="28" a="1"/>
  <c r="AN387" i="28" s="1"/>
  <c r="AM387" i="28"/>
  <c r="B387" i="58" s="1"/>
  <c r="BC386" i="28" a="1"/>
  <c r="BC386" i="28" s="1"/>
  <c r="BB386" i="28" a="1"/>
  <c r="BB386" i="28" s="1"/>
  <c r="AN386" i="28" a="1"/>
  <c r="AN386" i="28" s="1"/>
  <c r="AM386" i="28"/>
  <c r="B386" i="58" s="1"/>
  <c r="BC385" i="28" a="1"/>
  <c r="BC385" i="28" s="1"/>
  <c r="BB385" i="28" a="1"/>
  <c r="BB385" i="28" s="1"/>
  <c r="AN385" i="28" a="1"/>
  <c r="AN385" i="28" s="1"/>
  <c r="AM385" i="28"/>
  <c r="B385" i="58" s="1"/>
  <c r="BC384" i="28" a="1"/>
  <c r="BC384" i="28" s="1"/>
  <c r="BB384" i="28" a="1"/>
  <c r="BB384" i="28" s="1"/>
  <c r="AN384" i="28" a="1"/>
  <c r="AN384" i="28" s="1"/>
  <c r="AM384" i="28"/>
  <c r="B384" i="58" s="1"/>
  <c r="BC383" i="28" a="1"/>
  <c r="BC383" i="28" s="1"/>
  <c r="BB383" i="28" a="1"/>
  <c r="BB383" i="28" s="1"/>
  <c r="AN383" i="28" a="1"/>
  <c r="AN383" i="28" s="1"/>
  <c r="AM383" i="28"/>
  <c r="B383" i="58" s="1"/>
  <c r="BC382" i="28" a="1"/>
  <c r="BC382" i="28" s="1"/>
  <c r="BB382" i="28" a="1"/>
  <c r="BB382" i="28" s="1"/>
  <c r="AN382" i="28" a="1"/>
  <c r="AN382" i="28" s="1"/>
  <c r="AM382" i="28"/>
  <c r="B382" i="58" s="1"/>
  <c r="BC381" i="28" a="1"/>
  <c r="BC381" i="28" s="1"/>
  <c r="BB381" i="28" a="1"/>
  <c r="BB381" i="28" s="1"/>
  <c r="AN381" i="28" a="1"/>
  <c r="AN381" i="28" s="1"/>
  <c r="AM381" i="28"/>
  <c r="B381" i="58" s="1"/>
  <c r="BC380" i="28" a="1"/>
  <c r="BC380" i="28" s="1"/>
  <c r="BB380" i="28" a="1"/>
  <c r="BB380" i="28" s="1"/>
  <c r="AN380" i="28" a="1"/>
  <c r="AN380" i="28" s="1"/>
  <c r="AM380" i="28"/>
  <c r="B380" i="58" s="1"/>
  <c r="BC379" i="28" a="1"/>
  <c r="BC379" i="28" s="1"/>
  <c r="BB379" i="28" a="1"/>
  <c r="BB379" i="28" s="1"/>
  <c r="AN379" i="28" a="1"/>
  <c r="AN379" i="28" s="1"/>
  <c r="AM379" i="28"/>
  <c r="B379" i="58" s="1"/>
  <c r="BC378" i="28" a="1"/>
  <c r="BC378" i="28" s="1"/>
  <c r="BB378" i="28" a="1"/>
  <c r="BB378" i="28" s="1"/>
  <c r="AN378" i="28" a="1"/>
  <c r="AN378" i="28" s="1"/>
  <c r="AM378" i="28"/>
  <c r="B378" i="58" s="1"/>
  <c r="BC377" i="28" a="1"/>
  <c r="BC377" i="28" s="1"/>
  <c r="BB377" i="28" a="1"/>
  <c r="BB377" i="28" s="1"/>
  <c r="AN377" i="28" a="1"/>
  <c r="AN377" i="28" s="1"/>
  <c r="AM377" i="28"/>
  <c r="B377" i="58" s="1"/>
  <c r="BC376" i="28" a="1"/>
  <c r="BC376" i="28" s="1"/>
  <c r="BB376" i="28" a="1"/>
  <c r="BB376" i="28" s="1"/>
  <c r="AN376" i="28" a="1"/>
  <c r="AN376" i="28" s="1"/>
  <c r="AM376" i="28"/>
  <c r="B376" i="58" s="1"/>
  <c r="BC375" i="28" a="1"/>
  <c r="BC375" i="28" s="1"/>
  <c r="BB375" i="28" a="1"/>
  <c r="BB375" i="28" s="1"/>
  <c r="AN375" i="28" a="1"/>
  <c r="AN375" i="28" s="1"/>
  <c r="AM375" i="28"/>
  <c r="B375" i="58" s="1"/>
  <c r="BC374" i="28" a="1"/>
  <c r="BC374" i="28" s="1"/>
  <c r="BB374" i="28" a="1"/>
  <c r="BB374" i="28" s="1"/>
  <c r="AN374" i="28" a="1"/>
  <c r="AN374" i="28" s="1"/>
  <c r="AM374" i="28"/>
  <c r="B374" i="58" s="1"/>
  <c r="BC373" i="28" a="1"/>
  <c r="BC373" i="28" s="1"/>
  <c r="BB373" i="28" a="1"/>
  <c r="BB373" i="28" s="1"/>
  <c r="AN373" i="28" a="1"/>
  <c r="AN373" i="28" s="1"/>
  <c r="AM373" i="28"/>
  <c r="B373" i="58" s="1"/>
  <c r="BC372" i="28" a="1"/>
  <c r="BC372" i="28" s="1"/>
  <c r="BB372" i="28" a="1"/>
  <c r="BB372" i="28" s="1"/>
  <c r="AN372" i="28" a="1"/>
  <c r="AN372" i="28" s="1"/>
  <c r="AM372" i="28"/>
  <c r="B372" i="58" s="1"/>
  <c r="BC371" i="28" a="1"/>
  <c r="BC371" i="28" s="1"/>
  <c r="BB371" i="28" a="1"/>
  <c r="BB371" i="28" s="1"/>
  <c r="AN371" i="28" a="1"/>
  <c r="AN371" i="28" s="1"/>
  <c r="AM371" i="28"/>
  <c r="B371" i="58" s="1"/>
  <c r="BC370" i="28" a="1"/>
  <c r="BC370" i="28" s="1"/>
  <c r="BB370" i="28" a="1"/>
  <c r="BB370" i="28" s="1"/>
  <c r="AN370" i="28" a="1"/>
  <c r="AN370" i="28" s="1"/>
  <c r="AM370" i="28"/>
  <c r="B370" i="58" s="1"/>
  <c r="BC369" i="28" a="1"/>
  <c r="BC369" i="28" s="1"/>
  <c r="BB369" i="28" a="1"/>
  <c r="BB369" i="28" s="1"/>
  <c r="AN369" i="28" a="1"/>
  <c r="AN369" i="28" s="1"/>
  <c r="AM369" i="28"/>
  <c r="B369" i="58" s="1"/>
  <c r="BC368" i="28" a="1"/>
  <c r="BC368" i="28" s="1"/>
  <c r="BB368" i="28" a="1"/>
  <c r="BB368" i="28" s="1"/>
  <c r="AN368" i="28" a="1"/>
  <c r="AN368" i="28" s="1"/>
  <c r="AM368" i="28"/>
  <c r="B368" i="58" s="1"/>
  <c r="BC367" i="28" a="1"/>
  <c r="BC367" i="28" s="1"/>
  <c r="BB367" i="28" a="1"/>
  <c r="BB367" i="28" s="1"/>
  <c r="AN367" i="28" a="1"/>
  <c r="AN367" i="28" s="1"/>
  <c r="AM367" i="28"/>
  <c r="B367" i="58" s="1"/>
  <c r="BC366" i="28" a="1"/>
  <c r="BC366" i="28" s="1"/>
  <c r="BB366" i="28" a="1"/>
  <c r="BB366" i="28" s="1"/>
  <c r="AN366" i="28" a="1"/>
  <c r="AN366" i="28" s="1"/>
  <c r="AM366" i="28"/>
  <c r="B366" i="58" s="1"/>
  <c r="BC365" i="28" a="1"/>
  <c r="BC365" i="28" s="1"/>
  <c r="BB365" i="28" a="1"/>
  <c r="BB365" i="28" s="1"/>
  <c r="AN365" i="28" a="1"/>
  <c r="AN365" i="28" s="1"/>
  <c r="AM365" i="28"/>
  <c r="B365" i="58" s="1"/>
  <c r="BC364" i="28" a="1"/>
  <c r="BC364" i="28" s="1"/>
  <c r="BB364" i="28" a="1"/>
  <c r="BB364" i="28" s="1"/>
  <c r="AN364" i="28" a="1"/>
  <c r="AN364" i="28" s="1"/>
  <c r="AM364" i="28"/>
  <c r="B364" i="58" s="1"/>
  <c r="BC363" i="28" a="1"/>
  <c r="BC363" i="28" s="1"/>
  <c r="BB363" i="28" a="1"/>
  <c r="BB363" i="28" s="1"/>
  <c r="AN363" i="28" a="1"/>
  <c r="AN363" i="28" s="1"/>
  <c r="AM363" i="28"/>
  <c r="B363" i="58" s="1"/>
  <c r="BC362" i="28" a="1"/>
  <c r="BC362" i="28" s="1"/>
  <c r="BB362" i="28" a="1"/>
  <c r="BB362" i="28" s="1"/>
  <c r="AN362" i="28" a="1"/>
  <c r="AN362" i="28" s="1"/>
  <c r="AM362" i="28"/>
  <c r="B362" i="58" s="1"/>
  <c r="BC361" i="28" a="1"/>
  <c r="BC361" i="28" s="1"/>
  <c r="BB361" i="28" a="1"/>
  <c r="BB361" i="28" s="1"/>
  <c r="AN361" i="28" a="1"/>
  <c r="AN361" i="28" s="1"/>
  <c r="AM361" i="28"/>
  <c r="B361" i="58" s="1"/>
  <c r="BC360" i="28" a="1"/>
  <c r="BC360" i="28" s="1"/>
  <c r="BB360" i="28" a="1"/>
  <c r="BB360" i="28" s="1"/>
  <c r="AN360" i="28" a="1"/>
  <c r="AN360" i="28" s="1"/>
  <c r="AM360" i="28"/>
  <c r="B360" i="58" s="1"/>
  <c r="BC359" i="28" a="1"/>
  <c r="BC359" i="28" s="1"/>
  <c r="BB359" i="28" a="1"/>
  <c r="BB359" i="28" s="1"/>
  <c r="AN359" i="28" a="1"/>
  <c r="AN359" i="28" s="1"/>
  <c r="AM359" i="28"/>
  <c r="B359" i="58" s="1"/>
  <c r="BC358" i="28" a="1"/>
  <c r="BC358" i="28" s="1"/>
  <c r="BB358" i="28" a="1"/>
  <c r="BB358" i="28" s="1"/>
  <c r="AN358" i="28" a="1"/>
  <c r="AN358" i="28" s="1"/>
  <c r="AM358" i="28"/>
  <c r="B358" i="58" s="1"/>
  <c r="BC357" i="28" a="1"/>
  <c r="BC357" i="28" s="1"/>
  <c r="BB357" i="28" a="1"/>
  <c r="BB357" i="28" s="1"/>
  <c r="AN357" i="28" a="1"/>
  <c r="AN357" i="28" s="1"/>
  <c r="AM357" i="28"/>
  <c r="B357" i="58" s="1"/>
  <c r="BC356" i="28" a="1"/>
  <c r="BC356" i="28" s="1"/>
  <c r="BB356" i="28" a="1"/>
  <c r="BB356" i="28" s="1"/>
  <c r="AN356" i="28" a="1"/>
  <c r="AN356" i="28" s="1"/>
  <c r="AM356" i="28"/>
  <c r="B356" i="58" s="1"/>
  <c r="BC355" i="28" a="1"/>
  <c r="BC355" i="28" s="1"/>
  <c r="BB355" i="28" a="1"/>
  <c r="BB355" i="28" s="1"/>
  <c r="AN355" i="28" a="1"/>
  <c r="AN355" i="28" s="1"/>
  <c r="AM355" i="28"/>
  <c r="B355" i="58" s="1"/>
  <c r="BC354" i="28" a="1"/>
  <c r="BC354" i="28" s="1"/>
  <c r="BB354" i="28" a="1"/>
  <c r="BB354" i="28" s="1"/>
  <c r="AN354" i="28" a="1"/>
  <c r="AN354" i="28" s="1"/>
  <c r="AM354" i="28"/>
  <c r="B354" i="58" s="1"/>
  <c r="BC353" i="28" a="1"/>
  <c r="BC353" i="28" s="1"/>
  <c r="BB353" i="28" a="1"/>
  <c r="BB353" i="28" s="1"/>
  <c r="AN353" i="28" a="1"/>
  <c r="AN353" i="28" s="1"/>
  <c r="AM353" i="28"/>
  <c r="B353" i="58" s="1"/>
  <c r="BC352" i="28" a="1"/>
  <c r="BC352" i="28" s="1"/>
  <c r="BB352" i="28" a="1"/>
  <c r="BB352" i="28" s="1"/>
  <c r="AN352" i="28" a="1"/>
  <c r="AN352" i="28" s="1"/>
  <c r="AM352" i="28"/>
  <c r="B352" i="58" s="1"/>
  <c r="BC351" i="28" a="1"/>
  <c r="BC351" i="28" s="1"/>
  <c r="BB351" i="28" a="1"/>
  <c r="BB351" i="28" s="1"/>
  <c r="AN351" i="28" a="1"/>
  <c r="AN351" i="28" s="1"/>
  <c r="AM351" i="28"/>
  <c r="B351" i="58" s="1"/>
  <c r="BC350" i="28" a="1"/>
  <c r="BC350" i="28" s="1"/>
  <c r="BB350" i="28" a="1"/>
  <c r="BB350" i="28" s="1"/>
  <c r="AN350" i="28" a="1"/>
  <c r="AN350" i="28" s="1"/>
  <c r="AM350" i="28"/>
  <c r="B350" i="58" s="1"/>
  <c r="BC349" i="28" a="1"/>
  <c r="BC349" i="28" s="1"/>
  <c r="BB349" i="28" a="1"/>
  <c r="BB349" i="28" s="1"/>
  <c r="AN349" i="28" a="1"/>
  <c r="AN349" i="28" s="1"/>
  <c r="AM349" i="28"/>
  <c r="B349" i="58" s="1"/>
  <c r="BC348" i="28" a="1"/>
  <c r="BC348" i="28" s="1"/>
  <c r="BB348" i="28" a="1"/>
  <c r="BB348" i="28" s="1"/>
  <c r="AN348" i="28" a="1"/>
  <c r="AN348" i="28" s="1"/>
  <c r="AM348" i="28"/>
  <c r="B348" i="58" s="1"/>
  <c r="BC347" i="28" a="1"/>
  <c r="BC347" i="28" s="1"/>
  <c r="BB347" i="28" a="1"/>
  <c r="BB347" i="28" s="1"/>
  <c r="AN347" i="28" a="1"/>
  <c r="AN347" i="28" s="1"/>
  <c r="AM347" i="28"/>
  <c r="B347" i="58" s="1"/>
  <c r="BC346" i="28" a="1"/>
  <c r="BC346" i="28" s="1"/>
  <c r="BB346" i="28" a="1"/>
  <c r="BB346" i="28" s="1"/>
  <c r="AN346" i="28" a="1"/>
  <c r="AN346" i="28" s="1"/>
  <c r="AM346" i="28"/>
  <c r="B346" i="58" s="1"/>
  <c r="BC345" i="28" a="1"/>
  <c r="BC345" i="28" s="1"/>
  <c r="BB345" i="28" a="1"/>
  <c r="BB345" i="28" s="1"/>
  <c r="AN345" i="28" a="1"/>
  <c r="AN345" i="28" s="1"/>
  <c r="AM345" i="28"/>
  <c r="B345" i="58" s="1"/>
  <c r="BC344" i="28" a="1"/>
  <c r="BC344" i="28" s="1"/>
  <c r="BB344" i="28" a="1"/>
  <c r="BB344" i="28" s="1"/>
  <c r="AN344" i="28" a="1"/>
  <c r="AN344" i="28" s="1"/>
  <c r="AM344" i="28"/>
  <c r="B344" i="58" s="1"/>
  <c r="BC343" i="28" a="1"/>
  <c r="BC343" i="28" s="1"/>
  <c r="BB343" i="28" a="1"/>
  <c r="BB343" i="28" s="1"/>
  <c r="AN343" i="28" a="1"/>
  <c r="AN343" i="28" s="1"/>
  <c r="AM343" i="28"/>
  <c r="B343" i="58" s="1"/>
  <c r="BC342" i="28" a="1"/>
  <c r="BC342" i="28" s="1"/>
  <c r="BB342" i="28" a="1"/>
  <c r="BB342" i="28" s="1"/>
  <c r="AN342" i="28" a="1"/>
  <c r="AN342" i="28" s="1"/>
  <c r="AM342" i="28"/>
  <c r="B342" i="58" s="1"/>
  <c r="BC341" i="28" a="1"/>
  <c r="BC341" i="28" s="1"/>
  <c r="BB341" i="28" a="1"/>
  <c r="BB341" i="28" s="1"/>
  <c r="AN341" i="28" a="1"/>
  <c r="AN341" i="28" s="1"/>
  <c r="AM341" i="28"/>
  <c r="B341" i="58" s="1"/>
  <c r="BC340" i="28" a="1"/>
  <c r="BC340" i="28" s="1"/>
  <c r="BB340" i="28" a="1"/>
  <c r="BB340" i="28" s="1"/>
  <c r="AN340" i="28" a="1"/>
  <c r="AN340" i="28" s="1"/>
  <c r="AM340" i="28"/>
  <c r="B340" i="58" s="1"/>
  <c r="BC339" i="28" a="1"/>
  <c r="BC339" i="28" s="1"/>
  <c r="BB339" i="28" a="1"/>
  <c r="BB339" i="28" s="1"/>
  <c r="AN339" i="28" a="1"/>
  <c r="AN339" i="28" s="1"/>
  <c r="AM339" i="28"/>
  <c r="B339" i="58" s="1"/>
  <c r="BC338" i="28" a="1"/>
  <c r="BC338" i="28" s="1"/>
  <c r="BB338" i="28" a="1"/>
  <c r="BB338" i="28" s="1"/>
  <c r="AN338" i="28" a="1"/>
  <c r="AN338" i="28" s="1"/>
  <c r="AM338" i="28"/>
  <c r="B338" i="58" s="1"/>
  <c r="BC337" i="28" a="1"/>
  <c r="BC337" i="28" s="1"/>
  <c r="BB337" i="28" a="1"/>
  <c r="BB337" i="28" s="1"/>
  <c r="AN337" i="28" a="1"/>
  <c r="AN337" i="28" s="1"/>
  <c r="AM337" i="28"/>
  <c r="B337" i="58" s="1"/>
  <c r="BC336" i="28" a="1"/>
  <c r="BC336" i="28" s="1"/>
  <c r="BB336" i="28" a="1"/>
  <c r="BB336" i="28" s="1"/>
  <c r="AN336" i="28" a="1"/>
  <c r="AN336" i="28" s="1"/>
  <c r="AM336" i="28"/>
  <c r="B336" i="58" s="1"/>
  <c r="BC335" i="28" a="1"/>
  <c r="BC335" i="28" s="1"/>
  <c r="BB335" i="28" a="1"/>
  <c r="BB335" i="28" s="1"/>
  <c r="AN335" i="28" a="1"/>
  <c r="AN335" i="28" s="1"/>
  <c r="AM335" i="28"/>
  <c r="B335" i="58" s="1"/>
  <c r="BC334" i="28" a="1"/>
  <c r="BC334" i="28" s="1"/>
  <c r="BB334" i="28" a="1"/>
  <c r="BB334" i="28" s="1"/>
  <c r="AN334" i="28" a="1"/>
  <c r="AN334" i="28" s="1"/>
  <c r="AM334" i="28"/>
  <c r="B334" i="58" s="1"/>
  <c r="BC333" i="28" a="1"/>
  <c r="BC333" i="28" s="1"/>
  <c r="BB333" i="28" a="1"/>
  <c r="BB333" i="28" s="1"/>
  <c r="AN333" i="28" a="1"/>
  <c r="AN333" i="28" s="1"/>
  <c r="AM333" i="28"/>
  <c r="B333" i="58" s="1"/>
  <c r="BC332" i="28" a="1"/>
  <c r="BC332" i="28" s="1"/>
  <c r="BB332" i="28" a="1"/>
  <c r="BB332" i="28" s="1"/>
  <c r="AN332" i="28" a="1"/>
  <c r="AN332" i="28" s="1"/>
  <c r="AM332" i="28"/>
  <c r="B332" i="58" s="1"/>
  <c r="BC331" i="28" a="1"/>
  <c r="BC331" i="28" s="1"/>
  <c r="BB331" i="28" a="1"/>
  <c r="BB331" i="28" s="1"/>
  <c r="AN331" i="28" a="1"/>
  <c r="AN331" i="28" s="1"/>
  <c r="AM331" i="28"/>
  <c r="B331" i="58" s="1"/>
  <c r="BC330" i="28" a="1"/>
  <c r="BC330" i="28" s="1"/>
  <c r="BB330" i="28" a="1"/>
  <c r="BB330" i="28" s="1"/>
  <c r="AN330" i="28" a="1"/>
  <c r="AN330" i="28" s="1"/>
  <c r="AM330" i="28"/>
  <c r="B330" i="58" s="1"/>
  <c r="BC329" i="28" a="1"/>
  <c r="BC329" i="28" s="1"/>
  <c r="BB329" i="28" a="1"/>
  <c r="BB329" i="28" s="1"/>
  <c r="AN329" i="28" a="1"/>
  <c r="AN329" i="28" s="1"/>
  <c r="AM329" i="28"/>
  <c r="B329" i="58" s="1"/>
  <c r="BC328" i="28" a="1"/>
  <c r="BC328" i="28" s="1"/>
  <c r="BB328" i="28" a="1"/>
  <c r="BB328" i="28" s="1"/>
  <c r="AN328" i="28" a="1"/>
  <c r="AN328" i="28" s="1"/>
  <c r="AM328" i="28"/>
  <c r="B328" i="58" s="1"/>
  <c r="BC327" i="28" a="1"/>
  <c r="BC327" i="28" s="1"/>
  <c r="BB327" i="28" a="1"/>
  <c r="BB327" i="28" s="1"/>
  <c r="AN327" i="28" a="1"/>
  <c r="AN327" i="28" s="1"/>
  <c r="AM327" i="28"/>
  <c r="B327" i="58" s="1"/>
  <c r="BC326" i="28" a="1"/>
  <c r="BC326" i="28" s="1"/>
  <c r="BB326" i="28" a="1"/>
  <c r="BB326" i="28" s="1"/>
  <c r="AN326" i="28" a="1"/>
  <c r="AN326" i="28" s="1"/>
  <c r="AM326" i="28"/>
  <c r="B326" i="58" s="1"/>
  <c r="BC325" i="28" a="1"/>
  <c r="BC325" i="28" s="1"/>
  <c r="BB325" i="28" a="1"/>
  <c r="BB325" i="28" s="1"/>
  <c r="AN325" i="28" a="1"/>
  <c r="AN325" i="28" s="1"/>
  <c r="AM325" i="28"/>
  <c r="B325" i="58" s="1"/>
  <c r="BC324" i="28" a="1"/>
  <c r="BC324" i="28" s="1"/>
  <c r="BB324" i="28" a="1"/>
  <c r="BB324" i="28" s="1"/>
  <c r="AN324" i="28" a="1"/>
  <c r="AN324" i="28" s="1"/>
  <c r="AM324" i="28"/>
  <c r="B324" i="58" s="1"/>
  <c r="BC323" i="28" a="1"/>
  <c r="BC323" i="28" s="1"/>
  <c r="BB323" i="28" a="1"/>
  <c r="BB323" i="28" s="1"/>
  <c r="AN323" i="28" a="1"/>
  <c r="AN323" i="28" s="1"/>
  <c r="AM323" i="28"/>
  <c r="B323" i="58" s="1"/>
  <c r="BC322" i="28" a="1"/>
  <c r="BC322" i="28" s="1"/>
  <c r="BB322" i="28" a="1"/>
  <c r="BB322" i="28" s="1"/>
  <c r="AN322" i="28" a="1"/>
  <c r="AN322" i="28" s="1"/>
  <c r="AM322" i="28"/>
  <c r="B322" i="58" s="1"/>
  <c r="BC321" i="28" a="1"/>
  <c r="BC321" i="28" s="1"/>
  <c r="BB321" i="28" a="1"/>
  <c r="BB321" i="28" s="1"/>
  <c r="AN321" i="28" a="1"/>
  <c r="AN321" i="28" s="1"/>
  <c r="AM321" i="28"/>
  <c r="B321" i="58" s="1"/>
  <c r="BC320" i="28" a="1"/>
  <c r="BC320" i="28" s="1"/>
  <c r="BB320" i="28" a="1"/>
  <c r="BB320" i="28" s="1"/>
  <c r="AN320" i="28" a="1"/>
  <c r="AN320" i="28" s="1"/>
  <c r="AM320" i="28"/>
  <c r="B320" i="58" s="1"/>
  <c r="BC319" i="28" a="1"/>
  <c r="BC319" i="28" s="1"/>
  <c r="BB319" i="28" a="1"/>
  <c r="BB319" i="28" s="1"/>
  <c r="AN319" i="28" a="1"/>
  <c r="AN319" i="28" s="1"/>
  <c r="AM319" i="28"/>
  <c r="B319" i="58" s="1"/>
  <c r="BC318" i="28" a="1"/>
  <c r="BC318" i="28" s="1"/>
  <c r="BB318" i="28" a="1"/>
  <c r="BB318" i="28" s="1"/>
  <c r="AN318" i="28" a="1"/>
  <c r="AN318" i="28" s="1"/>
  <c r="AM318" i="28"/>
  <c r="B318" i="58" s="1"/>
  <c r="BC317" i="28" a="1"/>
  <c r="BC317" i="28" s="1"/>
  <c r="BB317" i="28" a="1"/>
  <c r="BB317" i="28" s="1"/>
  <c r="AN317" i="28" a="1"/>
  <c r="AN317" i="28" s="1"/>
  <c r="AM317" i="28"/>
  <c r="B317" i="58" s="1"/>
  <c r="BC316" i="28" a="1"/>
  <c r="BC316" i="28" s="1"/>
  <c r="BB316" i="28" a="1"/>
  <c r="BB316" i="28" s="1"/>
  <c r="AN316" i="28" a="1"/>
  <c r="AN316" i="28" s="1"/>
  <c r="AM316" i="28"/>
  <c r="B316" i="58" s="1"/>
  <c r="BC315" i="28" a="1"/>
  <c r="BC315" i="28" s="1"/>
  <c r="BB315" i="28" a="1"/>
  <c r="BB315" i="28" s="1"/>
  <c r="AN315" i="28" a="1"/>
  <c r="AN315" i="28" s="1"/>
  <c r="AM315" i="28"/>
  <c r="B315" i="58" s="1"/>
  <c r="BC314" i="28" a="1"/>
  <c r="BC314" i="28" s="1"/>
  <c r="BB314" i="28" a="1"/>
  <c r="BB314" i="28" s="1"/>
  <c r="AN314" i="28" a="1"/>
  <c r="AN314" i="28" s="1"/>
  <c r="AM314" i="28"/>
  <c r="B314" i="58" s="1"/>
  <c r="BC313" i="28" a="1"/>
  <c r="BC313" i="28" s="1"/>
  <c r="BB313" i="28" a="1"/>
  <c r="BB313" i="28" s="1"/>
  <c r="AN313" i="28" a="1"/>
  <c r="AN313" i="28" s="1"/>
  <c r="AM313" i="28"/>
  <c r="B313" i="58" s="1"/>
  <c r="BC312" i="28" a="1"/>
  <c r="BC312" i="28" s="1"/>
  <c r="BB312" i="28" a="1"/>
  <c r="BB312" i="28" s="1"/>
  <c r="AN312" i="28" a="1"/>
  <c r="AN312" i="28" s="1"/>
  <c r="AM312" i="28"/>
  <c r="B312" i="58" s="1"/>
  <c r="BC311" i="28" a="1"/>
  <c r="BC311" i="28" s="1"/>
  <c r="BB311" i="28" a="1"/>
  <c r="BB311" i="28" s="1"/>
  <c r="AN311" i="28" a="1"/>
  <c r="AN311" i="28" s="1"/>
  <c r="AM311" i="28"/>
  <c r="B311" i="58" s="1"/>
  <c r="BC310" i="28" a="1"/>
  <c r="BC310" i="28" s="1"/>
  <c r="BB310" i="28" a="1"/>
  <c r="BB310" i="28" s="1"/>
  <c r="AN310" i="28" a="1"/>
  <c r="AN310" i="28" s="1"/>
  <c r="AM310" i="28"/>
  <c r="B310" i="58" s="1"/>
  <c r="BC309" i="28" a="1"/>
  <c r="BC309" i="28" s="1"/>
  <c r="BB309" i="28" a="1"/>
  <c r="BB309" i="28" s="1"/>
  <c r="AN309" i="28" a="1"/>
  <c r="AN309" i="28" s="1"/>
  <c r="AM309" i="28"/>
  <c r="B309" i="58" s="1"/>
  <c r="BC308" i="28" a="1"/>
  <c r="BC308" i="28" s="1"/>
  <c r="BB308" i="28" a="1"/>
  <c r="BB308" i="28" s="1"/>
  <c r="AN308" i="28" a="1"/>
  <c r="AN308" i="28" s="1"/>
  <c r="AM308" i="28"/>
  <c r="B308" i="58" s="1"/>
  <c r="BC307" i="28" a="1"/>
  <c r="BC307" i="28" s="1"/>
  <c r="BB307" i="28" a="1"/>
  <c r="BB307" i="28" s="1"/>
  <c r="AN307" i="28" a="1"/>
  <c r="AN307" i="28" s="1"/>
  <c r="AM307" i="28"/>
  <c r="B307" i="58" s="1"/>
  <c r="BC306" i="28" a="1"/>
  <c r="BC306" i="28" s="1"/>
  <c r="BB306" i="28" a="1"/>
  <c r="BB306" i="28" s="1"/>
  <c r="AN306" i="28" a="1"/>
  <c r="AN306" i="28" s="1"/>
  <c r="AM306" i="28"/>
  <c r="B306" i="58" s="1"/>
  <c r="BC305" i="28" a="1"/>
  <c r="BC305" i="28" s="1"/>
  <c r="BB305" i="28" a="1"/>
  <c r="BB305" i="28" s="1"/>
  <c r="AN305" i="28" a="1"/>
  <c r="AN305" i="28" s="1"/>
  <c r="AM305" i="28"/>
  <c r="B305" i="58" s="1"/>
  <c r="BC304" i="28" a="1"/>
  <c r="BC304" i="28" s="1"/>
  <c r="BB304" i="28" a="1"/>
  <c r="BB304" i="28" s="1"/>
  <c r="AN304" i="28" a="1"/>
  <c r="AN304" i="28" s="1"/>
  <c r="AM304" i="28"/>
  <c r="B304" i="58" s="1"/>
  <c r="BC303" i="28" a="1"/>
  <c r="BC303" i="28" s="1"/>
  <c r="BB303" i="28" a="1"/>
  <c r="BB303" i="28" s="1"/>
  <c r="AN303" i="28" a="1"/>
  <c r="AN303" i="28" s="1"/>
  <c r="AM303" i="28"/>
  <c r="B303" i="58" s="1"/>
  <c r="BC302" i="28" a="1"/>
  <c r="BC302" i="28" s="1"/>
  <c r="BB302" i="28" a="1"/>
  <c r="BB302" i="28" s="1"/>
  <c r="AN302" i="28" a="1"/>
  <c r="AN302" i="28" s="1"/>
  <c r="AM302" i="28"/>
  <c r="B302" i="58" s="1"/>
  <c r="BC301" i="28" a="1"/>
  <c r="BC301" i="28" s="1"/>
  <c r="BB301" i="28" a="1"/>
  <c r="BB301" i="28" s="1"/>
  <c r="AN301" i="28" a="1"/>
  <c r="AN301" i="28" s="1"/>
  <c r="AM301" i="28"/>
  <c r="B301" i="58" s="1"/>
  <c r="BC300" i="28" a="1"/>
  <c r="BC300" i="28" s="1"/>
  <c r="BB300" i="28" a="1"/>
  <c r="BB300" i="28" s="1"/>
  <c r="AN300" i="28" a="1"/>
  <c r="AN300" i="28" s="1"/>
  <c r="AM300" i="28"/>
  <c r="B300" i="58" s="1"/>
  <c r="BC299" i="28" a="1"/>
  <c r="BC299" i="28" s="1"/>
  <c r="BB299" i="28" a="1"/>
  <c r="BB299" i="28" s="1"/>
  <c r="AN299" i="28" a="1"/>
  <c r="AN299" i="28" s="1"/>
  <c r="AM299" i="28"/>
  <c r="B299" i="58" s="1"/>
  <c r="BC298" i="28" a="1"/>
  <c r="BC298" i="28" s="1"/>
  <c r="BB298" i="28" a="1"/>
  <c r="BB298" i="28" s="1"/>
  <c r="AN298" i="28" a="1"/>
  <c r="AN298" i="28" s="1"/>
  <c r="AM298" i="28"/>
  <c r="B298" i="58" s="1"/>
  <c r="BC297" i="28" a="1"/>
  <c r="BC297" i="28" s="1"/>
  <c r="BB297" i="28" a="1"/>
  <c r="BB297" i="28" s="1"/>
  <c r="AN297" i="28" a="1"/>
  <c r="AN297" i="28" s="1"/>
  <c r="AM297" i="28"/>
  <c r="B297" i="58" s="1"/>
  <c r="BC296" i="28" a="1"/>
  <c r="BC296" i="28" s="1"/>
  <c r="BB296" i="28" a="1"/>
  <c r="BB296" i="28" s="1"/>
  <c r="AN296" i="28" a="1"/>
  <c r="AN296" i="28" s="1"/>
  <c r="AM296" i="28"/>
  <c r="B296" i="58" s="1"/>
  <c r="BC295" i="28" a="1"/>
  <c r="BC295" i="28" s="1"/>
  <c r="BB295" i="28" a="1"/>
  <c r="BB295" i="28" s="1"/>
  <c r="AN295" i="28" a="1"/>
  <c r="AN295" i="28" s="1"/>
  <c r="AM295" i="28"/>
  <c r="B295" i="58" s="1"/>
  <c r="BC294" i="28" a="1"/>
  <c r="BC294" i="28" s="1"/>
  <c r="BB294" i="28" a="1"/>
  <c r="BB294" i="28" s="1"/>
  <c r="AN294" i="28" a="1"/>
  <c r="AN294" i="28" s="1"/>
  <c r="AM294" i="28"/>
  <c r="B294" i="58" s="1"/>
  <c r="BC293" i="28" a="1"/>
  <c r="BC293" i="28" s="1"/>
  <c r="BB293" i="28" a="1"/>
  <c r="BB293" i="28" s="1"/>
  <c r="AN293" i="28" a="1"/>
  <c r="AN293" i="28" s="1"/>
  <c r="AM293" i="28"/>
  <c r="B293" i="58" s="1"/>
  <c r="BC292" i="28" a="1"/>
  <c r="BC292" i="28" s="1"/>
  <c r="BB292" i="28" a="1"/>
  <c r="BB292" i="28" s="1"/>
  <c r="AN292" i="28" a="1"/>
  <c r="AN292" i="28" s="1"/>
  <c r="AM292" i="28"/>
  <c r="B292" i="58" s="1"/>
  <c r="BC291" i="28" a="1"/>
  <c r="BC291" i="28" s="1"/>
  <c r="BB291" i="28" a="1"/>
  <c r="BB291" i="28" s="1"/>
  <c r="AN291" i="28" a="1"/>
  <c r="AN291" i="28" s="1"/>
  <c r="AM291" i="28"/>
  <c r="B291" i="58" s="1"/>
  <c r="BC290" i="28" a="1"/>
  <c r="BC290" i="28" s="1"/>
  <c r="BB290" i="28" a="1"/>
  <c r="BB290" i="28" s="1"/>
  <c r="AN290" i="28" a="1"/>
  <c r="AN290" i="28" s="1"/>
  <c r="AM290" i="28"/>
  <c r="B290" i="58" s="1"/>
  <c r="BC289" i="28" a="1"/>
  <c r="BC289" i="28" s="1"/>
  <c r="BB289" i="28" a="1"/>
  <c r="BB289" i="28" s="1"/>
  <c r="AN289" i="28" a="1"/>
  <c r="AN289" i="28" s="1"/>
  <c r="AM289" i="28"/>
  <c r="B289" i="58" s="1"/>
  <c r="BC288" i="28" a="1"/>
  <c r="BC288" i="28" s="1"/>
  <c r="BB288" i="28" a="1"/>
  <c r="BB288" i="28" s="1"/>
  <c r="AN288" i="28" a="1"/>
  <c r="AN288" i="28" s="1"/>
  <c r="AM288" i="28"/>
  <c r="B288" i="58" s="1"/>
  <c r="BC287" i="28" a="1"/>
  <c r="BC287" i="28" s="1"/>
  <c r="BB287" i="28" a="1"/>
  <c r="BB287" i="28" s="1"/>
  <c r="AN287" i="28" a="1"/>
  <c r="AN287" i="28" s="1"/>
  <c r="AM287" i="28"/>
  <c r="B287" i="58" s="1"/>
  <c r="BC286" i="28" a="1"/>
  <c r="BC286" i="28" s="1"/>
  <c r="BB286" i="28" a="1"/>
  <c r="BB286" i="28" s="1"/>
  <c r="AN286" i="28" a="1"/>
  <c r="AN286" i="28" s="1"/>
  <c r="AM286" i="28"/>
  <c r="B286" i="58" s="1"/>
  <c r="BC285" i="28" a="1"/>
  <c r="BC285" i="28" s="1"/>
  <c r="BB285" i="28" a="1"/>
  <c r="BB285" i="28" s="1"/>
  <c r="AN285" i="28" a="1"/>
  <c r="AN285" i="28" s="1"/>
  <c r="AM285" i="28"/>
  <c r="B285" i="58" s="1"/>
  <c r="BC284" i="28" a="1"/>
  <c r="BC284" i="28" s="1"/>
  <c r="BB284" i="28" a="1"/>
  <c r="BB284" i="28" s="1"/>
  <c r="AN284" i="28" a="1"/>
  <c r="AN284" i="28" s="1"/>
  <c r="AM284" i="28"/>
  <c r="B284" i="58" s="1"/>
  <c r="BC283" i="28" a="1"/>
  <c r="BC283" i="28" s="1"/>
  <c r="BB283" i="28" a="1"/>
  <c r="BB283" i="28" s="1"/>
  <c r="AN283" i="28" a="1"/>
  <c r="AN283" i="28" s="1"/>
  <c r="AM283" i="28"/>
  <c r="B283" i="58" s="1"/>
  <c r="BC282" i="28" a="1"/>
  <c r="BC282" i="28" s="1"/>
  <c r="BB282" i="28" a="1"/>
  <c r="BB282" i="28" s="1"/>
  <c r="AN282" i="28" a="1"/>
  <c r="AN282" i="28" s="1"/>
  <c r="AM282" i="28"/>
  <c r="B282" i="58" s="1"/>
  <c r="BC281" i="28" a="1"/>
  <c r="BC281" i="28" s="1"/>
  <c r="BB281" i="28" a="1"/>
  <c r="BB281" i="28" s="1"/>
  <c r="AN281" i="28" a="1"/>
  <c r="AN281" i="28" s="1"/>
  <c r="AM281" i="28"/>
  <c r="B281" i="58" s="1"/>
  <c r="BC280" i="28" a="1"/>
  <c r="BC280" i="28" s="1"/>
  <c r="BB280" i="28" a="1"/>
  <c r="BB280" i="28" s="1"/>
  <c r="AN280" i="28" a="1"/>
  <c r="AN280" i="28" s="1"/>
  <c r="AM280" i="28"/>
  <c r="B280" i="58" s="1"/>
  <c r="BC279" i="28" a="1"/>
  <c r="BC279" i="28" s="1"/>
  <c r="BB279" i="28" a="1"/>
  <c r="BB279" i="28" s="1"/>
  <c r="AN279" i="28" a="1"/>
  <c r="AN279" i="28" s="1"/>
  <c r="AM279" i="28"/>
  <c r="B279" i="58" s="1"/>
  <c r="BC278" i="28" a="1"/>
  <c r="BC278" i="28" s="1"/>
  <c r="BB278" i="28" a="1"/>
  <c r="BB278" i="28" s="1"/>
  <c r="AN278" i="28" a="1"/>
  <c r="AN278" i="28" s="1"/>
  <c r="AM278" i="28"/>
  <c r="B278" i="58" s="1"/>
  <c r="BC277" i="28" a="1"/>
  <c r="BC277" i="28" s="1"/>
  <c r="BB277" i="28" a="1"/>
  <c r="BB277" i="28" s="1"/>
  <c r="AN277" i="28" a="1"/>
  <c r="AN277" i="28" s="1"/>
  <c r="AM277" i="28"/>
  <c r="B277" i="58" s="1"/>
  <c r="BC276" i="28" a="1"/>
  <c r="BC276" i="28" s="1"/>
  <c r="BB276" i="28" a="1"/>
  <c r="BB276" i="28" s="1"/>
  <c r="AN276" i="28" a="1"/>
  <c r="AN276" i="28" s="1"/>
  <c r="AM276" i="28"/>
  <c r="B276" i="58" s="1"/>
  <c r="BC275" i="28" a="1"/>
  <c r="BC275" i="28" s="1"/>
  <c r="BB275" i="28" a="1"/>
  <c r="BB275" i="28" s="1"/>
  <c r="AN275" i="28" a="1"/>
  <c r="AN275" i="28" s="1"/>
  <c r="AM275" i="28"/>
  <c r="B275" i="58" s="1"/>
  <c r="BC274" i="28" a="1"/>
  <c r="BC274" i="28" s="1"/>
  <c r="BB274" i="28" a="1"/>
  <c r="BB274" i="28" s="1"/>
  <c r="AN274" i="28" a="1"/>
  <c r="AN274" i="28" s="1"/>
  <c r="AM274" i="28"/>
  <c r="B274" i="58" s="1"/>
  <c r="BC273" i="28" a="1"/>
  <c r="BC273" i="28" s="1"/>
  <c r="BB273" i="28" a="1"/>
  <c r="BB273" i="28" s="1"/>
  <c r="AN273" i="28" a="1"/>
  <c r="AN273" i="28" s="1"/>
  <c r="AM273" i="28"/>
  <c r="B273" i="58" s="1"/>
  <c r="BC272" i="28" a="1"/>
  <c r="BC272" i="28" s="1"/>
  <c r="BB272" i="28" a="1"/>
  <c r="BB272" i="28" s="1"/>
  <c r="AN272" i="28" a="1"/>
  <c r="AN272" i="28" s="1"/>
  <c r="AM272" i="28"/>
  <c r="B272" i="58" s="1"/>
  <c r="BC271" i="28" a="1"/>
  <c r="BC271" i="28" s="1"/>
  <c r="BB271" i="28" a="1"/>
  <c r="BB271" i="28" s="1"/>
  <c r="AN271" i="28" a="1"/>
  <c r="AN271" i="28" s="1"/>
  <c r="AM271" i="28"/>
  <c r="B271" i="58" s="1"/>
  <c r="BC270" i="28" a="1"/>
  <c r="BC270" i="28" s="1"/>
  <c r="BB270" i="28" a="1"/>
  <c r="BB270" i="28" s="1"/>
  <c r="AN270" i="28" a="1"/>
  <c r="AN270" i="28" s="1"/>
  <c r="AM270" i="28"/>
  <c r="B270" i="58" s="1"/>
  <c r="BC269" i="28" a="1"/>
  <c r="BC269" i="28" s="1"/>
  <c r="BB269" i="28" a="1"/>
  <c r="BB269" i="28" s="1"/>
  <c r="AN269" i="28" a="1"/>
  <c r="AN269" i="28" s="1"/>
  <c r="AM269" i="28"/>
  <c r="B269" i="58" s="1"/>
  <c r="BC268" i="28" a="1"/>
  <c r="BC268" i="28" s="1"/>
  <c r="BB268" i="28" a="1"/>
  <c r="BB268" i="28" s="1"/>
  <c r="AN268" i="28" a="1"/>
  <c r="AN268" i="28" s="1"/>
  <c r="AM268" i="28"/>
  <c r="B268" i="58" s="1"/>
  <c r="BC267" i="28" a="1"/>
  <c r="BC267" i="28" s="1"/>
  <c r="BB267" i="28" a="1"/>
  <c r="BB267" i="28" s="1"/>
  <c r="AN267" i="28" a="1"/>
  <c r="AN267" i="28" s="1"/>
  <c r="AM267" i="28"/>
  <c r="B267" i="58" s="1"/>
  <c r="BC266" i="28" a="1"/>
  <c r="BC266" i="28" s="1"/>
  <c r="BB266" i="28" a="1"/>
  <c r="BB266" i="28" s="1"/>
  <c r="AN266" i="28" a="1"/>
  <c r="AN266" i="28" s="1"/>
  <c r="AM266" i="28"/>
  <c r="B266" i="58" s="1"/>
  <c r="BC265" i="28" a="1"/>
  <c r="BC265" i="28" s="1"/>
  <c r="BB265" i="28" a="1"/>
  <c r="BB265" i="28" s="1"/>
  <c r="AN265" i="28" a="1"/>
  <c r="AN265" i="28" s="1"/>
  <c r="AM265" i="28"/>
  <c r="B265" i="58" s="1"/>
  <c r="BC264" i="28" a="1"/>
  <c r="BC264" i="28" s="1"/>
  <c r="BB264" i="28" a="1"/>
  <c r="BB264" i="28" s="1"/>
  <c r="AN264" i="28" a="1"/>
  <c r="AN264" i="28" s="1"/>
  <c r="AM264" i="28"/>
  <c r="B264" i="58" s="1"/>
  <c r="BC263" i="28" a="1"/>
  <c r="BC263" i="28" s="1"/>
  <c r="BB263" i="28" a="1"/>
  <c r="BB263" i="28" s="1"/>
  <c r="AN263" i="28" a="1"/>
  <c r="AN263" i="28" s="1"/>
  <c r="AM263" i="28"/>
  <c r="B263" i="58" s="1"/>
  <c r="BC262" i="28" a="1"/>
  <c r="BC262" i="28" s="1"/>
  <c r="BB262" i="28" a="1"/>
  <c r="BB262" i="28" s="1"/>
  <c r="AN262" i="28" a="1"/>
  <c r="AN262" i="28" s="1"/>
  <c r="AM262" i="28"/>
  <c r="B262" i="58" s="1"/>
  <c r="BC261" i="28" a="1"/>
  <c r="BC261" i="28" s="1"/>
  <c r="BB261" i="28" a="1"/>
  <c r="BB261" i="28" s="1"/>
  <c r="AN261" i="28" a="1"/>
  <c r="AN261" i="28" s="1"/>
  <c r="AM261" i="28"/>
  <c r="B261" i="58" s="1"/>
  <c r="BC260" i="28" a="1"/>
  <c r="BC260" i="28" s="1"/>
  <c r="BB260" i="28" a="1"/>
  <c r="BB260" i="28" s="1"/>
  <c r="AN260" i="28" a="1"/>
  <c r="AN260" i="28" s="1"/>
  <c r="AM260" i="28"/>
  <c r="B260" i="58" s="1"/>
  <c r="BC259" i="28" a="1"/>
  <c r="BC259" i="28" s="1"/>
  <c r="BB259" i="28" a="1"/>
  <c r="BB259" i="28" s="1"/>
  <c r="AN259" i="28" a="1"/>
  <c r="AN259" i="28" s="1"/>
  <c r="AM259" i="28"/>
  <c r="B259" i="58" s="1"/>
  <c r="BC258" i="28" a="1"/>
  <c r="BC258" i="28" s="1"/>
  <c r="BB258" i="28" a="1"/>
  <c r="BB258" i="28" s="1"/>
  <c r="AN258" i="28" a="1"/>
  <c r="AN258" i="28" s="1"/>
  <c r="AM258" i="28"/>
  <c r="B258" i="58" s="1"/>
  <c r="BC257" i="28" a="1"/>
  <c r="BC257" i="28" s="1"/>
  <c r="BB257" i="28" a="1"/>
  <c r="BB257" i="28" s="1"/>
  <c r="AN257" i="28" a="1"/>
  <c r="AN257" i="28" s="1"/>
  <c r="AM257" i="28"/>
  <c r="B257" i="58" s="1"/>
  <c r="BC256" i="28" a="1"/>
  <c r="BC256" i="28" s="1"/>
  <c r="BB256" i="28" a="1"/>
  <c r="BB256" i="28" s="1"/>
  <c r="AN256" i="28" a="1"/>
  <c r="AN256" i="28" s="1"/>
  <c r="AM256" i="28"/>
  <c r="B256" i="58" s="1"/>
  <c r="BC255" i="28" a="1"/>
  <c r="BC255" i="28" s="1"/>
  <c r="BB255" i="28" a="1"/>
  <c r="BB255" i="28" s="1"/>
  <c r="AN255" i="28" a="1"/>
  <c r="AN255" i="28" s="1"/>
  <c r="AM255" i="28"/>
  <c r="B255" i="58" s="1"/>
  <c r="BC254" i="28" a="1"/>
  <c r="BC254" i="28" s="1"/>
  <c r="BB254" i="28" a="1"/>
  <c r="BB254" i="28" s="1"/>
  <c r="AN254" i="28" a="1"/>
  <c r="AN254" i="28" s="1"/>
  <c r="AM254" i="28"/>
  <c r="B254" i="58" s="1"/>
  <c r="BC253" i="28" a="1"/>
  <c r="BC253" i="28" s="1"/>
  <c r="BB253" i="28" a="1"/>
  <c r="BB253" i="28" s="1"/>
  <c r="AN253" i="28" a="1"/>
  <c r="AN253" i="28" s="1"/>
  <c r="AM253" i="28"/>
  <c r="B253" i="58" s="1"/>
  <c r="BC252" i="28" a="1"/>
  <c r="BC252" i="28" s="1"/>
  <c r="BB252" i="28" a="1"/>
  <c r="BB252" i="28" s="1"/>
  <c r="AN252" i="28" a="1"/>
  <c r="AN252" i="28" s="1"/>
  <c r="AM252" i="28"/>
  <c r="B252" i="58" s="1"/>
  <c r="BC251" i="28" a="1"/>
  <c r="BC251" i="28" s="1"/>
  <c r="BB251" i="28" a="1"/>
  <c r="BB251" i="28" s="1"/>
  <c r="AN251" i="28" a="1"/>
  <c r="AN251" i="28" s="1"/>
  <c r="AM251" i="28"/>
  <c r="B251" i="58" s="1"/>
  <c r="BC250" i="28" a="1"/>
  <c r="BC250" i="28" s="1"/>
  <c r="BB250" i="28" a="1"/>
  <c r="BB250" i="28" s="1"/>
  <c r="AN250" i="28" a="1"/>
  <c r="AN250" i="28" s="1"/>
  <c r="AM250" i="28"/>
  <c r="B250" i="58" s="1"/>
  <c r="BC249" i="28" a="1"/>
  <c r="BC249" i="28" s="1"/>
  <c r="BB249" i="28" a="1"/>
  <c r="BB249" i="28" s="1"/>
  <c r="AN249" i="28" a="1"/>
  <c r="AN249" i="28" s="1"/>
  <c r="AM249" i="28"/>
  <c r="B249" i="58" s="1"/>
  <c r="BC248" i="28" a="1"/>
  <c r="BC248" i="28" s="1"/>
  <c r="BB248" i="28" a="1"/>
  <c r="BB248" i="28" s="1"/>
  <c r="AN248" i="28" a="1"/>
  <c r="AN248" i="28" s="1"/>
  <c r="AM248" i="28"/>
  <c r="B248" i="58" s="1"/>
  <c r="BC247" i="28" a="1"/>
  <c r="BC247" i="28" s="1"/>
  <c r="BB247" i="28" a="1"/>
  <c r="BB247" i="28" s="1"/>
  <c r="AN247" i="28" a="1"/>
  <c r="AN247" i="28" s="1"/>
  <c r="AM247" i="28"/>
  <c r="B247" i="58" s="1"/>
  <c r="BC246" i="28" a="1"/>
  <c r="BC246" i="28" s="1"/>
  <c r="BB246" i="28" a="1"/>
  <c r="BB246" i="28" s="1"/>
  <c r="AN246" i="28" a="1"/>
  <c r="AN246" i="28" s="1"/>
  <c r="AM246" i="28"/>
  <c r="B246" i="58" s="1"/>
  <c r="BC245" i="28" a="1"/>
  <c r="BC245" i="28" s="1"/>
  <c r="BB245" i="28" a="1"/>
  <c r="BB245" i="28" s="1"/>
  <c r="AN245" i="28" a="1"/>
  <c r="AN245" i="28" s="1"/>
  <c r="AM245" i="28"/>
  <c r="B245" i="58" s="1"/>
  <c r="BC244" i="28" a="1"/>
  <c r="BC244" i="28" s="1"/>
  <c r="BB244" i="28" a="1"/>
  <c r="BB244" i="28" s="1"/>
  <c r="AN244" i="28" a="1"/>
  <c r="AN244" i="28" s="1"/>
  <c r="AM244" i="28"/>
  <c r="B244" i="58" s="1"/>
  <c r="BC243" i="28" a="1"/>
  <c r="BC243" i="28" s="1"/>
  <c r="BB243" i="28" a="1"/>
  <c r="BB243" i="28" s="1"/>
  <c r="AN243" i="28" a="1"/>
  <c r="AN243" i="28" s="1"/>
  <c r="AM243" i="28"/>
  <c r="B243" i="58" s="1"/>
  <c r="BC242" i="28" a="1"/>
  <c r="BC242" i="28" s="1"/>
  <c r="BB242" i="28" a="1"/>
  <c r="BB242" i="28" s="1"/>
  <c r="AN242" i="28" a="1"/>
  <c r="AN242" i="28" s="1"/>
  <c r="AM242" i="28"/>
  <c r="B242" i="58" s="1"/>
  <c r="BC241" i="28" a="1"/>
  <c r="BC241" i="28" s="1"/>
  <c r="BB241" i="28" a="1"/>
  <c r="BB241" i="28" s="1"/>
  <c r="AN241" i="28" a="1"/>
  <c r="AN241" i="28" s="1"/>
  <c r="AM241" i="28"/>
  <c r="B241" i="58" s="1"/>
  <c r="BC240" i="28" a="1"/>
  <c r="BC240" i="28" s="1"/>
  <c r="BB240" i="28" a="1"/>
  <c r="BB240" i="28" s="1"/>
  <c r="AN240" i="28" a="1"/>
  <c r="AN240" i="28" s="1"/>
  <c r="AM240" i="28"/>
  <c r="B240" i="58" s="1"/>
  <c r="BC239" i="28" a="1"/>
  <c r="BC239" i="28" s="1"/>
  <c r="BB239" i="28" a="1"/>
  <c r="BB239" i="28" s="1"/>
  <c r="AN239" i="28" a="1"/>
  <c r="AN239" i="28" s="1"/>
  <c r="AM239" i="28"/>
  <c r="B239" i="58" s="1"/>
  <c r="BC238" i="28" a="1"/>
  <c r="BC238" i="28" s="1"/>
  <c r="BB238" i="28" a="1"/>
  <c r="BB238" i="28" s="1"/>
  <c r="AN238" i="28" a="1"/>
  <c r="AN238" i="28" s="1"/>
  <c r="AM238" i="28"/>
  <c r="B238" i="58" s="1"/>
  <c r="BC237" i="28" a="1"/>
  <c r="BC237" i="28" s="1"/>
  <c r="BB237" i="28" a="1"/>
  <c r="BB237" i="28" s="1"/>
  <c r="AN237" i="28" a="1"/>
  <c r="AN237" i="28" s="1"/>
  <c r="AM237" i="28"/>
  <c r="B237" i="58" s="1"/>
  <c r="BC236" i="28" a="1"/>
  <c r="BC236" i="28" s="1"/>
  <c r="BB236" i="28" a="1"/>
  <c r="BB236" i="28" s="1"/>
  <c r="AN236" i="28" a="1"/>
  <c r="AN236" i="28" s="1"/>
  <c r="AM236" i="28"/>
  <c r="B236" i="58" s="1"/>
  <c r="BC235" i="28" a="1"/>
  <c r="BC235" i="28" s="1"/>
  <c r="BB235" i="28" a="1"/>
  <c r="BB235" i="28" s="1"/>
  <c r="AN235" i="28" a="1"/>
  <c r="AN235" i="28" s="1"/>
  <c r="AM235" i="28"/>
  <c r="B235" i="58" s="1"/>
  <c r="BC234" i="28" a="1"/>
  <c r="BC234" i="28" s="1"/>
  <c r="BB234" i="28" a="1"/>
  <c r="BB234" i="28" s="1"/>
  <c r="AN234" i="28" a="1"/>
  <c r="AN234" i="28" s="1"/>
  <c r="AM234" i="28"/>
  <c r="B234" i="58" s="1"/>
  <c r="BC233" i="28" a="1"/>
  <c r="BC233" i="28" s="1"/>
  <c r="BB233" i="28" a="1"/>
  <c r="BB233" i="28" s="1"/>
  <c r="AN233" i="28" a="1"/>
  <c r="AN233" i="28" s="1"/>
  <c r="AM233" i="28"/>
  <c r="B233" i="58" s="1"/>
  <c r="BC232" i="28" a="1"/>
  <c r="BC232" i="28" s="1"/>
  <c r="BB232" i="28" a="1"/>
  <c r="BB232" i="28" s="1"/>
  <c r="AN232" i="28" a="1"/>
  <c r="AN232" i="28" s="1"/>
  <c r="AM232" i="28"/>
  <c r="B232" i="58" s="1"/>
  <c r="BC231" i="28" a="1"/>
  <c r="BC231" i="28" s="1"/>
  <c r="BB231" i="28" a="1"/>
  <c r="BB231" i="28" s="1"/>
  <c r="AN231" i="28" a="1"/>
  <c r="AN231" i="28" s="1"/>
  <c r="AM231" i="28"/>
  <c r="B231" i="58" s="1"/>
  <c r="BC230" i="28" a="1"/>
  <c r="BC230" i="28" s="1"/>
  <c r="BB230" i="28" a="1"/>
  <c r="BB230" i="28" s="1"/>
  <c r="AN230" i="28" a="1"/>
  <c r="AN230" i="28" s="1"/>
  <c r="AM230" i="28"/>
  <c r="B230" i="58" s="1"/>
  <c r="BC229" i="28" a="1"/>
  <c r="BC229" i="28" s="1"/>
  <c r="BB229" i="28" a="1"/>
  <c r="BB229" i="28" s="1"/>
  <c r="AN229" i="28" a="1"/>
  <c r="AN229" i="28" s="1"/>
  <c r="AM229" i="28"/>
  <c r="B229" i="58" s="1"/>
  <c r="BC228" i="28" a="1"/>
  <c r="BC228" i="28" s="1"/>
  <c r="BB228" i="28" a="1"/>
  <c r="BB228" i="28" s="1"/>
  <c r="AN228" i="28" a="1"/>
  <c r="AN228" i="28" s="1"/>
  <c r="AM228" i="28"/>
  <c r="B228" i="58" s="1"/>
  <c r="BC227" i="28" a="1"/>
  <c r="BC227" i="28" s="1"/>
  <c r="BB227" i="28" a="1"/>
  <c r="BB227" i="28" s="1"/>
  <c r="AN227" i="28" a="1"/>
  <c r="AN227" i="28" s="1"/>
  <c r="AM227" i="28"/>
  <c r="B227" i="58" s="1"/>
  <c r="BC226" i="28" a="1"/>
  <c r="BC226" i="28" s="1"/>
  <c r="BB226" i="28" a="1"/>
  <c r="BB226" i="28" s="1"/>
  <c r="AN226" i="28" a="1"/>
  <c r="AN226" i="28" s="1"/>
  <c r="AM226" i="28"/>
  <c r="B226" i="58" s="1"/>
  <c r="BC225" i="28" a="1"/>
  <c r="BC225" i="28" s="1"/>
  <c r="BB225" i="28" a="1"/>
  <c r="BB225" i="28" s="1"/>
  <c r="AN225" i="28" a="1"/>
  <c r="AN225" i="28" s="1"/>
  <c r="AM225" i="28"/>
  <c r="B225" i="58" s="1"/>
  <c r="BC224" i="28" a="1"/>
  <c r="BC224" i="28" s="1"/>
  <c r="BB224" i="28" a="1"/>
  <c r="BB224" i="28" s="1"/>
  <c r="AN224" i="28" a="1"/>
  <c r="AN224" i="28" s="1"/>
  <c r="AM224" i="28"/>
  <c r="B224" i="58" s="1"/>
  <c r="BC223" i="28" a="1"/>
  <c r="BC223" i="28" s="1"/>
  <c r="BB223" i="28" a="1"/>
  <c r="BB223" i="28" s="1"/>
  <c r="AN223" i="28" a="1"/>
  <c r="AN223" i="28" s="1"/>
  <c r="AM223" i="28"/>
  <c r="B223" i="58" s="1"/>
  <c r="BC222" i="28" a="1"/>
  <c r="BC222" i="28" s="1"/>
  <c r="BB222" i="28" a="1"/>
  <c r="BB222" i="28" s="1"/>
  <c r="AN222" i="28" a="1"/>
  <c r="AN222" i="28" s="1"/>
  <c r="AM222" i="28"/>
  <c r="B222" i="58" s="1"/>
  <c r="BC221" i="28" a="1"/>
  <c r="BC221" i="28" s="1"/>
  <c r="BB221" i="28" a="1"/>
  <c r="BB221" i="28" s="1"/>
  <c r="AN221" i="28" a="1"/>
  <c r="AN221" i="28" s="1"/>
  <c r="AM221" i="28"/>
  <c r="B221" i="58" s="1"/>
  <c r="BC220" i="28" a="1"/>
  <c r="BC220" i="28" s="1"/>
  <c r="BB220" i="28" a="1"/>
  <c r="BB220" i="28" s="1"/>
  <c r="AN220" i="28" a="1"/>
  <c r="AN220" i="28" s="1"/>
  <c r="AM220" i="28"/>
  <c r="B220" i="58" s="1"/>
  <c r="BC219" i="28" a="1"/>
  <c r="BC219" i="28" s="1"/>
  <c r="BB219" i="28" a="1"/>
  <c r="BB219" i="28" s="1"/>
  <c r="AN219" i="28" a="1"/>
  <c r="AN219" i="28" s="1"/>
  <c r="AM219" i="28"/>
  <c r="B219" i="58" s="1"/>
  <c r="BC218" i="28" a="1"/>
  <c r="BC218" i="28" s="1"/>
  <c r="BB218" i="28" a="1"/>
  <c r="BB218" i="28" s="1"/>
  <c r="AN218" i="28" a="1"/>
  <c r="AN218" i="28" s="1"/>
  <c r="AM218" i="28"/>
  <c r="B218" i="58" s="1"/>
  <c r="BC217" i="28" a="1"/>
  <c r="BC217" i="28" s="1"/>
  <c r="BB217" i="28" a="1"/>
  <c r="BB217" i="28" s="1"/>
  <c r="AN217" i="28" a="1"/>
  <c r="AN217" i="28" s="1"/>
  <c r="AM217" i="28"/>
  <c r="B217" i="58" s="1"/>
  <c r="BC216" i="28" a="1"/>
  <c r="BC216" i="28" s="1"/>
  <c r="BB216" i="28" a="1"/>
  <c r="BB216" i="28" s="1"/>
  <c r="AN216" i="28" a="1"/>
  <c r="AN216" i="28" s="1"/>
  <c r="AM216" i="28"/>
  <c r="B216" i="58" s="1"/>
  <c r="BC215" i="28" a="1"/>
  <c r="BC215" i="28" s="1"/>
  <c r="BB215" i="28" a="1"/>
  <c r="BB215" i="28" s="1"/>
  <c r="AN215" i="28" a="1"/>
  <c r="AN215" i="28" s="1"/>
  <c r="AM215" i="28"/>
  <c r="B215" i="58" s="1"/>
  <c r="BC214" i="28" a="1"/>
  <c r="BC214" i="28" s="1"/>
  <c r="BB214" i="28" a="1"/>
  <c r="BB214" i="28" s="1"/>
  <c r="AN214" i="28" a="1"/>
  <c r="AN214" i="28" s="1"/>
  <c r="AM214" i="28"/>
  <c r="B214" i="58" s="1"/>
  <c r="BC213" i="28" a="1"/>
  <c r="BC213" i="28" s="1"/>
  <c r="BB213" i="28" a="1"/>
  <c r="BB213" i="28" s="1"/>
  <c r="AN213" i="28" a="1"/>
  <c r="AN213" i="28" s="1"/>
  <c r="AM213" i="28"/>
  <c r="B213" i="58" s="1"/>
  <c r="BC212" i="28" a="1"/>
  <c r="BC212" i="28" s="1"/>
  <c r="BB212" i="28" a="1"/>
  <c r="BB212" i="28" s="1"/>
  <c r="AN212" i="28" a="1"/>
  <c r="AN212" i="28" s="1"/>
  <c r="AM212" i="28"/>
  <c r="B212" i="58" s="1"/>
  <c r="BC211" i="28" a="1"/>
  <c r="BC211" i="28" s="1"/>
  <c r="BB211" i="28" a="1"/>
  <c r="BB211" i="28" s="1"/>
  <c r="AN211" i="28" a="1"/>
  <c r="AN211" i="28" s="1"/>
  <c r="AM211" i="28"/>
  <c r="B211" i="58" s="1"/>
  <c r="BC210" i="28" a="1"/>
  <c r="BC210" i="28" s="1"/>
  <c r="BB210" i="28" a="1"/>
  <c r="BB210" i="28" s="1"/>
  <c r="AN210" i="28" a="1"/>
  <c r="AN210" i="28" s="1"/>
  <c r="AM210" i="28"/>
  <c r="B210" i="58" s="1"/>
  <c r="BC209" i="28" a="1"/>
  <c r="BC209" i="28" s="1"/>
  <c r="BB209" i="28" a="1"/>
  <c r="BB209" i="28" s="1"/>
  <c r="AN209" i="28" a="1"/>
  <c r="AN209" i="28" s="1"/>
  <c r="AM209" i="28"/>
  <c r="B209" i="58" s="1"/>
  <c r="BC208" i="28" a="1"/>
  <c r="BC208" i="28" s="1"/>
  <c r="BB208" i="28" a="1"/>
  <c r="BB208" i="28" s="1"/>
  <c r="AN208" i="28" a="1"/>
  <c r="AN208" i="28" s="1"/>
  <c r="AM208" i="28"/>
  <c r="B208" i="58" s="1"/>
  <c r="BC207" i="28" a="1"/>
  <c r="BC207" i="28" s="1"/>
  <c r="BB207" i="28" a="1"/>
  <c r="BB207" i="28" s="1"/>
  <c r="AN207" i="28" a="1"/>
  <c r="AN207" i="28" s="1"/>
  <c r="AM207" i="28"/>
  <c r="B207" i="58" s="1"/>
  <c r="BC206" i="28" a="1"/>
  <c r="BC206" i="28" s="1"/>
  <c r="BB206" i="28" a="1"/>
  <c r="BB206" i="28" s="1"/>
  <c r="AN206" i="28" a="1"/>
  <c r="AN206" i="28" s="1"/>
  <c r="AM206" i="28"/>
  <c r="B206" i="58" s="1"/>
  <c r="BC205" i="28" a="1"/>
  <c r="BC205" i="28" s="1"/>
  <c r="BB205" i="28" a="1"/>
  <c r="BB205" i="28" s="1"/>
  <c r="AN205" i="28" a="1"/>
  <c r="AN205" i="28" s="1"/>
  <c r="AM205" i="28"/>
  <c r="B205" i="58" s="1"/>
  <c r="BC204" i="28" a="1"/>
  <c r="BC204" i="28" s="1"/>
  <c r="BB204" i="28" a="1"/>
  <c r="BB204" i="28" s="1"/>
  <c r="AN204" i="28" a="1"/>
  <c r="AN204" i="28" s="1"/>
  <c r="AM204" i="28"/>
  <c r="B204" i="58" s="1"/>
  <c r="BC203" i="28" a="1"/>
  <c r="BC203" i="28" s="1"/>
  <c r="BB203" i="28" a="1"/>
  <c r="BB203" i="28" s="1"/>
  <c r="AN203" i="28" a="1"/>
  <c r="AN203" i="28" s="1"/>
  <c r="AM203" i="28"/>
  <c r="B203" i="58" s="1"/>
  <c r="BC202" i="28" a="1"/>
  <c r="BC202" i="28" s="1"/>
  <c r="BB202" i="28" a="1"/>
  <c r="BB202" i="28" s="1"/>
  <c r="AN202" i="28" a="1"/>
  <c r="AN202" i="28" s="1"/>
  <c r="AM202" i="28"/>
  <c r="B202" i="58" s="1"/>
  <c r="BC201" i="28" a="1"/>
  <c r="BC201" i="28" s="1"/>
  <c r="BB201" i="28" a="1"/>
  <c r="BB201" i="28" s="1"/>
  <c r="AN201" i="28" a="1"/>
  <c r="AN201" i="28" s="1"/>
  <c r="AM201" i="28"/>
  <c r="B201" i="58" s="1"/>
  <c r="BC200" i="28" a="1"/>
  <c r="BC200" i="28" s="1"/>
  <c r="BB200" i="28" a="1"/>
  <c r="BB200" i="28" s="1"/>
  <c r="AN200" i="28" a="1"/>
  <c r="AN200" i="28" s="1"/>
  <c r="AM200" i="28"/>
  <c r="B200" i="58" s="1"/>
  <c r="BC199" i="28" a="1"/>
  <c r="BC199" i="28" s="1"/>
  <c r="BB199" i="28" a="1"/>
  <c r="BB199" i="28" s="1"/>
  <c r="AN199" i="28" a="1"/>
  <c r="AN199" i="28" s="1"/>
  <c r="AM199" i="28"/>
  <c r="B199" i="58" s="1"/>
  <c r="BC198" i="28" a="1"/>
  <c r="BC198" i="28" s="1"/>
  <c r="BB198" i="28" a="1"/>
  <c r="BB198" i="28" s="1"/>
  <c r="AN198" i="28" a="1"/>
  <c r="AN198" i="28" s="1"/>
  <c r="AM198" i="28"/>
  <c r="B198" i="58" s="1"/>
  <c r="BC197" i="28" a="1"/>
  <c r="BC197" i="28" s="1"/>
  <c r="BB197" i="28" a="1"/>
  <c r="BB197" i="28" s="1"/>
  <c r="AN197" i="28" a="1"/>
  <c r="AN197" i="28" s="1"/>
  <c r="AM197" i="28"/>
  <c r="B197" i="58" s="1"/>
  <c r="BC196" i="28" a="1"/>
  <c r="BC196" i="28" s="1"/>
  <c r="BB196" i="28" a="1"/>
  <c r="BB196" i="28" s="1"/>
  <c r="AN196" i="28" a="1"/>
  <c r="AN196" i="28" s="1"/>
  <c r="AM196" i="28"/>
  <c r="B196" i="58" s="1"/>
  <c r="BC195" i="28" a="1"/>
  <c r="BC195" i="28" s="1"/>
  <c r="BB195" i="28" a="1"/>
  <c r="BB195" i="28" s="1"/>
  <c r="AN195" i="28" a="1"/>
  <c r="AN195" i="28" s="1"/>
  <c r="AM195" i="28"/>
  <c r="B195" i="58" s="1"/>
  <c r="BC194" i="28" a="1"/>
  <c r="BC194" i="28" s="1"/>
  <c r="BB194" i="28" a="1"/>
  <c r="BB194" i="28" s="1"/>
  <c r="AN194" i="28" a="1"/>
  <c r="AN194" i="28" s="1"/>
  <c r="AM194" i="28"/>
  <c r="B194" i="58" s="1"/>
  <c r="BC193" i="28" a="1"/>
  <c r="BC193" i="28" s="1"/>
  <c r="BB193" i="28" a="1"/>
  <c r="BB193" i="28" s="1"/>
  <c r="AN193" i="28" a="1"/>
  <c r="AN193" i="28" s="1"/>
  <c r="AM193" i="28"/>
  <c r="B193" i="58" s="1"/>
  <c r="BC192" i="28" a="1"/>
  <c r="BC192" i="28" s="1"/>
  <c r="BB192" i="28" a="1"/>
  <c r="BB192" i="28" s="1"/>
  <c r="AN192" i="28" a="1"/>
  <c r="AN192" i="28" s="1"/>
  <c r="AM192" i="28"/>
  <c r="B192" i="58" s="1"/>
  <c r="BC191" i="28" a="1"/>
  <c r="BC191" i="28" s="1"/>
  <c r="BB191" i="28" a="1"/>
  <c r="BB191" i="28" s="1"/>
  <c r="AN191" i="28" a="1"/>
  <c r="AN191" i="28" s="1"/>
  <c r="AM191" i="28"/>
  <c r="B191" i="58" s="1"/>
  <c r="BC190" i="28" a="1"/>
  <c r="BC190" i="28" s="1"/>
  <c r="BB190" i="28" a="1"/>
  <c r="BB190" i="28" s="1"/>
  <c r="AN190" i="28" a="1"/>
  <c r="AN190" i="28" s="1"/>
  <c r="AM190" i="28"/>
  <c r="B190" i="58" s="1"/>
  <c r="BC189" i="28" a="1"/>
  <c r="BC189" i="28" s="1"/>
  <c r="BB189" i="28" a="1"/>
  <c r="BB189" i="28" s="1"/>
  <c r="AN189" i="28" a="1"/>
  <c r="AN189" i="28" s="1"/>
  <c r="AM189" i="28"/>
  <c r="B189" i="58" s="1"/>
  <c r="BC188" i="28" a="1"/>
  <c r="BC188" i="28" s="1"/>
  <c r="BB188" i="28" a="1"/>
  <c r="BB188" i="28" s="1"/>
  <c r="AN188" i="28" a="1"/>
  <c r="AN188" i="28" s="1"/>
  <c r="AM188" i="28"/>
  <c r="B188" i="58" s="1"/>
  <c r="BC187" i="28" a="1"/>
  <c r="BC187" i="28" s="1"/>
  <c r="BB187" i="28" a="1"/>
  <c r="BB187" i="28" s="1"/>
  <c r="AN187" i="28" a="1"/>
  <c r="AN187" i="28" s="1"/>
  <c r="AM187" i="28"/>
  <c r="B187" i="58" s="1"/>
  <c r="BC186" i="28" a="1"/>
  <c r="BC186" i="28" s="1"/>
  <c r="BB186" i="28" a="1"/>
  <c r="BB186" i="28" s="1"/>
  <c r="AN186" i="28" a="1"/>
  <c r="AN186" i="28" s="1"/>
  <c r="AM186" i="28"/>
  <c r="B186" i="58" s="1"/>
  <c r="BC185" i="28" a="1"/>
  <c r="BC185" i="28" s="1"/>
  <c r="BB185" i="28" a="1"/>
  <c r="BB185" i="28" s="1"/>
  <c r="AN185" i="28" a="1"/>
  <c r="AN185" i="28" s="1"/>
  <c r="AM185" i="28"/>
  <c r="B185" i="58" s="1"/>
  <c r="BC184" i="28" a="1"/>
  <c r="BC184" i="28" s="1"/>
  <c r="BB184" i="28" a="1"/>
  <c r="BB184" i="28" s="1"/>
  <c r="AN184" i="28" a="1"/>
  <c r="AN184" i="28" s="1"/>
  <c r="AM184" i="28"/>
  <c r="B184" i="58" s="1"/>
  <c r="BC183" i="28" a="1"/>
  <c r="BC183" i="28" s="1"/>
  <c r="BB183" i="28" a="1"/>
  <c r="BB183" i="28" s="1"/>
  <c r="AN183" i="28" a="1"/>
  <c r="AN183" i="28" s="1"/>
  <c r="AM183" i="28"/>
  <c r="B183" i="58" s="1"/>
  <c r="BC182" i="28" a="1"/>
  <c r="BC182" i="28" s="1"/>
  <c r="BB182" i="28" a="1"/>
  <c r="BB182" i="28" s="1"/>
  <c r="AN182" i="28" a="1"/>
  <c r="AN182" i="28" s="1"/>
  <c r="AM182" i="28"/>
  <c r="B182" i="58" s="1"/>
  <c r="BC181" i="28" a="1"/>
  <c r="BC181" i="28" s="1"/>
  <c r="BB181" i="28" a="1"/>
  <c r="BB181" i="28" s="1"/>
  <c r="AN181" i="28" a="1"/>
  <c r="AN181" i="28" s="1"/>
  <c r="AM181" i="28"/>
  <c r="B181" i="58" s="1"/>
  <c r="BC180" i="28" a="1"/>
  <c r="BC180" i="28" s="1"/>
  <c r="BB180" i="28" a="1"/>
  <c r="BB180" i="28" s="1"/>
  <c r="AN180" i="28" a="1"/>
  <c r="AN180" i="28" s="1"/>
  <c r="AM180" i="28"/>
  <c r="B180" i="58" s="1"/>
  <c r="BC179" i="28" a="1"/>
  <c r="BC179" i="28" s="1"/>
  <c r="BB179" i="28" a="1"/>
  <c r="BB179" i="28" s="1"/>
  <c r="AN179" i="28" a="1"/>
  <c r="AN179" i="28" s="1"/>
  <c r="AM179" i="28"/>
  <c r="B179" i="58" s="1"/>
  <c r="BC178" i="28" a="1"/>
  <c r="BC178" i="28" s="1"/>
  <c r="BB178" i="28" a="1"/>
  <c r="BB178" i="28" s="1"/>
  <c r="AN178" i="28" a="1"/>
  <c r="AN178" i="28" s="1"/>
  <c r="AM178" i="28"/>
  <c r="B178" i="58" s="1"/>
  <c r="BC177" i="28" a="1"/>
  <c r="BC177" i="28" s="1"/>
  <c r="BB177" i="28" a="1"/>
  <c r="BB177" i="28" s="1"/>
  <c r="AN177" i="28" a="1"/>
  <c r="AN177" i="28" s="1"/>
  <c r="AM177" i="28"/>
  <c r="B177" i="58" s="1"/>
  <c r="BC176" i="28" a="1"/>
  <c r="BC176" i="28" s="1"/>
  <c r="BB176" i="28" a="1"/>
  <c r="BB176" i="28" s="1"/>
  <c r="AN176" i="28" a="1"/>
  <c r="AN176" i="28" s="1"/>
  <c r="AM176" i="28"/>
  <c r="B176" i="58" s="1"/>
  <c r="BC175" i="28" a="1"/>
  <c r="BC175" i="28" s="1"/>
  <c r="BB175" i="28" a="1"/>
  <c r="BB175" i="28" s="1"/>
  <c r="AN175" i="28" a="1"/>
  <c r="AN175" i="28" s="1"/>
  <c r="AM175" i="28"/>
  <c r="B175" i="58" s="1"/>
  <c r="BC174" i="28" a="1"/>
  <c r="BC174" i="28" s="1"/>
  <c r="BB174" i="28" a="1"/>
  <c r="BB174" i="28" s="1"/>
  <c r="AN174" i="28" a="1"/>
  <c r="AN174" i="28" s="1"/>
  <c r="AM174" i="28"/>
  <c r="B174" i="58" s="1"/>
  <c r="BC173" i="28" a="1"/>
  <c r="BC173" i="28" s="1"/>
  <c r="BB173" i="28" a="1"/>
  <c r="BB173" i="28" s="1"/>
  <c r="AN173" i="28" a="1"/>
  <c r="AN173" i="28" s="1"/>
  <c r="AM173" i="28"/>
  <c r="B173" i="58" s="1"/>
  <c r="BC172" i="28" a="1"/>
  <c r="BC172" i="28" s="1"/>
  <c r="BB172" i="28" a="1"/>
  <c r="BB172" i="28" s="1"/>
  <c r="AN172" i="28" a="1"/>
  <c r="AN172" i="28" s="1"/>
  <c r="AM172" i="28"/>
  <c r="B172" i="58" s="1"/>
  <c r="BC171" i="28" a="1"/>
  <c r="BC171" i="28" s="1"/>
  <c r="BB171" i="28" a="1"/>
  <c r="BB171" i="28" s="1"/>
  <c r="AN171" i="28" a="1"/>
  <c r="AN171" i="28" s="1"/>
  <c r="AM171" i="28"/>
  <c r="B171" i="58" s="1"/>
  <c r="BC170" i="28" a="1"/>
  <c r="BC170" i="28" s="1"/>
  <c r="BB170" i="28" a="1"/>
  <c r="BB170" i="28" s="1"/>
  <c r="AN170" i="28" a="1"/>
  <c r="AN170" i="28" s="1"/>
  <c r="AM170" i="28"/>
  <c r="B170" i="58" s="1"/>
  <c r="BC169" i="28" a="1"/>
  <c r="BC169" i="28" s="1"/>
  <c r="BB169" i="28" a="1"/>
  <c r="BB169" i="28" s="1"/>
  <c r="AN169" i="28" a="1"/>
  <c r="AN169" i="28" s="1"/>
  <c r="AM169" i="28"/>
  <c r="B169" i="58" s="1"/>
  <c r="BC168" i="28" a="1"/>
  <c r="BC168" i="28" s="1"/>
  <c r="BB168" i="28" a="1"/>
  <c r="BB168" i="28" s="1"/>
  <c r="AN168" i="28" a="1"/>
  <c r="AN168" i="28" s="1"/>
  <c r="AM168" i="28"/>
  <c r="B168" i="58" s="1"/>
  <c r="BC167" i="28" a="1"/>
  <c r="BC167" i="28" s="1"/>
  <c r="BB167" i="28" a="1"/>
  <c r="BB167" i="28" s="1"/>
  <c r="AN167" i="28" a="1"/>
  <c r="AN167" i="28" s="1"/>
  <c r="AM167" i="28"/>
  <c r="B167" i="58" s="1"/>
  <c r="BC166" i="28" a="1"/>
  <c r="BC166" i="28" s="1"/>
  <c r="BB166" i="28" a="1"/>
  <c r="BB166" i="28" s="1"/>
  <c r="AN166" i="28" a="1"/>
  <c r="AN166" i="28" s="1"/>
  <c r="AM166" i="28"/>
  <c r="B166" i="58" s="1"/>
  <c r="BC165" i="28" a="1"/>
  <c r="BC165" i="28" s="1"/>
  <c r="BB165" i="28" a="1"/>
  <c r="BB165" i="28" s="1"/>
  <c r="AN165" i="28" a="1"/>
  <c r="AN165" i="28" s="1"/>
  <c r="AM165" i="28"/>
  <c r="B165" i="58" s="1"/>
  <c r="BC164" i="28" a="1"/>
  <c r="BC164" i="28" s="1"/>
  <c r="BB164" i="28" a="1"/>
  <c r="BB164" i="28" s="1"/>
  <c r="AN164" i="28" a="1"/>
  <c r="AN164" i="28" s="1"/>
  <c r="AM164" i="28"/>
  <c r="B164" i="58" s="1"/>
  <c r="BC163" i="28" a="1"/>
  <c r="BC163" i="28" s="1"/>
  <c r="BB163" i="28" a="1"/>
  <c r="BB163" i="28" s="1"/>
  <c r="AN163" i="28" a="1"/>
  <c r="AN163" i="28" s="1"/>
  <c r="AM163" i="28"/>
  <c r="B163" i="58" s="1"/>
  <c r="BC162" i="28" a="1"/>
  <c r="BC162" i="28" s="1"/>
  <c r="BB162" i="28" a="1"/>
  <c r="BB162" i="28" s="1"/>
  <c r="AN162" i="28" a="1"/>
  <c r="AN162" i="28" s="1"/>
  <c r="AM162" i="28"/>
  <c r="B162" i="58" s="1"/>
  <c r="BC161" i="28" a="1"/>
  <c r="BC161" i="28" s="1"/>
  <c r="BB161" i="28" a="1"/>
  <c r="BB161" i="28" s="1"/>
  <c r="AN161" i="28" a="1"/>
  <c r="AN161" i="28" s="1"/>
  <c r="AM161" i="28"/>
  <c r="B161" i="58" s="1"/>
  <c r="BC160" i="28" a="1"/>
  <c r="BC160" i="28" s="1"/>
  <c r="BB160" i="28" a="1"/>
  <c r="BB160" i="28" s="1"/>
  <c r="AN160" i="28" a="1"/>
  <c r="AN160" i="28" s="1"/>
  <c r="AM160" i="28"/>
  <c r="B160" i="58" s="1"/>
  <c r="BC159" i="28" a="1"/>
  <c r="BC159" i="28" s="1"/>
  <c r="BB159" i="28" a="1"/>
  <c r="BB159" i="28" s="1"/>
  <c r="AN159" i="28" a="1"/>
  <c r="AN159" i="28" s="1"/>
  <c r="AM159" i="28"/>
  <c r="B159" i="58" s="1"/>
  <c r="BC158" i="28" a="1"/>
  <c r="BC158" i="28" s="1"/>
  <c r="BB158" i="28" a="1"/>
  <c r="BB158" i="28" s="1"/>
  <c r="AN158" i="28" a="1"/>
  <c r="AN158" i="28" s="1"/>
  <c r="AM158" i="28"/>
  <c r="B158" i="58" s="1"/>
  <c r="BC157" i="28" a="1"/>
  <c r="BC157" i="28" s="1"/>
  <c r="BB157" i="28" a="1"/>
  <c r="BB157" i="28" s="1"/>
  <c r="AN157" i="28" a="1"/>
  <c r="AN157" i="28" s="1"/>
  <c r="AM157" i="28"/>
  <c r="B157" i="58" s="1"/>
  <c r="BC156" i="28" a="1"/>
  <c r="BC156" i="28" s="1"/>
  <c r="BB156" i="28" a="1"/>
  <c r="BB156" i="28" s="1"/>
  <c r="AN156" i="28" a="1"/>
  <c r="AN156" i="28" s="1"/>
  <c r="AM156" i="28"/>
  <c r="B156" i="58" s="1"/>
  <c r="BC155" i="28" a="1"/>
  <c r="BC155" i="28" s="1"/>
  <c r="BB155" i="28" a="1"/>
  <c r="BB155" i="28" s="1"/>
  <c r="AN155" i="28" a="1"/>
  <c r="AN155" i="28" s="1"/>
  <c r="AM155" i="28"/>
  <c r="B155" i="58" s="1"/>
  <c r="BC154" i="28" a="1"/>
  <c r="BC154" i="28" s="1"/>
  <c r="BB154" i="28" a="1"/>
  <c r="BB154" i="28" s="1"/>
  <c r="AN154" i="28" a="1"/>
  <c r="AN154" i="28" s="1"/>
  <c r="AM154" i="28"/>
  <c r="B154" i="58" s="1"/>
  <c r="BC153" i="28" a="1"/>
  <c r="BC153" i="28" s="1"/>
  <c r="BB153" i="28" a="1"/>
  <c r="BB153" i="28" s="1"/>
  <c r="AN153" i="28" a="1"/>
  <c r="AN153" i="28" s="1"/>
  <c r="AM153" i="28"/>
  <c r="B153" i="58" s="1"/>
  <c r="BC152" i="28" a="1"/>
  <c r="BC152" i="28" s="1"/>
  <c r="BB152" i="28" a="1"/>
  <c r="BB152" i="28" s="1"/>
  <c r="AN152" i="28" a="1"/>
  <c r="AN152" i="28" s="1"/>
  <c r="AM152" i="28"/>
  <c r="B152" i="58" s="1"/>
  <c r="BC151" i="28" a="1"/>
  <c r="BC151" i="28" s="1"/>
  <c r="BB151" i="28" a="1"/>
  <c r="BB151" i="28" s="1"/>
  <c r="AN151" i="28" a="1"/>
  <c r="AN151" i="28" s="1"/>
  <c r="AM151" i="28"/>
  <c r="B151" i="58" s="1"/>
  <c r="BC150" i="28" a="1"/>
  <c r="BC150" i="28" s="1"/>
  <c r="BB150" i="28" a="1"/>
  <c r="BB150" i="28" s="1"/>
  <c r="AN150" i="28" a="1"/>
  <c r="AN150" i="28" s="1"/>
  <c r="AM150" i="28"/>
  <c r="B150" i="58" s="1"/>
  <c r="BC149" i="28" a="1"/>
  <c r="BC149" i="28" s="1"/>
  <c r="BB149" i="28" a="1"/>
  <c r="BB149" i="28" s="1"/>
  <c r="AN149" i="28" a="1"/>
  <c r="AN149" i="28" s="1"/>
  <c r="AM149" i="28"/>
  <c r="B149" i="58" s="1"/>
  <c r="BC148" i="28" a="1"/>
  <c r="BC148" i="28" s="1"/>
  <c r="BB148" i="28" a="1"/>
  <c r="BB148" i="28" s="1"/>
  <c r="AN148" i="28" a="1"/>
  <c r="AN148" i="28" s="1"/>
  <c r="AM148" i="28"/>
  <c r="B148" i="58" s="1"/>
  <c r="BC147" i="28" a="1"/>
  <c r="BC147" i="28" s="1"/>
  <c r="BB147" i="28" a="1"/>
  <c r="BB147" i="28" s="1"/>
  <c r="AN147" i="28" a="1"/>
  <c r="AN147" i="28" s="1"/>
  <c r="AM147" i="28"/>
  <c r="B147" i="58" s="1"/>
  <c r="BC146" i="28" a="1"/>
  <c r="BC146" i="28" s="1"/>
  <c r="BB146" i="28" a="1"/>
  <c r="BB146" i="28" s="1"/>
  <c r="AN146" i="28" a="1"/>
  <c r="AN146" i="28" s="1"/>
  <c r="AM146" i="28"/>
  <c r="B146" i="58" s="1"/>
  <c r="BC145" i="28" a="1"/>
  <c r="BC145" i="28" s="1"/>
  <c r="BB145" i="28" a="1"/>
  <c r="BB145" i="28" s="1"/>
  <c r="AN145" i="28" a="1"/>
  <c r="AN145" i="28" s="1"/>
  <c r="AM145" i="28"/>
  <c r="B145" i="58" s="1"/>
  <c r="BC144" i="28" a="1"/>
  <c r="BC144" i="28" s="1"/>
  <c r="BB144" i="28" a="1"/>
  <c r="BB144" i="28" s="1"/>
  <c r="AN144" i="28" a="1"/>
  <c r="AN144" i="28" s="1"/>
  <c r="AM144" i="28"/>
  <c r="B144" i="58" s="1"/>
  <c r="BC143" i="28" a="1"/>
  <c r="BC143" i="28" s="1"/>
  <c r="BB143" i="28" a="1"/>
  <c r="BB143" i="28" s="1"/>
  <c r="AN143" i="28" a="1"/>
  <c r="AN143" i="28" s="1"/>
  <c r="AM143" i="28"/>
  <c r="B143" i="58" s="1"/>
  <c r="BC142" i="28" a="1"/>
  <c r="BC142" i="28" s="1"/>
  <c r="BB142" i="28" a="1"/>
  <c r="BB142" i="28" s="1"/>
  <c r="AN142" i="28" a="1"/>
  <c r="AN142" i="28" s="1"/>
  <c r="AM142" i="28"/>
  <c r="B142" i="58" s="1"/>
  <c r="BC141" i="28" a="1"/>
  <c r="BC141" i="28" s="1"/>
  <c r="BB141" i="28" a="1"/>
  <c r="BB141" i="28" s="1"/>
  <c r="AN141" i="28" a="1"/>
  <c r="AN141" i="28" s="1"/>
  <c r="AM141" i="28"/>
  <c r="B141" i="58" s="1"/>
  <c r="BC140" i="28" a="1"/>
  <c r="BC140" i="28" s="1"/>
  <c r="BB140" i="28" a="1"/>
  <c r="BB140" i="28" s="1"/>
  <c r="AN140" i="28" a="1"/>
  <c r="AN140" i="28" s="1"/>
  <c r="AM140" i="28"/>
  <c r="B140" i="58" s="1"/>
  <c r="BC139" i="28" a="1"/>
  <c r="BC139" i="28" s="1"/>
  <c r="BB139" i="28" a="1"/>
  <c r="BB139" i="28" s="1"/>
  <c r="AN139" i="28" a="1"/>
  <c r="AN139" i="28" s="1"/>
  <c r="AM139" i="28"/>
  <c r="B139" i="58" s="1"/>
  <c r="BC138" i="28" a="1"/>
  <c r="BC138" i="28" s="1"/>
  <c r="BB138" i="28" a="1"/>
  <c r="BB138" i="28" s="1"/>
  <c r="AN138" i="28" a="1"/>
  <c r="AN138" i="28" s="1"/>
  <c r="AM138" i="28"/>
  <c r="B138" i="58" s="1"/>
  <c r="BC137" i="28" a="1"/>
  <c r="BC137" i="28" s="1"/>
  <c r="BB137" i="28" a="1"/>
  <c r="BB137" i="28" s="1"/>
  <c r="AN137" i="28" a="1"/>
  <c r="AN137" i="28" s="1"/>
  <c r="AM137" i="28"/>
  <c r="B137" i="58" s="1"/>
  <c r="BC136" i="28" a="1"/>
  <c r="BC136" i="28" s="1"/>
  <c r="BB136" i="28" a="1"/>
  <c r="BB136" i="28" s="1"/>
  <c r="AN136" i="28" a="1"/>
  <c r="AN136" i="28" s="1"/>
  <c r="AM136" i="28"/>
  <c r="B136" i="58" s="1"/>
  <c r="BC135" i="28" a="1"/>
  <c r="BC135" i="28" s="1"/>
  <c r="BB135" i="28" a="1"/>
  <c r="BB135" i="28" s="1"/>
  <c r="AN135" i="28" a="1"/>
  <c r="AN135" i="28" s="1"/>
  <c r="AM135" i="28"/>
  <c r="B135" i="58" s="1"/>
  <c r="BC134" i="28" a="1"/>
  <c r="BC134" i="28" s="1"/>
  <c r="BB134" i="28" a="1"/>
  <c r="BB134" i="28" s="1"/>
  <c r="AN134" i="28" a="1"/>
  <c r="AN134" i="28" s="1"/>
  <c r="AM134" i="28"/>
  <c r="B134" i="58" s="1"/>
  <c r="BC133" i="28" a="1"/>
  <c r="BC133" i="28" s="1"/>
  <c r="BB133" i="28" a="1"/>
  <c r="BB133" i="28" s="1"/>
  <c r="AN133" i="28" a="1"/>
  <c r="AN133" i="28" s="1"/>
  <c r="AM133" i="28"/>
  <c r="B133" i="58" s="1"/>
  <c r="BC132" i="28" a="1"/>
  <c r="BC132" i="28" s="1"/>
  <c r="BB132" i="28" a="1"/>
  <c r="BB132" i="28" s="1"/>
  <c r="AN132" i="28" a="1"/>
  <c r="AN132" i="28" s="1"/>
  <c r="AM132" i="28"/>
  <c r="B132" i="58" s="1"/>
  <c r="BC131" i="28" a="1"/>
  <c r="BC131" i="28" s="1"/>
  <c r="BB131" i="28" a="1"/>
  <c r="BB131" i="28" s="1"/>
  <c r="AN131" i="28" a="1"/>
  <c r="AN131" i="28" s="1"/>
  <c r="AM131" i="28"/>
  <c r="B131" i="58" s="1"/>
  <c r="BC130" i="28" a="1"/>
  <c r="BC130" i="28" s="1"/>
  <c r="BB130" i="28" a="1"/>
  <c r="BB130" i="28" s="1"/>
  <c r="AN130" i="28" a="1"/>
  <c r="AN130" i="28" s="1"/>
  <c r="AM130" i="28"/>
  <c r="B130" i="58" s="1"/>
  <c r="BC129" i="28" a="1"/>
  <c r="BC129" i="28" s="1"/>
  <c r="BB129" i="28" a="1"/>
  <c r="BB129" i="28" s="1"/>
  <c r="AN129" i="28" a="1"/>
  <c r="AN129" i="28" s="1"/>
  <c r="AM129" i="28"/>
  <c r="B129" i="58" s="1"/>
  <c r="BC128" i="28" a="1"/>
  <c r="BC128" i="28" s="1"/>
  <c r="BB128" i="28" a="1"/>
  <c r="BB128" i="28" s="1"/>
  <c r="AN128" i="28" a="1"/>
  <c r="AN128" i="28" s="1"/>
  <c r="AM128" i="28"/>
  <c r="B128" i="58" s="1"/>
  <c r="BC127" i="28" a="1"/>
  <c r="BC127" i="28" s="1"/>
  <c r="BB127" i="28" a="1"/>
  <c r="BB127" i="28" s="1"/>
  <c r="AN127" i="28" a="1"/>
  <c r="AN127" i="28" s="1"/>
  <c r="AM127" i="28"/>
  <c r="B127" i="58" s="1"/>
  <c r="BC126" i="28" a="1"/>
  <c r="BC126" i="28" s="1"/>
  <c r="BB126" i="28" a="1"/>
  <c r="BB126" i="28" s="1"/>
  <c r="AN126" i="28" a="1"/>
  <c r="AN126" i="28" s="1"/>
  <c r="AM126" i="28"/>
  <c r="B126" i="58" s="1"/>
  <c r="BC125" i="28" a="1"/>
  <c r="BC125" i="28" s="1"/>
  <c r="BB125" i="28" a="1"/>
  <c r="BB125" i="28" s="1"/>
  <c r="AN125" i="28" a="1"/>
  <c r="AN125" i="28" s="1"/>
  <c r="AM125" i="28"/>
  <c r="B125" i="58" s="1"/>
  <c r="BC124" i="28" a="1"/>
  <c r="BC124" i="28" s="1"/>
  <c r="BB124" i="28" a="1"/>
  <c r="BB124" i="28" s="1"/>
  <c r="AN124" i="28" a="1"/>
  <c r="AN124" i="28" s="1"/>
  <c r="AM124" i="28"/>
  <c r="B124" i="58" s="1"/>
  <c r="BC123" i="28" a="1"/>
  <c r="BC123" i="28" s="1"/>
  <c r="BB123" i="28" a="1"/>
  <c r="BB123" i="28" s="1"/>
  <c r="AN123" i="28" a="1"/>
  <c r="AN123" i="28" s="1"/>
  <c r="AM123" i="28"/>
  <c r="B123" i="58" s="1"/>
  <c r="BC122" i="28" a="1"/>
  <c r="BC122" i="28" s="1"/>
  <c r="BB122" i="28" a="1"/>
  <c r="BB122" i="28" s="1"/>
  <c r="AN122" i="28" a="1"/>
  <c r="AN122" i="28" s="1"/>
  <c r="AM122" i="28"/>
  <c r="B122" i="58" s="1"/>
  <c r="BC121" i="28" a="1"/>
  <c r="BC121" i="28" s="1"/>
  <c r="BB121" i="28" a="1"/>
  <c r="BB121" i="28" s="1"/>
  <c r="AN121" i="28" a="1"/>
  <c r="AN121" i="28" s="1"/>
  <c r="AM121" i="28"/>
  <c r="B121" i="58" s="1"/>
  <c r="BC120" i="28" a="1"/>
  <c r="BC120" i="28" s="1"/>
  <c r="BB120" i="28" a="1"/>
  <c r="BB120" i="28" s="1"/>
  <c r="AN120" i="28" a="1"/>
  <c r="AN120" i="28" s="1"/>
  <c r="AM120" i="28"/>
  <c r="B120" i="58" s="1"/>
  <c r="BC119" i="28" a="1"/>
  <c r="BC119" i="28" s="1"/>
  <c r="BB119" i="28" a="1"/>
  <c r="BB119" i="28" s="1"/>
  <c r="AN119" i="28" a="1"/>
  <c r="AN119" i="28" s="1"/>
  <c r="AM119" i="28"/>
  <c r="B119" i="58" s="1"/>
  <c r="BC118" i="28" a="1"/>
  <c r="BC118" i="28" s="1"/>
  <c r="BB118" i="28" a="1"/>
  <c r="BB118" i="28" s="1"/>
  <c r="AN118" i="28" a="1"/>
  <c r="AN118" i="28" s="1"/>
  <c r="AM118" i="28"/>
  <c r="B118" i="58" s="1"/>
  <c r="BC117" i="28" a="1"/>
  <c r="BC117" i="28" s="1"/>
  <c r="BB117" i="28" a="1"/>
  <c r="BB117" i="28" s="1"/>
  <c r="AN117" i="28" a="1"/>
  <c r="AN117" i="28" s="1"/>
  <c r="AM117" i="28"/>
  <c r="B117" i="58" s="1"/>
  <c r="BC116" i="28" a="1"/>
  <c r="BC116" i="28" s="1"/>
  <c r="BB116" i="28" a="1"/>
  <c r="BB116" i="28" s="1"/>
  <c r="AN116" i="28" a="1"/>
  <c r="AN116" i="28" s="1"/>
  <c r="AM116" i="28"/>
  <c r="B116" i="58" s="1"/>
  <c r="BC115" i="28" a="1"/>
  <c r="BC115" i="28" s="1"/>
  <c r="BB115" i="28" a="1"/>
  <c r="BB115" i="28" s="1"/>
  <c r="AN115" i="28" a="1"/>
  <c r="AN115" i="28" s="1"/>
  <c r="AM115" i="28"/>
  <c r="B115" i="58" s="1"/>
  <c r="BC114" i="28" a="1"/>
  <c r="BC114" i="28" s="1"/>
  <c r="BB114" i="28" a="1"/>
  <c r="BB114" i="28" s="1"/>
  <c r="AN114" i="28" a="1"/>
  <c r="AN114" i="28" s="1"/>
  <c r="AM114" i="28"/>
  <c r="B114" i="58" s="1"/>
  <c r="BC113" i="28" a="1"/>
  <c r="BC113" i="28" s="1"/>
  <c r="BB113" i="28" a="1"/>
  <c r="BB113" i="28" s="1"/>
  <c r="AN113" i="28" a="1"/>
  <c r="AN113" i="28" s="1"/>
  <c r="AM113" i="28"/>
  <c r="B113" i="58" s="1"/>
  <c r="BC112" i="28" a="1"/>
  <c r="BC112" i="28" s="1"/>
  <c r="BB112" i="28" a="1"/>
  <c r="BB112" i="28" s="1"/>
  <c r="AN112" i="28" a="1"/>
  <c r="AN112" i="28" s="1"/>
  <c r="AM112" i="28"/>
  <c r="B112" i="58" s="1"/>
  <c r="BC111" i="28" a="1"/>
  <c r="BC111" i="28" s="1"/>
  <c r="BB111" i="28" a="1"/>
  <c r="BB111" i="28" s="1"/>
  <c r="AN111" i="28" a="1"/>
  <c r="AN111" i="28" s="1"/>
  <c r="AM111" i="28"/>
  <c r="B111" i="58" s="1"/>
  <c r="BC110" i="28" a="1"/>
  <c r="BC110" i="28" s="1"/>
  <c r="BB110" i="28" a="1"/>
  <c r="BB110" i="28" s="1"/>
  <c r="AN110" i="28" a="1"/>
  <c r="AN110" i="28" s="1"/>
  <c r="AM110" i="28"/>
  <c r="B110" i="58" s="1"/>
  <c r="BC109" i="28" a="1"/>
  <c r="BC109" i="28" s="1"/>
  <c r="BB109" i="28" a="1"/>
  <c r="BB109" i="28" s="1"/>
  <c r="AN109" i="28" a="1"/>
  <c r="AN109" i="28" s="1"/>
  <c r="AM109" i="28"/>
  <c r="B109" i="58" s="1"/>
  <c r="BC108" i="28" a="1"/>
  <c r="BC108" i="28" s="1"/>
  <c r="BB108" i="28" a="1"/>
  <c r="BB108" i="28" s="1"/>
  <c r="AN108" i="28" a="1"/>
  <c r="AN108" i="28" s="1"/>
  <c r="AM108" i="28"/>
  <c r="B108" i="58" s="1"/>
  <c r="BC107" i="28" a="1"/>
  <c r="BC107" i="28" s="1"/>
  <c r="BB107" i="28" a="1"/>
  <c r="BB107" i="28" s="1"/>
  <c r="AN107" i="28" a="1"/>
  <c r="AN107" i="28" s="1"/>
  <c r="AM107" i="28"/>
  <c r="B107" i="58" s="1"/>
  <c r="BC106" i="28" a="1"/>
  <c r="BC106" i="28" s="1"/>
  <c r="BB106" i="28" a="1"/>
  <c r="BB106" i="28" s="1"/>
  <c r="AN106" i="28" a="1"/>
  <c r="AN106" i="28" s="1"/>
  <c r="AM106" i="28"/>
  <c r="B106" i="58" s="1"/>
  <c r="BC105" i="28" a="1"/>
  <c r="BC105" i="28" s="1"/>
  <c r="BB105" i="28" a="1"/>
  <c r="BB105" i="28" s="1"/>
  <c r="AN105" i="28" a="1"/>
  <c r="AN105" i="28" s="1"/>
  <c r="AM105" i="28"/>
  <c r="B105" i="58" s="1"/>
  <c r="BC104" i="28" a="1"/>
  <c r="BC104" i="28" s="1"/>
  <c r="BB104" i="28" a="1"/>
  <c r="BB104" i="28" s="1"/>
  <c r="AN104" i="28" a="1"/>
  <c r="AN104" i="28" s="1"/>
  <c r="AM104" i="28"/>
  <c r="B104" i="58" s="1"/>
  <c r="BC103" i="28" a="1"/>
  <c r="BC103" i="28" s="1"/>
  <c r="BB103" i="28" a="1"/>
  <c r="BB103" i="28" s="1"/>
  <c r="AN103" i="28" a="1"/>
  <c r="AN103" i="28" s="1"/>
  <c r="AM103" i="28"/>
  <c r="B103" i="58" s="1"/>
  <c r="BC102" i="28" a="1"/>
  <c r="BC102" i="28" s="1"/>
  <c r="BB102" i="28" a="1"/>
  <c r="BB102" i="28" s="1"/>
  <c r="AN102" i="28" a="1"/>
  <c r="AN102" i="28" s="1"/>
  <c r="AM102" i="28"/>
  <c r="B102" i="58" s="1"/>
  <c r="BC101" i="28" a="1"/>
  <c r="BC101" i="28" s="1"/>
  <c r="BB101" i="28" a="1"/>
  <c r="BB101" i="28" s="1"/>
  <c r="AN101" i="28" a="1"/>
  <c r="AN101" i="28" s="1"/>
  <c r="AM101" i="28"/>
  <c r="B101" i="58" s="1"/>
  <c r="BC100" i="28" a="1"/>
  <c r="BC100" i="28" s="1"/>
  <c r="BB100" i="28" a="1"/>
  <c r="BB100" i="28" s="1"/>
  <c r="AN100" i="28" a="1"/>
  <c r="AN100" i="28" s="1"/>
  <c r="AM100" i="28"/>
  <c r="B100" i="58" s="1"/>
  <c r="BC99" i="28" a="1"/>
  <c r="BC99" i="28" s="1"/>
  <c r="BB99" i="28" a="1"/>
  <c r="BB99" i="28" s="1"/>
  <c r="AN99" i="28" a="1"/>
  <c r="AN99" i="28" s="1"/>
  <c r="AM99" i="28"/>
  <c r="B99" i="58" s="1"/>
  <c r="BC98" i="28" a="1"/>
  <c r="BC98" i="28" s="1"/>
  <c r="BB98" i="28" a="1"/>
  <c r="BB98" i="28" s="1"/>
  <c r="AN98" i="28" a="1"/>
  <c r="AN98" i="28" s="1"/>
  <c r="AM98" i="28"/>
  <c r="B98" i="58" s="1"/>
  <c r="BC97" i="28" a="1"/>
  <c r="BC97" i="28" s="1"/>
  <c r="BB97" i="28" a="1"/>
  <c r="BB97" i="28" s="1"/>
  <c r="AN97" i="28" a="1"/>
  <c r="AN97" i="28" s="1"/>
  <c r="AM97" i="28"/>
  <c r="B97" i="58" s="1"/>
  <c r="BC96" i="28" a="1"/>
  <c r="BC96" i="28" s="1"/>
  <c r="BB96" i="28" a="1"/>
  <c r="BB96" i="28" s="1"/>
  <c r="AN96" i="28" a="1"/>
  <c r="AN96" i="28" s="1"/>
  <c r="AM96" i="28"/>
  <c r="B96" i="58" s="1"/>
  <c r="BC95" i="28" a="1"/>
  <c r="BC95" i="28" s="1"/>
  <c r="BB95" i="28" a="1"/>
  <c r="BB95" i="28" s="1"/>
  <c r="AN95" i="28" a="1"/>
  <c r="AN95" i="28" s="1"/>
  <c r="AM95" i="28"/>
  <c r="B95" i="58" s="1"/>
  <c r="BC94" i="28" a="1"/>
  <c r="BC94" i="28" s="1"/>
  <c r="BB94" i="28" a="1"/>
  <c r="BB94" i="28" s="1"/>
  <c r="AN94" i="28" a="1"/>
  <c r="AN94" i="28" s="1"/>
  <c r="AM94" i="28"/>
  <c r="B94" i="58" s="1"/>
  <c r="BC93" i="28" a="1"/>
  <c r="BC93" i="28" s="1"/>
  <c r="BB93" i="28" a="1"/>
  <c r="BB93" i="28" s="1"/>
  <c r="AN93" i="28" a="1"/>
  <c r="AN93" i="28" s="1"/>
  <c r="AM93" i="28"/>
  <c r="B93" i="58" s="1"/>
  <c r="BC92" i="28" a="1"/>
  <c r="BC92" i="28" s="1"/>
  <c r="BB92" i="28" a="1"/>
  <c r="BB92" i="28" s="1"/>
  <c r="AN92" i="28" a="1"/>
  <c r="AN92" i="28" s="1"/>
  <c r="AM92" i="28"/>
  <c r="B92" i="58" s="1"/>
  <c r="BC91" i="28" a="1"/>
  <c r="BC91" i="28" s="1"/>
  <c r="BB91" i="28" a="1"/>
  <c r="BB91" i="28" s="1"/>
  <c r="AN91" i="28" a="1"/>
  <c r="AN91" i="28" s="1"/>
  <c r="AM91" i="28"/>
  <c r="B91" i="58" s="1"/>
  <c r="BC90" i="28" a="1"/>
  <c r="BC90" i="28" s="1"/>
  <c r="BB90" i="28" a="1"/>
  <c r="BB90" i="28" s="1"/>
  <c r="AN90" i="28" a="1"/>
  <c r="AN90" i="28" s="1"/>
  <c r="AM90" i="28"/>
  <c r="B90" i="58" s="1"/>
  <c r="BC89" i="28" a="1"/>
  <c r="BC89" i="28" s="1"/>
  <c r="BB89" i="28" a="1"/>
  <c r="BB89" i="28" s="1"/>
  <c r="AN89" i="28" a="1"/>
  <c r="AN89" i="28" s="1"/>
  <c r="AM89" i="28"/>
  <c r="B89" i="58" s="1"/>
  <c r="BC88" i="28" a="1"/>
  <c r="BC88" i="28" s="1"/>
  <c r="BB88" i="28" a="1"/>
  <c r="BB88" i="28" s="1"/>
  <c r="AN88" i="28" a="1"/>
  <c r="AN88" i="28" s="1"/>
  <c r="AM88" i="28"/>
  <c r="B88" i="58" s="1"/>
  <c r="BC87" i="28" a="1"/>
  <c r="BC87" i="28" s="1"/>
  <c r="BB87" i="28" a="1"/>
  <c r="BB87" i="28" s="1"/>
  <c r="AN87" i="28" a="1"/>
  <c r="AN87" i="28" s="1"/>
  <c r="AM87" i="28"/>
  <c r="B87" i="58" s="1"/>
  <c r="BC86" i="28" a="1"/>
  <c r="BC86" i="28" s="1"/>
  <c r="BB86" i="28" a="1"/>
  <c r="BB86" i="28" s="1"/>
  <c r="AN86" i="28" a="1"/>
  <c r="AN86" i="28" s="1"/>
  <c r="AM86" i="28"/>
  <c r="B86" i="58" s="1"/>
  <c r="BC85" i="28" a="1"/>
  <c r="BC85" i="28" s="1"/>
  <c r="BB85" i="28" a="1"/>
  <c r="BB85" i="28" s="1"/>
  <c r="AN85" i="28" a="1"/>
  <c r="AN85" i="28" s="1"/>
  <c r="AM85" i="28"/>
  <c r="B85" i="58" s="1"/>
  <c r="BC84" i="28" a="1"/>
  <c r="BC84" i="28" s="1"/>
  <c r="BB84" i="28" a="1"/>
  <c r="BB84" i="28" s="1"/>
  <c r="AN84" i="28" a="1"/>
  <c r="AN84" i="28" s="1"/>
  <c r="AM84" i="28"/>
  <c r="B84" i="58" s="1"/>
  <c r="BC83" i="28" a="1"/>
  <c r="BC83" i="28" s="1"/>
  <c r="BB83" i="28" a="1"/>
  <c r="BB83" i="28" s="1"/>
  <c r="AN83" i="28" a="1"/>
  <c r="AN83" i="28" s="1"/>
  <c r="AM83" i="28"/>
  <c r="B83" i="58" s="1"/>
  <c r="BC82" i="28" a="1"/>
  <c r="BC82" i="28" s="1"/>
  <c r="BB82" i="28" a="1"/>
  <c r="BB82" i="28" s="1"/>
  <c r="AN82" i="28" a="1"/>
  <c r="AN82" i="28" s="1"/>
  <c r="AM82" i="28"/>
  <c r="B82" i="58" s="1"/>
  <c r="BC81" i="28" a="1"/>
  <c r="BC81" i="28" s="1"/>
  <c r="BB81" i="28" a="1"/>
  <c r="BB81" i="28" s="1"/>
  <c r="AN81" i="28" a="1"/>
  <c r="AN81" i="28" s="1"/>
  <c r="AM81" i="28"/>
  <c r="B81" i="58" s="1"/>
  <c r="BC80" i="28" a="1"/>
  <c r="BC80" i="28" s="1"/>
  <c r="BB80" i="28" a="1"/>
  <c r="BB80" i="28" s="1"/>
  <c r="AN80" i="28" a="1"/>
  <c r="AN80" i="28" s="1"/>
  <c r="AM80" i="28"/>
  <c r="B80" i="58" s="1"/>
  <c r="BC79" i="28" a="1"/>
  <c r="BC79" i="28" s="1"/>
  <c r="BB79" i="28" a="1"/>
  <c r="BB79" i="28" s="1"/>
  <c r="AN79" i="28" a="1"/>
  <c r="AN79" i="28" s="1"/>
  <c r="AM79" i="28"/>
  <c r="B79" i="58" s="1"/>
  <c r="BC78" i="28" a="1"/>
  <c r="BC78" i="28" s="1"/>
  <c r="BB78" i="28" a="1"/>
  <c r="BB78" i="28" s="1"/>
  <c r="AN78" i="28" a="1"/>
  <c r="AN78" i="28" s="1"/>
  <c r="AM78" i="28"/>
  <c r="B78" i="58" s="1"/>
  <c r="BC77" i="28" a="1"/>
  <c r="BC77" i="28" s="1"/>
  <c r="BB77" i="28" a="1"/>
  <c r="BB77" i="28" s="1"/>
  <c r="AN77" i="28" a="1"/>
  <c r="AN77" i="28" s="1"/>
  <c r="AM77" i="28"/>
  <c r="B77" i="58" s="1"/>
  <c r="BC76" i="28" a="1"/>
  <c r="BC76" i="28" s="1"/>
  <c r="BB76" i="28" a="1"/>
  <c r="BB76" i="28" s="1"/>
  <c r="AN76" i="28" a="1"/>
  <c r="AN76" i="28" s="1"/>
  <c r="AM76" i="28"/>
  <c r="B76" i="58" s="1"/>
  <c r="BC75" i="28" a="1"/>
  <c r="BC75" i="28" s="1"/>
  <c r="BB75" i="28" a="1"/>
  <c r="BB75" i="28" s="1"/>
  <c r="AN75" i="28" a="1"/>
  <c r="AN75" i="28" s="1"/>
  <c r="AM75" i="28"/>
  <c r="B75" i="58" s="1"/>
  <c r="BC74" i="28" a="1"/>
  <c r="BC74" i="28" s="1"/>
  <c r="BB74" i="28" a="1"/>
  <c r="BB74" i="28" s="1"/>
  <c r="AN74" i="28" a="1"/>
  <c r="AN74" i="28" s="1"/>
  <c r="AM74" i="28"/>
  <c r="B74" i="58" s="1"/>
  <c r="BC73" i="28" a="1"/>
  <c r="BC73" i="28" s="1"/>
  <c r="BB73" i="28" a="1"/>
  <c r="BB73" i="28" s="1"/>
  <c r="AN73" i="28" a="1"/>
  <c r="AN73" i="28" s="1"/>
  <c r="AM73" i="28"/>
  <c r="B73" i="58" s="1"/>
  <c r="BC72" i="28" a="1"/>
  <c r="BC72" i="28" s="1"/>
  <c r="BB72" i="28" a="1"/>
  <c r="BB72" i="28" s="1"/>
  <c r="AN72" i="28" a="1"/>
  <c r="AN72" i="28" s="1"/>
  <c r="AM72" i="28"/>
  <c r="B72" i="58" s="1"/>
  <c r="BC71" i="28" a="1"/>
  <c r="BC71" i="28" s="1"/>
  <c r="BB71" i="28" a="1"/>
  <c r="BB71" i="28" s="1"/>
  <c r="AN71" i="28" a="1"/>
  <c r="AN71" i="28" s="1"/>
  <c r="AM71" i="28"/>
  <c r="B71" i="58" s="1"/>
  <c r="BC70" i="28" a="1"/>
  <c r="BC70" i="28" s="1"/>
  <c r="BB70" i="28" a="1"/>
  <c r="BB70" i="28" s="1"/>
  <c r="AN70" i="28" a="1"/>
  <c r="AN70" i="28" s="1"/>
  <c r="AM70" i="28"/>
  <c r="B70" i="58" s="1"/>
  <c r="BC69" i="28" a="1"/>
  <c r="BC69" i="28" s="1"/>
  <c r="BB69" i="28" a="1"/>
  <c r="BB69" i="28" s="1"/>
  <c r="AN69" i="28" a="1"/>
  <c r="AN69" i="28" s="1"/>
  <c r="AM69" i="28"/>
  <c r="B69" i="58" s="1"/>
  <c r="BC68" i="28" a="1"/>
  <c r="BC68" i="28" s="1"/>
  <c r="BB68" i="28" a="1"/>
  <c r="BB68" i="28" s="1"/>
  <c r="AN68" i="28" a="1"/>
  <c r="AN68" i="28" s="1"/>
  <c r="AM68" i="28"/>
  <c r="B68" i="58" s="1"/>
  <c r="BC67" i="28" a="1"/>
  <c r="BC67" i="28" s="1"/>
  <c r="BB67" i="28" a="1"/>
  <c r="BB67" i="28" s="1"/>
  <c r="AN67" i="28" a="1"/>
  <c r="AN67" i="28" s="1"/>
  <c r="AM67" i="28"/>
  <c r="B67" i="58" s="1"/>
  <c r="BC66" i="28" a="1"/>
  <c r="BC66" i="28" s="1"/>
  <c r="BB66" i="28" a="1"/>
  <c r="BB66" i="28" s="1"/>
  <c r="AN66" i="28" a="1"/>
  <c r="AN66" i="28" s="1"/>
  <c r="AM66" i="28"/>
  <c r="B66" i="58" s="1"/>
  <c r="BC65" i="28" a="1"/>
  <c r="BC65" i="28" s="1"/>
  <c r="BB65" i="28" a="1"/>
  <c r="BB65" i="28" s="1"/>
  <c r="AN65" i="28" a="1"/>
  <c r="AN65" i="28" s="1"/>
  <c r="AM65" i="28"/>
  <c r="B65" i="58" s="1"/>
  <c r="BC64" i="28" a="1"/>
  <c r="BC64" i="28" s="1"/>
  <c r="BB64" i="28" a="1"/>
  <c r="BB64" i="28" s="1"/>
  <c r="AN64" i="28" a="1"/>
  <c r="AN64" i="28" s="1"/>
  <c r="AM64" i="28"/>
  <c r="B64" i="58" s="1"/>
  <c r="BC63" i="28" a="1"/>
  <c r="BC63" i="28" s="1"/>
  <c r="BB63" i="28" a="1"/>
  <c r="BB63" i="28" s="1"/>
  <c r="AN63" i="28" a="1"/>
  <c r="AN63" i="28" s="1"/>
  <c r="AM63" i="28"/>
  <c r="B63" i="58" s="1"/>
  <c r="BC62" i="28" a="1"/>
  <c r="BC62" i="28" s="1"/>
  <c r="BB62" i="28" a="1"/>
  <c r="BB62" i="28" s="1"/>
  <c r="AN62" i="28" a="1"/>
  <c r="AN62" i="28" s="1"/>
  <c r="AM62" i="28"/>
  <c r="B62" i="58" s="1"/>
  <c r="BC61" i="28" a="1"/>
  <c r="BC61" i="28" s="1"/>
  <c r="BB61" i="28" a="1"/>
  <c r="BB61" i="28" s="1"/>
  <c r="AN61" i="28" a="1"/>
  <c r="AN61" i="28" s="1"/>
  <c r="AM61" i="28"/>
  <c r="B61" i="58" s="1"/>
  <c r="BC60" i="28" a="1"/>
  <c r="BC60" i="28" s="1"/>
  <c r="BB60" i="28" a="1"/>
  <c r="BB60" i="28" s="1"/>
  <c r="AN60" i="28" a="1"/>
  <c r="AN60" i="28" s="1"/>
  <c r="AM60" i="28"/>
  <c r="B60" i="58" s="1"/>
  <c r="BC59" i="28" a="1"/>
  <c r="BC59" i="28" s="1"/>
  <c r="BB59" i="28" a="1"/>
  <c r="BB59" i="28" s="1"/>
  <c r="AN59" i="28" a="1"/>
  <c r="AN59" i="28" s="1"/>
  <c r="AM59" i="28"/>
  <c r="B59" i="58" s="1"/>
  <c r="BC58" i="28" a="1"/>
  <c r="BC58" i="28" s="1"/>
  <c r="BB58" i="28" a="1"/>
  <c r="BB58" i="28" s="1"/>
  <c r="AN58" i="28" a="1"/>
  <c r="AN58" i="28" s="1"/>
  <c r="AM58" i="28"/>
  <c r="B58" i="58" s="1"/>
  <c r="BC57" i="28" a="1"/>
  <c r="BC57" i="28" s="1"/>
  <c r="BB57" i="28" a="1"/>
  <c r="BB57" i="28" s="1"/>
  <c r="AN57" i="28" a="1"/>
  <c r="AN57" i="28" s="1"/>
  <c r="AM57" i="28"/>
  <c r="B57" i="58" s="1"/>
  <c r="BC56" i="28" a="1"/>
  <c r="BC56" i="28" s="1"/>
  <c r="BB56" i="28" a="1"/>
  <c r="BB56" i="28" s="1"/>
  <c r="AN56" i="28" a="1"/>
  <c r="AN56" i="28" s="1"/>
  <c r="AM56" i="28"/>
  <c r="B56" i="58" s="1"/>
  <c r="BC55" i="28" a="1"/>
  <c r="BC55" i="28" s="1"/>
  <c r="BB55" i="28" a="1"/>
  <c r="BB55" i="28" s="1"/>
  <c r="AN55" i="28" a="1"/>
  <c r="AN55" i="28" s="1"/>
  <c r="AM55" i="28"/>
  <c r="B55" i="58" s="1"/>
  <c r="BC54" i="28" a="1"/>
  <c r="BC54" i="28" s="1"/>
  <c r="BB54" i="28" a="1"/>
  <c r="BB54" i="28" s="1"/>
  <c r="AN54" i="28" a="1"/>
  <c r="AN54" i="28" s="1"/>
  <c r="AM54" i="28"/>
  <c r="B54" i="58" s="1"/>
  <c r="BC53" i="28" a="1"/>
  <c r="BC53" i="28" s="1"/>
  <c r="BB53" i="28" a="1"/>
  <c r="BB53" i="28" s="1"/>
  <c r="AN53" i="28" a="1"/>
  <c r="AN53" i="28" s="1"/>
  <c r="AM53" i="28"/>
  <c r="B53" i="58" s="1"/>
  <c r="BC52" i="28" a="1"/>
  <c r="BC52" i="28" s="1"/>
  <c r="BB52" i="28" a="1"/>
  <c r="BB52" i="28" s="1"/>
  <c r="AN52" i="28" a="1"/>
  <c r="AN52" i="28" s="1"/>
  <c r="AM52" i="28"/>
  <c r="B52" i="58" s="1"/>
  <c r="BC51" i="28" a="1"/>
  <c r="BC51" i="28" s="1"/>
  <c r="BB51" i="28" a="1"/>
  <c r="BB51" i="28" s="1"/>
  <c r="AN51" i="28" a="1"/>
  <c r="AN51" i="28" s="1"/>
  <c r="AM51" i="28"/>
  <c r="B51" i="58" s="1"/>
  <c r="BC50" i="28" a="1"/>
  <c r="BC50" i="28" s="1"/>
  <c r="BB50" i="28" a="1"/>
  <c r="BB50" i="28" s="1"/>
  <c r="AN50" i="28" a="1"/>
  <c r="AN50" i="28" s="1"/>
  <c r="AM50" i="28"/>
  <c r="B50" i="58" s="1"/>
  <c r="BC49" i="28" a="1"/>
  <c r="BC49" i="28" s="1"/>
  <c r="BB49" i="28" a="1"/>
  <c r="BB49" i="28" s="1"/>
  <c r="AN49" i="28" a="1"/>
  <c r="AN49" i="28" s="1"/>
  <c r="AM49" i="28"/>
  <c r="B49" i="58" s="1"/>
  <c r="BC48" i="28" a="1"/>
  <c r="BC48" i="28" s="1"/>
  <c r="BB48" i="28" a="1"/>
  <c r="BB48" i="28" s="1"/>
  <c r="AN48" i="28" a="1"/>
  <c r="AN48" i="28" s="1"/>
  <c r="AM48" i="28"/>
  <c r="B48" i="58" s="1"/>
  <c r="BC47" i="28" a="1"/>
  <c r="BC47" i="28" s="1"/>
  <c r="BB47" i="28" a="1"/>
  <c r="BB47" i="28" s="1"/>
  <c r="AN47" i="28" a="1"/>
  <c r="AN47" i="28" s="1"/>
  <c r="AM47" i="28"/>
  <c r="B47" i="58" s="1"/>
  <c r="BC46" i="28" a="1"/>
  <c r="BC46" i="28" s="1"/>
  <c r="BB46" i="28" a="1"/>
  <c r="BB46" i="28" s="1"/>
  <c r="AN46" i="28" a="1"/>
  <c r="AN46" i="28" s="1"/>
  <c r="AM46" i="28"/>
  <c r="B46" i="58" s="1"/>
  <c r="BC45" i="28" a="1"/>
  <c r="BC45" i="28" s="1"/>
  <c r="BB45" i="28" a="1"/>
  <c r="BB45" i="28" s="1"/>
  <c r="AN45" i="28" a="1"/>
  <c r="AN45" i="28" s="1"/>
  <c r="AM45" i="28"/>
  <c r="B45" i="58" s="1"/>
  <c r="BC44" i="28" a="1"/>
  <c r="BC44" i="28" s="1"/>
  <c r="BB44" i="28" a="1"/>
  <c r="BB44" i="28" s="1"/>
  <c r="AN44" i="28" a="1"/>
  <c r="AN44" i="28" s="1"/>
  <c r="AM44" i="28"/>
  <c r="B44" i="58" s="1"/>
  <c r="BC43" i="28" a="1"/>
  <c r="BC43" i="28" s="1"/>
  <c r="BB43" i="28" a="1"/>
  <c r="BB43" i="28" s="1"/>
  <c r="AN43" i="28" a="1"/>
  <c r="AN43" i="28" s="1"/>
  <c r="AM43" i="28"/>
  <c r="B43" i="58" s="1"/>
  <c r="BC42" i="28" a="1"/>
  <c r="BC42" i="28" s="1"/>
  <c r="BB42" i="28" a="1"/>
  <c r="BB42" i="28" s="1"/>
  <c r="AN42" i="28" a="1"/>
  <c r="AN42" i="28" s="1"/>
  <c r="AM42" i="28"/>
  <c r="B42" i="58" s="1"/>
  <c r="BC41" i="28" a="1"/>
  <c r="BC41" i="28" s="1"/>
  <c r="BB41" i="28" a="1"/>
  <c r="BB41" i="28" s="1"/>
  <c r="AN41" i="28" a="1"/>
  <c r="AN41" i="28" s="1"/>
  <c r="AM41" i="28"/>
  <c r="B41" i="58" s="1"/>
  <c r="BC40" i="28" a="1"/>
  <c r="BC40" i="28" s="1"/>
  <c r="BB40" i="28" a="1"/>
  <c r="BB40" i="28" s="1"/>
  <c r="AN40" i="28" a="1"/>
  <c r="AN40" i="28" s="1"/>
  <c r="AM40" i="28"/>
  <c r="B40" i="58" s="1"/>
  <c r="BC39" i="28" a="1"/>
  <c r="BC39" i="28" s="1"/>
  <c r="BB39" i="28" a="1"/>
  <c r="BB39" i="28" s="1"/>
  <c r="AN39" i="28" a="1"/>
  <c r="AN39" i="28" s="1"/>
  <c r="AM39" i="28"/>
  <c r="B39" i="58" s="1"/>
  <c r="BC38" i="28" a="1"/>
  <c r="BC38" i="28" s="1"/>
  <c r="BB38" i="28" a="1"/>
  <c r="BB38" i="28" s="1"/>
  <c r="AN38" i="28" a="1"/>
  <c r="AN38" i="28" s="1"/>
  <c r="AM38" i="28"/>
  <c r="B38" i="58" s="1"/>
  <c r="BC37" i="28" a="1"/>
  <c r="BC37" i="28" s="1"/>
  <c r="BB37" i="28" a="1"/>
  <c r="BB37" i="28" s="1"/>
  <c r="AN37" i="28" a="1"/>
  <c r="AN37" i="28" s="1"/>
  <c r="AM37" i="28"/>
  <c r="B37" i="58" s="1"/>
  <c r="BC36" i="28" a="1"/>
  <c r="BC36" i="28" s="1"/>
  <c r="BB36" i="28" a="1"/>
  <c r="BB36" i="28" s="1"/>
  <c r="AN36" i="28" a="1"/>
  <c r="AN36" i="28" s="1"/>
  <c r="AM36" i="28"/>
  <c r="B36" i="58" s="1"/>
  <c r="BC35" i="28" a="1"/>
  <c r="BC35" i="28" s="1"/>
  <c r="BB35" i="28" a="1"/>
  <c r="BB35" i="28" s="1"/>
  <c r="AN35" i="28" a="1"/>
  <c r="AN35" i="28" s="1"/>
  <c r="AM35" i="28"/>
  <c r="BC34" i="28" a="1"/>
  <c r="BC34" i="28" s="1"/>
  <c r="BB34" i="28" a="1"/>
  <c r="BB34" i="28" s="1"/>
  <c r="AN34" i="28" a="1"/>
  <c r="AN34" i="28" s="1"/>
  <c r="AM34" i="28"/>
  <c r="B34" i="58" s="1"/>
  <c r="BC33" i="28" a="1"/>
  <c r="BC33" i="28" s="1"/>
  <c r="BB33" i="28" a="1"/>
  <c r="BB33" i="28" s="1"/>
  <c r="AN33" i="28" a="1"/>
  <c r="AN33" i="28" s="1"/>
  <c r="AM33" i="28"/>
  <c r="B33" i="58" s="1"/>
  <c r="BC32" i="28" a="1"/>
  <c r="BC32" i="28" s="1"/>
  <c r="BB32" i="28" a="1"/>
  <c r="BB32" i="28" s="1"/>
  <c r="AN32" i="28" a="1"/>
  <c r="AN32" i="28" s="1"/>
  <c r="AM32" i="28"/>
  <c r="B35" i="58" l="1"/>
  <c r="B32" i="58"/>
  <c r="P32" i="58" s="1"/>
  <c r="BH36" i="28"/>
  <c r="BL36" i="28" s="1"/>
  <c r="BG36" i="28"/>
  <c r="BK36" i="28" s="1"/>
  <c r="BG43" i="28"/>
  <c r="BK43" i="28" s="1"/>
  <c r="BH43" i="28"/>
  <c r="BL43" i="28" s="1"/>
  <c r="BG50" i="28"/>
  <c r="BK50" i="28" s="1"/>
  <c r="BH50" i="28"/>
  <c r="BL50" i="28" s="1"/>
  <c r="BG57" i="28"/>
  <c r="BK57" i="28" s="1"/>
  <c r="BH57" i="28"/>
  <c r="BL57" i="28" s="1"/>
  <c r="BG64" i="28"/>
  <c r="BK64" i="28" s="1"/>
  <c r="BH64" i="28"/>
  <c r="BL64" i="28" s="1"/>
  <c r="BG71" i="28"/>
  <c r="BK71" i="28" s="1"/>
  <c r="BH71" i="28"/>
  <c r="BL71" i="28" s="1"/>
  <c r="BG78" i="28"/>
  <c r="BK78" i="28" s="1"/>
  <c r="BH78" i="28"/>
  <c r="BL78" i="28" s="1"/>
  <c r="BG85" i="28"/>
  <c r="BK85" i="28" s="1"/>
  <c r="BH85" i="28"/>
  <c r="BL85" i="28" s="1"/>
  <c r="BG92" i="28"/>
  <c r="BK92" i="28" s="1"/>
  <c r="BH92" i="28"/>
  <c r="BL92" i="28" s="1"/>
  <c r="BH99" i="28"/>
  <c r="BL99" i="28" s="1"/>
  <c r="BG99" i="28"/>
  <c r="BK99" i="28" s="1"/>
  <c r="BG106" i="28"/>
  <c r="BK106" i="28" s="1"/>
  <c r="BH106" i="28"/>
  <c r="BL106" i="28" s="1"/>
  <c r="BH113" i="28"/>
  <c r="BL113" i="28" s="1"/>
  <c r="BG113" i="28"/>
  <c r="BK113" i="28" s="1"/>
  <c r="BG120" i="28"/>
  <c r="BK120" i="28" s="1"/>
  <c r="BH120" i="28"/>
  <c r="BL120" i="28" s="1"/>
  <c r="BG127" i="28"/>
  <c r="BK127" i="28" s="1"/>
  <c r="BH127" i="28"/>
  <c r="BL127" i="28" s="1"/>
  <c r="BG134" i="28"/>
  <c r="BK134" i="28" s="1"/>
  <c r="BH134" i="28"/>
  <c r="BL134" i="28" s="1"/>
  <c r="BG141" i="28"/>
  <c r="BK141" i="28" s="1"/>
  <c r="BH141" i="28"/>
  <c r="BL141" i="28" s="1"/>
  <c r="BG148" i="28"/>
  <c r="BK148" i="28" s="1"/>
  <c r="BH148" i="28"/>
  <c r="BL148" i="28" s="1"/>
  <c r="BG155" i="28"/>
  <c r="BK155" i="28" s="1"/>
  <c r="BH155" i="28"/>
  <c r="BL155" i="28" s="1"/>
  <c r="BG162" i="28"/>
  <c r="BK162" i="28" s="1"/>
  <c r="BH162" i="28"/>
  <c r="BL162" i="28" s="1"/>
  <c r="BG169" i="28"/>
  <c r="BK169" i="28" s="1"/>
  <c r="BH169" i="28"/>
  <c r="BL169" i="28" s="1"/>
  <c r="BG176" i="28"/>
  <c r="BK176" i="28" s="1"/>
  <c r="BH176" i="28"/>
  <c r="BL176" i="28" s="1"/>
  <c r="BG183" i="28"/>
  <c r="BK183" i="28" s="1"/>
  <c r="BH183" i="28"/>
  <c r="BL183" i="28" s="1"/>
  <c r="BG190" i="28"/>
  <c r="BK190" i="28" s="1"/>
  <c r="BH190" i="28"/>
  <c r="BL190" i="28" s="1"/>
  <c r="BG197" i="28"/>
  <c r="BK197" i="28" s="1"/>
  <c r="BH197" i="28"/>
  <c r="BL197" i="28" s="1"/>
  <c r="BG204" i="28"/>
  <c r="BK204" i="28" s="1"/>
  <c r="BH204" i="28"/>
  <c r="BL204" i="28" s="1"/>
  <c r="BG211" i="28"/>
  <c r="BK211" i="28" s="1"/>
  <c r="BH211" i="28"/>
  <c r="BL211" i="28" s="1"/>
  <c r="BG218" i="28"/>
  <c r="BK218" i="28" s="1"/>
  <c r="BH218" i="28"/>
  <c r="BL218" i="28" s="1"/>
  <c r="BG225" i="28"/>
  <c r="BK225" i="28" s="1"/>
  <c r="BH225" i="28"/>
  <c r="BL225" i="28" s="1"/>
  <c r="BG232" i="28"/>
  <c r="BK232" i="28" s="1"/>
  <c r="BH232" i="28"/>
  <c r="BL232" i="28" s="1"/>
  <c r="BG239" i="28"/>
  <c r="BK239" i="28" s="1"/>
  <c r="BH239" i="28"/>
  <c r="BL239" i="28" s="1"/>
  <c r="BG246" i="28"/>
  <c r="BK246" i="28" s="1"/>
  <c r="BH246" i="28"/>
  <c r="BL246" i="28" s="1"/>
  <c r="BG253" i="28"/>
  <c r="BK253" i="28" s="1"/>
  <c r="BH253" i="28"/>
  <c r="BL253" i="28" s="1"/>
  <c r="BG260" i="28"/>
  <c r="BK260" i="28" s="1"/>
  <c r="BH260" i="28"/>
  <c r="BL260" i="28" s="1"/>
  <c r="BG267" i="28"/>
  <c r="BK267" i="28" s="1"/>
  <c r="BH267" i="28"/>
  <c r="BL267" i="28" s="1"/>
  <c r="BG274" i="28"/>
  <c r="BK274" i="28" s="1"/>
  <c r="BH274" i="28"/>
  <c r="BL274" i="28" s="1"/>
  <c r="BG281" i="28"/>
  <c r="BK281" i="28" s="1"/>
  <c r="BH281" i="28"/>
  <c r="BL281" i="28" s="1"/>
  <c r="BG288" i="28"/>
  <c r="BK288" i="28" s="1"/>
  <c r="BH288" i="28"/>
  <c r="BL288" i="28" s="1"/>
  <c r="BG295" i="28"/>
  <c r="BK295" i="28" s="1"/>
  <c r="BH295" i="28"/>
  <c r="BL295" i="28" s="1"/>
  <c r="BG302" i="28"/>
  <c r="BK302" i="28" s="1"/>
  <c r="BH302" i="28"/>
  <c r="BL302" i="28" s="1"/>
  <c r="BH309" i="28"/>
  <c r="BL309" i="28" s="1"/>
  <c r="BG309" i="28"/>
  <c r="BK309" i="28" s="1"/>
  <c r="BG316" i="28"/>
  <c r="BK316" i="28" s="1"/>
  <c r="BH316" i="28"/>
  <c r="BL316" i="28" s="1"/>
  <c r="BG323" i="28"/>
  <c r="BK323" i="28" s="1"/>
  <c r="BH323" i="28"/>
  <c r="BL323" i="28" s="1"/>
  <c r="BG330" i="28"/>
  <c r="BK330" i="28" s="1"/>
  <c r="BH330" i="28"/>
  <c r="BL330" i="28" s="1"/>
  <c r="BG337" i="28"/>
  <c r="BK337" i="28" s="1"/>
  <c r="BH337" i="28"/>
  <c r="BL337" i="28" s="1"/>
  <c r="BG344" i="28"/>
  <c r="BK344" i="28" s="1"/>
  <c r="BH344" i="28"/>
  <c r="BL344" i="28" s="1"/>
  <c r="BG351" i="28"/>
  <c r="BK351" i="28" s="1"/>
  <c r="BH351" i="28"/>
  <c r="BL351" i="28" s="1"/>
  <c r="BG358" i="28"/>
  <c r="BK358" i="28" s="1"/>
  <c r="BH358" i="28"/>
  <c r="BL358" i="28" s="1"/>
  <c r="BG365" i="28"/>
  <c r="BK365" i="28" s="1"/>
  <c r="BH365" i="28"/>
  <c r="BL365" i="28" s="1"/>
  <c r="BG372" i="28"/>
  <c r="BK372" i="28" s="1"/>
  <c r="BH372" i="28"/>
  <c r="BL372" i="28" s="1"/>
  <c r="BG379" i="28"/>
  <c r="BK379" i="28" s="1"/>
  <c r="BH379" i="28"/>
  <c r="BL379" i="28" s="1"/>
  <c r="BG386" i="28"/>
  <c r="BK386" i="28" s="1"/>
  <c r="BH386" i="28"/>
  <c r="BL386" i="28" s="1"/>
  <c r="BG393" i="28"/>
  <c r="BK393" i="28" s="1"/>
  <c r="BH393" i="28"/>
  <c r="BL393" i="28" s="1"/>
  <c r="BG400" i="28"/>
  <c r="BK400" i="28" s="1"/>
  <c r="BH400" i="28"/>
  <c r="BL400" i="28" s="1"/>
  <c r="BG407" i="28"/>
  <c r="BK407" i="28" s="1"/>
  <c r="BH407" i="28"/>
  <c r="BL407" i="28" s="1"/>
  <c r="BG414" i="28"/>
  <c r="BK414" i="28" s="1"/>
  <c r="BH414" i="28"/>
  <c r="BL414" i="28" s="1"/>
  <c r="BG421" i="28"/>
  <c r="BK421" i="28" s="1"/>
  <c r="BH421" i="28"/>
  <c r="BL421" i="28" s="1"/>
  <c r="BG428" i="28"/>
  <c r="BK428" i="28" s="1"/>
  <c r="BH428" i="28"/>
  <c r="BL428" i="28" s="1"/>
  <c r="BG435" i="28"/>
  <c r="BK435" i="28" s="1"/>
  <c r="BH435" i="28"/>
  <c r="BL435" i="28" s="1"/>
  <c r="BG442" i="28"/>
  <c r="BK442" i="28" s="1"/>
  <c r="BH442" i="28"/>
  <c r="BL442" i="28" s="1"/>
  <c r="BG449" i="28"/>
  <c r="BK449" i="28" s="1"/>
  <c r="BH449" i="28"/>
  <c r="BL449" i="28" s="1"/>
  <c r="BG456" i="28"/>
  <c r="BK456" i="28" s="1"/>
  <c r="BH456" i="28"/>
  <c r="BL456" i="28" s="1"/>
  <c r="BH463" i="28"/>
  <c r="BL463" i="28" s="1"/>
  <c r="BG463" i="28"/>
  <c r="BK463" i="28" s="1"/>
  <c r="BG470" i="28"/>
  <c r="BK470" i="28" s="1"/>
  <c r="BH470" i="28"/>
  <c r="BL470" i="28" s="1"/>
  <c r="BH477" i="28"/>
  <c r="BL477" i="28" s="1"/>
  <c r="BG477" i="28"/>
  <c r="BK477" i="28" s="1"/>
  <c r="BG484" i="28"/>
  <c r="BK484" i="28" s="1"/>
  <c r="BH484" i="28"/>
  <c r="BL484" i="28" s="1"/>
  <c r="BH491" i="28"/>
  <c r="BL491" i="28" s="1"/>
  <c r="BG491" i="28"/>
  <c r="BK491" i="28" s="1"/>
  <c r="BG498" i="28"/>
  <c r="BK498" i="28" s="1"/>
  <c r="BH498" i="28"/>
  <c r="BL498" i="28" s="1"/>
  <c r="BH505" i="28"/>
  <c r="BL505" i="28" s="1"/>
  <c r="BG505" i="28"/>
  <c r="BK505" i="28" s="1"/>
  <c r="BG131" i="28"/>
  <c r="BK131" i="28" s="1"/>
  <c r="BH131" i="28"/>
  <c r="BL131" i="28" s="1"/>
  <c r="BG201" i="28"/>
  <c r="BK201" i="28" s="1"/>
  <c r="BH201" i="28"/>
  <c r="BL201" i="28" s="1"/>
  <c r="BH236" i="28"/>
  <c r="BL236" i="28" s="1"/>
  <c r="BG236" i="28"/>
  <c r="BK236" i="28" s="1"/>
  <c r="BG243" i="28"/>
  <c r="BK243" i="28" s="1"/>
  <c r="BH243" i="28"/>
  <c r="BL243" i="28" s="1"/>
  <c r="BH250" i="28"/>
  <c r="BL250" i="28" s="1"/>
  <c r="BG250" i="28"/>
  <c r="BK250" i="28" s="1"/>
  <c r="BG285" i="28"/>
  <c r="BK285" i="28" s="1"/>
  <c r="BH285" i="28"/>
  <c r="BL285" i="28" s="1"/>
  <c r="BH292" i="28"/>
  <c r="BL292" i="28" s="1"/>
  <c r="BG292" i="28"/>
  <c r="BK292" i="28" s="1"/>
  <c r="BG327" i="28"/>
  <c r="BK327" i="28" s="1"/>
  <c r="BH327" i="28"/>
  <c r="BL327" i="28" s="1"/>
  <c r="BG369" i="28"/>
  <c r="BK369" i="28" s="1"/>
  <c r="BH369" i="28"/>
  <c r="BL369" i="28" s="1"/>
  <c r="BH432" i="28"/>
  <c r="BL432" i="28" s="1"/>
  <c r="BG432" i="28"/>
  <c r="BK432" i="28" s="1"/>
  <c r="BG439" i="28"/>
  <c r="BK439" i="28" s="1"/>
  <c r="BH439" i="28"/>
  <c r="BL439" i="28" s="1"/>
  <c r="BH474" i="28"/>
  <c r="BL474" i="28" s="1"/>
  <c r="BG474" i="28"/>
  <c r="BK474" i="28" s="1"/>
  <c r="BG481" i="28"/>
  <c r="BK481" i="28" s="1"/>
  <c r="BH481" i="28"/>
  <c r="BL481" i="28" s="1"/>
  <c r="BH33" i="28"/>
  <c r="BL33" i="28" s="1"/>
  <c r="BG33" i="28"/>
  <c r="BK33" i="28" s="1"/>
  <c r="BH96" i="28"/>
  <c r="BL96" i="28" s="1"/>
  <c r="BG96" i="28"/>
  <c r="BK96" i="28" s="1"/>
  <c r="BG103" i="28"/>
  <c r="BK103" i="28" s="1"/>
  <c r="BH103" i="28"/>
  <c r="BL103" i="28" s="1"/>
  <c r="BG117" i="28"/>
  <c r="BK117" i="28" s="1"/>
  <c r="BH117" i="28"/>
  <c r="BL117" i="28" s="1"/>
  <c r="BG194" i="28"/>
  <c r="BK194" i="28" s="1"/>
  <c r="BH194" i="28"/>
  <c r="BL194" i="28" s="1"/>
  <c r="BG264" i="28"/>
  <c r="BK264" i="28" s="1"/>
  <c r="BH264" i="28"/>
  <c r="BL264" i="28" s="1"/>
  <c r="BH362" i="28"/>
  <c r="BL362" i="28" s="1"/>
  <c r="BG362" i="28"/>
  <c r="BK362" i="28" s="1"/>
  <c r="BG411" i="28"/>
  <c r="BK411" i="28" s="1"/>
  <c r="BH411" i="28"/>
  <c r="BL411" i="28" s="1"/>
  <c r="BG453" i="28"/>
  <c r="BK453" i="28" s="1"/>
  <c r="BH453" i="28"/>
  <c r="BL453" i="28" s="1"/>
  <c r="BG460" i="28"/>
  <c r="BK460" i="28" s="1"/>
  <c r="BH460" i="28"/>
  <c r="BL460" i="28" s="1"/>
  <c r="BG467" i="28"/>
  <c r="BK467" i="28" s="1"/>
  <c r="BH467" i="28"/>
  <c r="BL467" i="28" s="1"/>
  <c r="BH488" i="28"/>
  <c r="BL488" i="28" s="1"/>
  <c r="BG488" i="28"/>
  <c r="BK488" i="28" s="1"/>
  <c r="BG502" i="28"/>
  <c r="BK502" i="28" s="1"/>
  <c r="BH502" i="28"/>
  <c r="BL502" i="28" s="1"/>
  <c r="BG37" i="28"/>
  <c r="BK37" i="28" s="1"/>
  <c r="BH37" i="28"/>
  <c r="BL37" i="28" s="1"/>
  <c r="BG44" i="28"/>
  <c r="BK44" i="28" s="1"/>
  <c r="BH44" i="28"/>
  <c r="BL44" i="28" s="1"/>
  <c r="BH51" i="28"/>
  <c r="BL51" i="28" s="1"/>
  <c r="BG51" i="28"/>
  <c r="BK51" i="28" s="1"/>
  <c r="BG58" i="28"/>
  <c r="BK58" i="28" s="1"/>
  <c r="BH58" i="28"/>
  <c r="BL58" i="28" s="1"/>
  <c r="BH65" i="28"/>
  <c r="BL65" i="28" s="1"/>
  <c r="BG65" i="28"/>
  <c r="BK65" i="28" s="1"/>
  <c r="BG72" i="28"/>
  <c r="BK72" i="28" s="1"/>
  <c r="BH72" i="28"/>
  <c r="BL72" i="28" s="1"/>
  <c r="BH79" i="28"/>
  <c r="BL79" i="28" s="1"/>
  <c r="BG79" i="28"/>
  <c r="BK79" i="28" s="1"/>
  <c r="BG86" i="28"/>
  <c r="BK86" i="28" s="1"/>
  <c r="BH86" i="28"/>
  <c r="BL86" i="28" s="1"/>
  <c r="BH93" i="28"/>
  <c r="BL93" i="28" s="1"/>
  <c r="BG93" i="28"/>
  <c r="BK93" i="28" s="1"/>
  <c r="BG100" i="28"/>
  <c r="BK100" i="28" s="1"/>
  <c r="BH100" i="28"/>
  <c r="BL100" i="28" s="1"/>
  <c r="BG107" i="28"/>
  <c r="BK107" i="28" s="1"/>
  <c r="BH107" i="28"/>
  <c r="BL107" i="28" s="1"/>
  <c r="BG114" i="28"/>
  <c r="BK114" i="28" s="1"/>
  <c r="BH114" i="28"/>
  <c r="BL114" i="28" s="1"/>
  <c r="BG121" i="28"/>
  <c r="BK121" i="28" s="1"/>
  <c r="BH121" i="28"/>
  <c r="BL121" i="28" s="1"/>
  <c r="BH128" i="28"/>
  <c r="BL128" i="28" s="1"/>
  <c r="BG128" i="28"/>
  <c r="BK128" i="28" s="1"/>
  <c r="BH135" i="28"/>
  <c r="BL135" i="28" s="1"/>
  <c r="BG135" i="28"/>
  <c r="BK135" i="28" s="1"/>
  <c r="BG142" i="28"/>
  <c r="BK142" i="28" s="1"/>
  <c r="BH142" i="28"/>
  <c r="BL142" i="28" s="1"/>
  <c r="BH149" i="28"/>
  <c r="BL149" i="28" s="1"/>
  <c r="BG149" i="28"/>
  <c r="BK149" i="28" s="1"/>
  <c r="BG156" i="28"/>
  <c r="BK156" i="28" s="1"/>
  <c r="BH156" i="28"/>
  <c r="BL156" i="28" s="1"/>
  <c r="BH163" i="28"/>
  <c r="BL163" i="28" s="1"/>
  <c r="BG163" i="28"/>
  <c r="BK163" i="28" s="1"/>
  <c r="BG170" i="28"/>
  <c r="BK170" i="28" s="1"/>
  <c r="BH170" i="28"/>
  <c r="BL170" i="28" s="1"/>
  <c r="BG177" i="28"/>
  <c r="BK177" i="28" s="1"/>
  <c r="BH177" i="28"/>
  <c r="BL177" i="28" s="1"/>
  <c r="BG184" i="28"/>
  <c r="BK184" i="28" s="1"/>
  <c r="BH184" i="28"/>
  <c r="BL184" i="28" s="1"/>
  <c r="BG191" i="28"/>
  <c r="BK191" i="28" s="1"/>
  <c r="BH191" i="28"/>
  <c r="BL191" i="28" s="1"/>
  <c r="BG198" i="28"/>
  <c r="BK198" i="28" s="1"/>
  <c r="BH198" i="28"/>
  <c r="BL198" i="28" s="1"/>
  <c r="BH205" i="28"/>
  <c r="BL205" i="28" s="1"/>
  <c r="BG205" i="28"/>
  <c r="BK205" i="28" s="1"/>
  <c r="BG212" i="28"/>
  <c r="BK212" i="28" s="1"/>
  <c r="BH212" i="28"/>
  <c r="BL212" i="28" s="1"/>
  <c r="BH219" i="28"/>
  <c r="BL219" i="28" s="1"/>
  <c r="BG219" i="28"/>
  <c r="BK219" i="28" s="1"/>
  <c r="BG226" i="28"/>
  <c r="BK226" i="28" s="1"/>
  <c r="BH226" i="28"/>
  <c r="BL226" i="28" s="1"/>
  <c r="BH233" i="28"/>
  <c r="BL233" i="28" s="1"/>
  <c r="BG233" i="28"/>
  <c r="BK233" i="28" s="1"/>
  <c r="BG240" i="28"/>
  <c r="BK240" i="28" s="1"/>
  <c r="BH240" i="28"/>
  <c r="BL240" i="28" s="1"/>
  <c r="BG247" i="28"/>
  <c r="BK247" i="28" s="1"/>
  <c r="BH247" i="28"/>
  <c r="BL247" i="28" s="1"/>
  <c r="BH254" i="28"/>
  <c r="BL254" i="28" s="1"/>
  <c r="BG254" i="28"/>
  <c r="BK254" i="28" s="1"/>
  <c r="BG261" i="28"/>
  <c r="BK261" i="28" s="1"/>
  <c r="BH261" i="28"/>
  <c r="BL261" i="28" s="1"/>
  <c r="BG268" i="28"/>
  <c r="BK268" i="28" s="1"/>
  <c r="BH268" i="28"/>
  <c r="BL268" i="28" s="1"/>
  <c r="BH275" i="28"/>
  <c r="BL275" i="28" s="1"/>
  <c r="BG275" i="28"/>
  <c r="BK275" i="28" s="1"/>
  <c r="BG282" i="28"/>
  <c r="BK282" i="28" s="1"/>
  <c r="BH282" i="28"/>
  <c r="BL282" i="28" s="1"/>
  <c r="BH289" i="28"/>
  <c r="BL289" i="28" s="1"/>
  <c r="BG289" i="28"/>
  <c r="BK289" i="28" s="1"/>
  <c r="BH296" i="28"/>
  <c r="BL296" i="28" s="1"/>
  <c r="BG296" i="28"/>
  <c r="BK296" i="28" s="1"/>
  <c r="BG303" i="28"/>
  <c r="BK303" i="28" s="1"/>
  <c r="BH303" i="28"/>
  <c r="BL303" i="28" s="1"/>
  <c r="BG310" i="28"/>
  <c r="BK310" i="28" s="1"/>
  <c r="BH310" i="28"/>
  <c r="BL310" i="28" s="1"/>
  <c r="BH317" i="28"/>
  <c r="BL317" i="28" s="1"/>
  <c r="BG317" i="28"/>
  <c r="BK317" i="28" s="1"/>
  <c r="BG324" i="28"/>
  <c r="BK324" i="28" s="1"/>
  <c r="BH324" i="28"/>
  <c r="BL324" i="28" s="1"/>
  <c r="BG331" i="28"/>
  <c r="BK331" i="28" s="1"/>
  <c r="BH331" i="28"/>
  <c r="BL331" i="28" s="1"/>
  <c r="BH338" i="28"/>
  <c r="BL338" i="28" s="1"/>
  <c r="BG338" i="28"/>
  <c r="BK338" i="28" s="1"/>
  <c r="BH345" i="28"/>
  <c r="BL345" i="28" s="1"/>
  <c r="BG345" i="28"/>
  <c r="BK345" i="28" s="1"/>
  <c r="BH352" i="28"/>
  <c r="BL352" i="28" s="1"/>
  <c r="BG352" i="28"/>
  <c r="BK352" i="28" s="1"/>
  <c r="BH359" i="28"/>
  <c r="BL359" i="28" s="1"/>
  <c r="BG359" i="28"/>
  <c r="BK359" i="28" s="1"/>
  <c r="BG366" i="28"/>
  <c r="BK366" i="28" s="1"/>
  <c r="BH366" i="28"/>
  <c r="BL366" i="28" s="1"/>
  <c r="BG373" i="28"/>
  <c r="BK373" i="28" s="1"/>
  <c r="BH373" i="28"/>
  <c r="BL373" i="28" s="1"/>
  <c r="BH380" i="28"/>
  <c r="BL380" i="28" s="1"/>
  <c r="BG380" i="28"/>
  <c r="BK380" i="28" s="1"/>
  <c r="BH387" i="28"/>
  <c r="BL387" i="28" s="1"/>
  <c r="BG387" i="28"/>
  <c r="BK387" i="28" s="1"/>
  <c r="BH394" i="28"/>
  <c r="BL394" i="28" s="1"/>
  <c r="BG394" i="28"/>
  <c r="BK394" i="28" s="1"/>
  <c r="BH401" i="28"/>
  <c r="BL401" i="28" s="1"/>
  <c r="BG401" i="28"/>
  <c r="BK401" i="28" s="1"/>
  <c r="BG408" i="28"/>
  <c r="BK408" i="28" s="1"/>
  <c r="BH408" i="28"/>
  <c r="BL408" i="28" s="1"/>
  <c r="BG415" i="28"/>
  <c r="BK415" i="28" s="1"/>
  <c r="BH415" i="28"/>
  <c r="BL415" i="28" s="1"/>
  <c r="BH422" i="28"/>
  <c r="BL422" i="28" s="1"/>
  <c r="BG422" i="28"/>
  <c r="BK422" i="28" s="1"/>
  <c r="BH429" i="28"/>
  <c r="BL429" i="28" s="1"/>
  <c r="BG429" i="28"/>
  <c r="BK429" i="28" s="1"/>
  <c r="BG436" i="28"/>
  <c r="BK436" i="28" s="1"/>
  <c r="BH436" i="28"/>
  <c r="BL436" i="28" s="1"/>
  <c r="BH443" i="28"/>
  <c r="BL443" i="28" s="1"/>
  <c r="BG443" i="28"/>
  <c r="BK443" i="28" s="1"/>
  <c r="BG450" i="28"/>
  <c r="BK450" i="28" s="1"/>
  <c r="BH450" i="28"/>
  <c r="BL450" i="28" s="1"/>
  <c r="BG457" i="28"/>
  <c r="BK457" i="28" s="1"/>
  <c r="BH457" i="28"/>
  <c r="BL457" i="28" s="1"/>
  <c r="BG464" i="28"/>
  <c r="BK464" i="28" s="1"/>
  <c r="BH464" i="28"/>
  <c r="BL464" i="28" s="1"/>
  <c r="BG471" i="28"/>
  <c r="BK471" i="28" s="1"/>
  <c r="BH471" i="28"/>
  <c r="BL471" i="28" s="1"/>
  <c r="BH478" i="28"/>
  <c r="BL478" i="28" s="1"/>
  <c r="BG478" i="28"/>
  <c r="BK478" i="28" s="1"/>
  <c r="BH485" i="28"/>
  <c r="BL485" i="28" s="1"/>
  <c r="BG485" i="28"/>
  <c r="BK485" i="28" s="1"/>
  <c r="BH492" i="28"/>
  <c r="BL492" i="28" s="1"/>
  <c r="BG492" i="28"/>
  <c r="BK492" i="28" s="1"/>
  <c r="BG499" i="28"/>
  <c r="BK499" i="28" s="1"/>
  <c r="BH499" i="28"/>
  <c r="BL499" i="28" s="1"/>
  <c r="BH506" i="28"/>
  <c r="BL506" i="28" s="1"/>
  <c r="BG506" i="28"/>
  <c r="BK506" i="28" s="1"/>
  <c r="BH68" i="28"/>
  <c r="BL68" i="28" s="1"/>
  <c r="BG68" i="28"/>
  <c r="BK68" i="28" s="1"/>
  <c r="BG75" i="28"/>
  <c r="BK75" i="28" s="1"/>
  <c r="BH75" i="28"/>
  <c r="BL75" i="28" s="1"/>
  <c r="BH138" i="28"/>
  <c r="BL138" i="28" s="1"/>
  <c r="BG138" i="28"/>
  <c r="BK138" i="28" s="1"/>
  <c r="BG145" i="28"/>
  <c r="BK145" i="28" s="1"/>
  <c r="BH145" i="28"/>
  <c r="BL145" i="28" s="1"/>
  <c r="BH222" i="28"/>
  <c r="BL222" i="28" s="1"/>
  <c r="BG222" i="28"/>
  <c r="BK222" i="28" s="1"/>
  <c r="BH334" i="28"/>
  <c r="BL334" i="28" s="1"/>
  <c r="BG334" i="28"/>
  <c r="BK334" i="28" s="1"/>
  <c r="BG341" i="28"/>
  <c r="BK341" i="28" s="1"/>
  <c r="BH341" i="28"/>
  <c r="BL341" i="28" s="1"/>
  <c r="BH390" i="28"/>
  <c r="BL390" i="28" s="1"/>
  <c r="BG390" i="28"/>
  <c r="BK390" i="28" s="1"/>
  <c r="BG495" i="28"/>
  <c r="BK495" i="28" s="1"/>
  <c r="BH495" i="28"/>
  <c r="BL495" i="28" s="1"/>
  <c r="BG159" i="28"/>
  <c r="BK159" i="28" s="1"/>
  <c r="BH159" i="28"/>
  <c r="BL159" i="28" s="1"/>
  <c r="BG271" i="28"/>
  <c r="BK271" i="28" s="1"/>
  <c r="BH271" i="28"/>
  <c r="BL271" i="28" s="1"/>
  <c r="BH376" i="28"/>
  <c r="BL376" i="28" s="1"/>
  <c r="BG376" i="28"/>
  <c r="BK376" i="28" s="1"/>
  <c r="BH446" i="28"/>
  <c r="BL446" i="28" s="1"/>
  <c r="BG446" i="28"/>
  <c r="BK446" i="28" s="1"/>
  <c r="BH34" i="28"/>
  <c r="BL34" i="28" s="1"/>
  <c r="BG34" i="28"/>
  <c r="BK34" i="28" s="1"/>
  <c r="BH41" i="28"/>
  <c r="BL41" i="28" s="1"/>
  <c r="BG41" i="28"/>
  <c r="BK41" i="28" s="1"/>
  <c r="BG48" i="28"/>
  <c r="BK48" i="28" s="1"/>
  <c r="BH48" i="28"/>
  <c r="BL48" i="28" s="1"/>
  <c r="BH55" i="28"/>
  <c r="BL55" i="28" s="1"/>
  <c r="BG55" i="28"/>
  <c r="BK55" i="28" s="1"/>
  <c r="BG62" i="28"/>
  <c r="BK62" i="28" s="1"/>
  <c r="BH62" i="28"/>
  <c r="BL62" i="28" s="1"/>
  <c r="BH69" i="28"/>
  <c r="BL69" i="28" s="1"/>
  <c r="BG69" i="28"/>
  <c r="BK69" i="28" s="1"/>
  <c r="BH76" i="28"/>
  <c r="BL76" i="28" s="1"/>
  <c r="BG76" i="28"/>
  <c r="BK76" i="28" s="1"/>
  <c r="BH83" i="28"/>
  <c r="BL83" i="28" s="1"/>
  <c r="BG83" i="28"/>
  <c r="BK83" i="28" s="1"/>
  <c r="BG90" i="28"/>
  <c r="BK90" i="28" s="1"/>
  <c r="BH90" i="28"/>
  <c r="BL90" i="28" s="1"/>
  <c r="BH97" i="28"/>
  <c r="BL97" i="28" s="1"/>
  <c r="BG97" i="28"/>
  <c r="BK97" i="28" s="1"/>
  <c r="BG104" i="28"/>
  <c r="BK104" i="28" s="1"/>
  <c r="BH104" i="28"/>
  <c r="BL104" i="28" s="1"/>
  <c r="BH111" i="28"/>
  <c r="BL111" i="28" s="1"/>
  <c r="BG111" i="28"/>
  <c r="BK111" i="28" s="1"/>
  <c r="BG118" i="28"/>
  <c r="BK118" i="28" s="1"/>
  <c r="BH118" i="28"/>
  <c r="BL118" i="28" s="1"/>
  <c r="BH125" i="28"/>
  <c r="BL125" i="28" s="1"/>
  <c r="BG125" i="28"/>
  <c r="BK125" i="28" s="1"/>
  <c r="BH132" i="28"/>
  <c r="BL132" i="28" s="1"/>
  <c r="BG132" i="28"/>
  <c r="BK132" i="28" s="1"/>
  <c r="BH139" i="28"/>
  <c r="BL139" i="28" s="1"/>
  <c r="BG139" i="28"/>
  <c r="BK139" i="28" s="1"/>
  <c r="BG146" i="28"/>
  <c r="BK146" i="28" s="1"/>
  <c r="BH146" i="28"/>
  <c r="BL146" i="28" s="1"/>
  <c r="BH153" i="28"/>
  <c r="BL153" i="28" s="1"/>
  <c r="BG153" i="28"/>
  <c r="BK153" i="28" s="1"/>
  <c r="BG160" i="28"/>
  <c r="BK160" i="28" s="1"/>
  <c r="BH160" i="28"/>
  <c r="BL160" i="28" s="1"/>
  <c r="BH167" i="28"/>
  <c r="BL167" i="28" s="1"/>
  <c r="BG167" i="28"/>
  <c r="BK167" i="28" s="1"/>
  <c r="BG174" i="28"/>
  <c r="BK174" i="28" s="1"/>
  <c r="BH174" i="28"/>
  <c r="BL174" i="28" s="1"/>
  <c r="BH181" i="28"/>
  <c r="BL181" i="28" s="1"/>
  <c r="BG181" i="28"/>
  <c r="BK181" i="28" s="1"/>
  <c r="BG188" i="28"/>
  <c r="BK188" i="28" s="1"/>
  <c r="BH188" i="28"/>
  <c r="BL188" i="28" s="1"/>
  <c r="BH195" i="28"/>
  <c r="BL195" i="28" s="1"/>
  <c r="BG195" i="28"/>
  <c r="BK195" i="28" s="1"/>
  <c r="BH202" i="28"/>
  <c r="BL202" i="28" s="1"/>
  <c r="BG202" i="28"/>
  <c r="BK202" i="28" s="1"/>
  <c r="BH209" i="28"/>
  <c r="BL209" i="28" s="1"/>
  <c r="BG209" i="28"/>
  <c r="BK209" i="28" s="1"/>
  <c r="BG216" i="28"/>
  <c r="BK216" i="28" s="1"/>
  <c r="BH216" i="28"/>
  <c r="BL216" i="28" s="1"/>
  <c r="BH223" i="28"/>
  <c r="BL223" i="28" s="1"/>
  <c r="BG223" i="28"/>
  <c r="BK223" i="28" s="1"/>
  <c r="BH230" i="28"/>
  <c r="BL230" i="28" s="1"/>
  <c r="BG230" i="28"/>
  <c r="BK230" i="28" s="1"/>
  <c r="BH237" i="28"/>
  <c r="BL237" i="28" s="1"/>
  <c r="BG237" i="28"/>
  <c r="BK237" i="28" s="1"/>
  <c r="BG244" i="28"/>
  <c r="BK244" i="28" s="1"/>
  <c r="BH244" i="28"/>
  <c r="BL244" i="28" s="1"/>
  <c r="BH251" i="28"/>
  <c r="BL251" i="28" s="1"/>
  <c r="BG251" i="28"/>
  <c r="BK251" i="28" s="1"/>
  <c r="BG258" i="28"/>
  <c r="BK258" i="28" s="1"/>
  <c r="BH258" i="28"/>
  <c r="BL258" i="28" s="1"/>
  <c r="BG265" i="28"/>
  <c r="BK265" i="28" s="1"/>
  <c r="BH265" i="28"/>
  <c r="BL265" i="28" s="1"/>
  <c r="BG272" i="28"/>
  <c r="BK272" i="28" s="1"/>
  <c r="BH272" i="28"/>
  <c r="BL272" i="28" s="1"/>
  <c r="BH279" i="28"/>
  <c r="BL279" i="28" s="1"/>
  <c r="BG279" i="28"/>
  <c r="BK279" i="28" s="1"/>
  <c r="BG286" i="28"/>
  <c r="BK286" i="28" s="1"/>
  <c r="BH286" i="28"/>
  <c r="BL286" i="28" s="1"/>
  <c r="BH293" i="28"/>
  <c r="BL293" i="28" s="1"/>
  <c r="BG293" i="28"/>
  <c r="BK293" i="28" s="1"/>
  <c r="BG300" i="28"/>
  <c r="BK300" i="28" s="1"/>
  <c r="BH300" i="28"/>
  <c r="BL300" i="28" s="1"/>
  <c r="BG307" i="28"/>
  <c r="BK307" i="28" s="1"/>
  <c r="BH307" i="28"/>
  <c r="BL307" i="28" s="1"/>
  <c r="BG314" i="28"/>
  <c r="BK314" i="28" s="1"/>
  <c r="BH314" i="28"/>
  <c r="BL314" i="28" s="1"/>
  <c r="BH321" i="28"/>
  <c r="BL321" i="28" s="1"/>
  <c r="BG321" i="28"/>
  <c r="BK321" i="28" s="1"/>
  <c r="BG328" i="28"/>
  <c r="BK328" i="28" s="1"/>
  <c r="BH328" i="28"/>
  <c r="BL328" i="28" s="1"/>
  <c r="BH335" i="28"/>
  <c r="BL335" i="28" s="1"/>
  <c r="BG335" i="28"/>
  <c r="BK335" i="28" s="1"/>
  <c r="BG342" i="28"/>
  <c r="BK342" i="28" s="1"/>
  <c r="BH342" i="28"/>
  <c r="BL342" i="28" s="1"/>
  <c r="BH349" i="28"/>
  <c r="BL349" i="28" s="1"/>
  <c r="BG349" i="28"/>
  <c r="BK349" i="28" s="1"/>
  <c r="BG356" i="28"/>
  <c r="BK356" i="28" s="1"/>
  <c r="BH356" i="28"/>
  <c r="BL356" i="28" s="1"/>
  <c r="BH363" i="28"/>
  <c r="BL363" i="28" s="1"/>
  <c r="BG363" i="28"/>
  <c r="BK363" i="28" s="1"/>
  <c r="BG370" i="28"/>
  <c r="BK370" i="28" s="1"/>
  <c r="BH370" i="28"/>
  <c r="BL370" i="28" s="1"/>
  <c r="BH377" i="28"/>
  <c r="BL377" i="28" s="1"/>
  <c r="BG377" i="28"/>
  <c r="BK377" i="28" s="1"/>
  <c r="BG384" i="28"/>
  <c r="BK384" i="28" s="1"/>
  <c r="BH384" i="28"/>
  <c r="BL384" i="28" s="1"/>
  <c r="BH391" i="28"/>
  <c r="BL391" i="28" s="1"/>
  <c r="BG391" i="28"/>
  <c r="BK391" i="28" s="1"/>
  <c r="BG398" i="28"/>
  <c r="BK398" i="28" s="1"/>
  <c r="BH398" i="28"/>
  <c r="BL398" i="28" s="1"/>
  <c r="BH405" i="28"/>
  <c r="BL405" i="28" s="1"/>
  <c r="BG405" i="28"/>
  <c r="BK405" i="28" s="1"/>
  <c r="BG412" i="28"/>
  <c r="BK412" i="28" s="1"/>
  <c r="BH412" i="28"/>
  <c r="BL412" i="28" s="1"/>
  <c r="BH419" i="28"/>
  <c r="BL419" i="28" s="1"/>
  <c r="BG419" i="28"/>
  <c r="BK419" i="28" s="1"/>
  <c r="BG426" i="28"/>
  <c r="BK426" i="28" s="1"/>
  <c r="BH426" i="28"/>
  <c r="BL426" i="28" s="1"/>
  <c r="BH433" i="28"/>
  <c r="BL433" i="28" s="1"/>
  <c r="BG433" i="28"/>
  <c r="BK433" i="28" s="1"/>
  <c r="BG440" i="28"/>
  <c r="BK440" i="28" s="1"/>
  <c r="BH440" i="28"/>
  <c r="BL440" i="28" s="1"/>
  <c r="BH447" i="28"/>
  <c r="BL447" i="28" s="1"/>
  <c r="BG447" i="28"/>
  <c r="BK447" i="28" s="1"/>
  <c r="BG454" i="28"/>
  <c r="BK454" i="28" s="1"/>
  <c r="BH454" i="28"/>
  <c r="BL454" i="28" s="1"/>
  <c r="BH461" i="28"/>
  <c r="BL461" i="28" s="1"/>
  <c r="BG461" i="28"/>
  <c r="BK461" i="28" s="1"/>
  <c r="BG468" i="28"/>
  <c r="BK468" i="28" s="1"/>
  <c r="BH468" i="28"/>
  <c r="BL468" i="28" s="1"/>
  <c r="BH475" i="28"/>
  <c r="BL475" i="28" s="1"/>
  <c r="BG475" i="28"/>
  <c r="BK475" i="28" s="1"/>
  <c r="BG482" i="28"/>
  <c r="BK482" i="28" s="1"/>
  <c r="BH482" i="28"/>
  <c r="BL482" i="28" s="1"/>
  <c r="BH489" i="28"/>
  <c r="BL489" i="28" s="1"/>
  <c r="BG489" i="28"/>
  <c r="BK489" i="28" s="1"/>
  <c r="BG496" i="28"/>
  <c r="BK496" i="28" s="1"/>
  <c r="BH496" i="28"/>
  <c r="BL496" i="28" s="1"/>
  <c r="BG503" i="28"/>
  <c r="BK503" i="28" s="1"/>
  <c r="BH503" i="28"/>
  <c r="BL503" i="28" s="1"/>
  <c r="BH54" i="28"/>
  <c r="BL54" i="28" s="1"/>
  <c r="BG54" i="28"/>
  <c r="BK54" i="28" s="1"/>
  <c r="BG61" i="28"/>
  <c r="BK61" i="28" s="1"/>
  <c r="BH61" i="28"/>
  <c r="BL61" i="28" s="1"/>
  <c r="BH110" i="28"/>
  <c r="BL110" i="28" s="1"/>
  <c r="BG110" i="28"/>
  <c r="BK110" i="28" s="1"/>
  <c r="BG215" i="28"/>
  <c r="BK215" i="28" s="1"/>
  <c r="BH215" i="28"/>
  <c r="BL215" i="28" s="1"/>
  <c r="BH278" i="28"/>
  <c r="BL278" i="28" s="1"/>
  <c r="BG278" i="28"/>
  <c r="BK278" i="28" s="1"/>
  <c r="BG313" i="28"/>
  <c r="BK313" i="28" s="1"/>
  <c r="BH313" i="28"/>
  <c r="BL313" i="28" s="1"/>
  <c r="BH320" i="28"/>
  <c r="BL320" i="28" s="1"/>
  <c r="BG320" i="28"/>
  <c r="BK320" i="28" s="1"/>
  <c r="BH348" i="28"/>
  <c r="BL348" i="28" s="1"/>
  <c r="BG348" i="28"/>
  <c r="BK348" i="28" s="1"/>
  <c r="BG383" i="28"/>
  <c r="BK383" i="28" s="1"/>
  <c r="BH383" i="28"/>
  <c r="BL383" i="28" s="1"/>
  <c r="BG425" i="28"/>
  <c r="BK425" i="28" s="1"/>
  <c r="BH425" i="28"/>
  <c r="BL425" i="28" s="1"/>
  <c r="BG89" i="28"/>
  <c r="BK89" i="28" s="1"/>
  <c r="BH89" i="28"/>
  <c r="BL89" i="28" s="1"/>
  <c r="BG299" i="28"/>
  <c r="BK299" i="28" s="1"/>
  <c r="BH299" i="28"/>
  <c r="BL299" i="28" s="1"/>
  <c r="BG306" i="28"/>
  <c r="BK306" i="28" s="1"/>
  <c r="BH306" i="28"/>
  <c r="BL306" i="28" s="1"/>
  <c r="BG355" i="28"/>
  <c r="BK355" i="28" s="1"/>
  <c r="BH355" i="28"/>
  <c r="BL355" i="28" s="1"/>
  <c r="BG397" i="28"/>
  <c r="BK397" i="28" s="1"/>
  <c r="BH397" i="28"/>
  <c r="BL397" i="28" s="1"/>
  <c r="BH404" i="28"/>
  <c r="BL404" i="28" s="1"/>
  <c r="BG404" i="28"/>
  <c r="BK404" i="28" s="1"/>
  <c r="BH418" i="28"/>
  <c r="BL418" i="28" s="1"/>
  <c r="BG418" i="28"/>
  <c r="BK418" i="28" s="1"/>
  <c r="BG45" i="28"/>
  <c r="BK45" i="28" s="1"/>
  <c r="BH45" i="28"/>
  <c r="BL45" i="28" s="1"/>
  <c r="BH52" i="28"/>
  <c r="BL52" i="28" s="1"/>
  <c r="BG52" i="28"/>
  <c r="BK52" i="28" s="1"/>
  <c r="BH59" i="28"/>
  <c r="BL59" i="28" s="1"/>
  <c r="BG59" i="28"/>
  <c r="BK59" i="28" s="1"/>
  <c r="BH66" i="28"/>
  <c r="BL66" i="28" s="1"/>
  <c r="BG66" i="28"/>
  <c r="BK66" i="28" s="1"/>
  <c r="BG73" i="28"/>
  <c r="BK73" i="28" s="1"/>
  <c r="BH73" i="28"/>
  <c r="BL73" i="28" s="1"/>
  <c r="BH80" i="28"/>
  <c r="BL80" i="28" s="1"/>
  <c r="BG80" i="28"/>
  <c r="BK80" i="28" s="1"/>
  <c r="BG87" i="28"/>
  <c r="BK87" i="28" s="1"/>
  <c r="BH87" i="28"/>
  <c r="BL87" i="28" s="1"/>
  <c r="BH94" i="28"/>
  <c r="BL94" i="28" s="1"/>
  <c r="BG94" i="28"/>
  <c r="BK94" i="28" s="1"/>
  <c r="BG101" i="28"/>
  <c r="BK101" i="28" s="1"/>
  <c r="BH101" i="28"/>
  <c r="BL101" i="28" s="1"/>
  <c r="BG108" i="28"/>
  <c r="BK108" i="28" s="1"/>
  <c r="BH108" i="28"/>
  <c r="BL108" i="28" s="1"/>
  <c r="BG115" i="28"/>
  <c r="BK115" i="28" s="1"/>
  <c r="BH115" i="28"/>
  <c r="BL115" i="28" s="1"/>
  <c r="BG122" i="28"/>
  <c r="BK122" i="28" s="1"/>
  <c r="BH122" i="28"/>
  <c r="BL122" i="28" s="1"/>
  <c r="BG129" i="28"/>
  <c r="BK129" i="28" s="1"/>
  <c r="BH129" i="28"/>
  <c r="BL129" i="28" s="1"/>
  <c r="BH136" i="28"/>
  <c r="BL136" i="28" s="1"/>
  <c r="BG136" i="28"/>
  <c r="BK136" i="28" s="1"/>
  <c r="BG143" i="28"/>
  <c r="BK143" i="28" s="1"/>
  <c r="BH143" i="28"/>
  <c r="BL143" i="28" s="1"/>
  <c r="BH150" i="28"/>
  <c r="BL150" i="28" s="1"/>
  <c r="BG150" i="28"/>
  <c r="BK150" i="28" s="1"/>
  <c r="BG157" i="28"/>
  <c r="BK157" i="28" s="1"/>
  <c r="BH157" i="28"/>
  <c r="BL157" i="28" s="1"/>
  <c r="BH164" i="28"/>
  <c r="BL164" i="28" s="1"/>
  <c r="BG164" i="28"/>
  <c r="BK164" i="28" s="1"/>
  <c r="BG171" i="28"/>
  <c r="BK171" i="28" s="1"/>
  <c r="BH171" i="28"/>
  <c r="BL171" i="28" s="1"/>
  <c r="BH178" i="28"/>
  <c r="BL178" i="28" s="1"/>
  <c r="BG178" i="28"/>
  <c r="BK178" i="28" s="1"/>
  <c r="BH185" i="28"/>
  <c r="BL185" i="28" s="1"/>
  <c r="BG185" i="28"/>
  <c r="BK185" i="28" s="1"/>
  <c r="BG192" i="28"/>
  <c r="BK192" i="28" s="1"/>
  <c r="BH192" i="28"/>
  <c r="BL192" i="28" s="1"/>
  <c r="BH199" i="28"/>
  <c r="BL199" i="28" s="1"/>
  <c r="BG199" i="28"/>
  <c r="BK199" i="28" s="1"/>
  <c r="BH206" i="28"/>
  <c r="BL206" i="28" s="1"/>
  <c r="BG206" i="28"/>
  <c r="BK206" i="28" s="1"/>
  <c r="BG213" i="28"/>
  <c r="BK213" i="28" s="1"/>
  <c r="BH213" i="28"/>
  <c r="BL213" i="28" s="1"/>
  <c r="BH220" i="28"/>
  <c r="BL220" i="28" s="1"/>
  <c r="BG220" i="28"/>
  <c r="BK220" i="28" s="1"/>
  <c r="BG227" i="28"/>
  <c r="BK227" i="28" s="1"/>
  <c r="BH227" i="28"/>
  <c r="BL227" i="28" s="1"/>
  <c r="BH234" i="28"/>
  <c r="BL234" i="28" s="1"/>
  <c r="BG234" i="28"/>
  <c r="BK234" i="28" s="1"/>
  <c r="BG241" i="28"/>
  <c r="BK241" i="28" s="1"/>
  <c r="BH241" i="28"/>
  <c r="BL241" i="28" s="1"/>
  <c r="BG248" i="28"/>
  <c r="BK248" i="28" s="1"/>
  <c r="BH248" i="28"/>
  <c r="BL248" i="28" s="1"/>
  <c r="BG255" i="28"/>
  <c r="BK255" i="28" s="1"/>
  <c r="BH255" i="28"/>
  <c r="BL255" i="28" s="1"/>
  <c r="BG262" i="28"/>
  <c r="BK262" i="28" s="1"/>
  <c r="BH262" i="28"/>
  <c r="BL262" i="28" s="1"/>
  <c r="BG269" i="28"/>
  <c r="BK269" i="28" s="1"/>
  <c r="BH269" i="28"/>
  <c r="BL269" i="28" s="1"/>
  <c r="BH276" i="28"/>
  <c r="BL276" i="28" s="1"/>
  <c r="BG276" i="28"/>
  <c r="BK276" i="28" s="1"/>
  <c r="BG283" i="28"/>
  <c r="BK283" i="28" s="1"/>
  <c r="BH283" i="28"/>
  <c r="BL283" i="28" s="1"/>
  <c r="BH290" i="28"/>
  <c r="BL290" i="28" s="1"/>
  <c r="BG290" i="28"/>
  <c r="BK290" i="28" s="1"/>
  <c r="BG297" i="28"/>
  <c r="BK297" i="28" s="1"/>
  <c r="BH297" i="28"/>
  <c r="BL297" i="28" s="1"/>
  <c r="BG304" i="28"/>
  <c r="BK304" i="28" s="1"/>
  <c r="BH304" i="28"/>
  <c r="BL304" i="28" s="1"/>
  <c r="BH311" i="28"/>
  <c r="BL311" i="28" s="1"/>
  <c r="BG311" i="28"/>
  <c r="BK311" i="28" s="1"/>
  <c r="BH318" i="28"/>
  <c r="BL318" i="28" s="1"/>
  <c r="BG318" i="28"/>
  <c r="BK318" i="28" s="1"/>
  <c r="BG325" i="28"/>
  <c r="BK325" i="28" s="1"/>
  <c r="BH325" i="28"/>
  <c r="BL325" i="28" s="1"/>
  <c r="BH332" i="28"/>
  <c r="BL332" i="28" s="1"/>
  <c r="BG332" i="28"/>
  <c r="BK332" i="28" s="1"/>
  <c r="BH339" i="28"/>
  <c r="BL339" i="28" s="1"/>
  <c r="BG339" i="28"/>
  <c r="BK339" i="28" s="1"/>
  <c r="BH346" i="28"/>
  <c r="BL346" i="28" s="1"/>
  <c r="BG346" i="28"/>
  <c r="BK346" i="28" s="1"/>
  <c r="BG353" i="28"/>
  <c r="BK353" i="28" s="1"/>
  <c r="BH353" i="28"/>
  <c r="BL353" i="28" s="1"/>
  <c r="BH360" i="28"/>
  <c r="BL360" i="28" s="1"/>
  <c r="BG360" i="28"/>
  <c r="BK360" i="28" s="1"/>
  <c r="BG367" i="28"/>
  <c r="BK367" i="28" s="1"/>
  <c r="BH367" i="28"/>
  <c r="BL367" i="28" s="1"/>
  <c r="BG374" i="28"/>
  <c r="BK374" i="28" s="1"/>
  <c r="BH374" i="28"/>
  <c r="BL374" i="28" s="1"/>
  <c r="BG381" i="28"/>
  <c r="BK381" i="28" s="1"/>
  <c r="BH381" i="28"/>
  <c r="BL381" i="28" s="1"/>
  <c r="BH388" i="28"/>
  <c r="BL388" i="28" s="1"/>
  <c r="BG388" i="28"/>
  <c r="BK388" i="28" s="1"/>
  <c r="BH395" i="28"/>
  <c r="BL395" i="28" s="1"/>
  <c r="BG395" i="28"/>
  <c r="BK395" i="28" s="1"/>
  <c r="BH402" i="28"/>
  <c r="BL402" i="28" s="1"/>
  <c r="BG402" i="28"/>
  <c r="BK402" i="28" s="1"/>
  <c r="BG409" i="28"/>
  <c r="BK409" i="28" s="1"/>
  <c r="BH409" i="28"/>
  <c r="BL409" i="28" s="1"/>
  <c r="BG416" i="28"/>
  <c r="BK416" i="28" s="1"/>
  <c r="BH416" i="28"/>
  <c r="BL416" i="28" s="1"/>
  <c r="BG423" i="28"/>
  <c r="BK423" i="28" s="1"/>
  <c r="BH423" i="28"/>
  <c r="BL423" i="28" s="1"/>
  <c r="BH430" i="28"/>
  <c r="BL430" i="28" s="1"/>
  <c r="BG430" i="28"/>
  <c r="BK430" i="28" s="1"/>
  <c r="BH437" i="28"/>
  <c r="BL437" i="28" s="1"/>
  <c r="BG437" i="28"/>
  <c r="BK437" i="28" s="1"/>
  <c r="BH444" i="28"/>
  <c r="BL444" i="28" s="1"/>
  <c r="BG444" i="28"/>
  <c r="BK444" i="28" s="1"/>
  <c r="BG451" i="28"/>
  <c r="BK451" i="28" s="1"/>
  <c r="BH451" i="28"/>
  <c r="BL451" i="28" s="1"/>
  <c r="BG458" i="28"/>
  <c r="BK458" i="28" s="1"/>
  <c r="BH458" i="28"/>
  <c r="BL458" i="28" s="1"/>
  <c r="BG465" i="28"/>
  <c r="BK465" i="28" s="1"/>
  <c r="BH465" i="28"/>
  <c r="BL465" i="28" s="1"/>
  <c r="BH472" i="28"/>
  <c r="BL472" i="28" s="1"/>
  <c r="BG472" i="28"/>
  <c r="BK472" i="28" s="1"/>
  <c r="BG479" i="28"/>
  <c r="BK479" i="28" s="1"/>
  <c r="BH479" i="28"/>
  <c r="BL479" i="28" s="1"/>
  <c r="BG486" i="28"/>
  <c r="BK486" i="28" s="1"/>
  <c r="BH486" i="28"/>
  <c r="BL486" i="28" s="1"/>
  <c r="BH493" i="28"/>
  <c r="BL493" i="28" s="1"/>
  <c r="BG493" i="28"/>
  <c r="BK493" i="28" s="1"/>
  <c r="BG500" i="28"/>
  <c r="BK500" i="28" s="1"/>
  <c r="BH500" i="28"/>
  <c r="BL500" i="28" s="1"/>
  <c r="BH507" i="28"/>
  <c r="BL507" i="28" s="1"/>
  <c r="BG507" i="28"/>
  <c r="BK507" i="28" s="1"/>
  <c r="BH82" i="28"/>
  <c r="BL82" i="28" s="1"/>
  <c r="BG82" i="28"/>
  <c r="BK82" i="28" s="1"/>
  <c r="BH152" i="28"/>
  <c r="BL152" i="28" s="1"/>
  <c r="BG152" i="28"/>
  <c r="BK152" i="28" s="1"/>
  <c r="BG187" i="28"/>
  <c r="BK187" i="28" s="1"/>
  <c r="BH187" i="28"/>
  <c r="BL187" i="28" s="1"/>
  <c r="BH40" i="28"/>
  <c r="BL40" i="28" s="1"/>
  <c r="BG40" i="28"/>
  <c r="BK40" i="28" s="1"/>
  <c r="BG124" i="28"/>
  <c r="BK124" i="28" s="1"/>
  <c r="BH124" i="28"/>
  <c r="BL124" i="28" s="1"/>
  <c r="BH208" i="28"/>
  <c r="BL208" i="28" s="1"/>
  <c r="BG208" i="28"/>
  <c r="BK208" i="28" s="1"/>
  <c r="BG35" i="28"/>
  <c r="BK35" i="28" s="1"/>
  <c r="BH35" i="28"/>
  <c r="BL35" i="28" s="1"/>
  <c r="BG42" i="28"/>
  <c r="BK42" i="28" s="1"/>
  <c r="BH42" i="28"/>
  <c r="BL42" i="28" s="1"/>
  <c r="BG49" i="28"/>
  <c r="BK49" i="28" s="1"/>
  <c r="BH49" i="28"/>
  <c r="BL49" i="28" s="1"/>
  <c r="BG56" i="28"/>
  <c r="BK56" i="28" s="1"/>
  <c r="BH56" i="28"/>
  <c r="BL56" i="28" s="1"/>
  <c r="BG63" i="28"/>
  <c r="BK63" i="28" s="1"/>
  <c r="BH63" i="28"/>
  <c r="BL63" i="28" s="1"/>
  <c r="BG70" i="28"/>
  <c r="BK70" i="28" s="1"/>
  <c r="BH70" i="28"/>
  <c r="BL70" i="28" s="1"/>
  <c r="BG77" i="28"/>
  <c r="BK77" i="28" s="1"/>
  <c r="BH77" i="28"/>
  <c r="BL77" i="28" s="1"/>
  <c r="BH84" i="28"/>
  <c r="BL84" i="28" s="1"/>
  <c r="BG84" i="28"/>
  <c r="BK84" i="28" s="1"/>
  <c r="BG91" i="28"/>
  <c r="BK91" i="28" s="1"/>
  <c r="BH91" i="28"/>
  <c r="BL91" i="28" s="1"/>
  <c r="BG98" i="28"/>
  <c r="BK98" i="28" s="1"/>
  <c r="BH98" i="28"/>
  <c r="BL98" i="28" s="1"/>
  <c r="BG105" i="28"/>
  <c r="BK105" i="28" s="1"/>
  <c r="BH105" i="28"/>
  <c r="BL105" i="28" s="1"/>
  <c r="BH112" i="28"/>
  <c r="BL112" i="28" s="1"/>
  <c r="BG112" i="28"/>
  <c r="BK112" i="28" s="1"/>
  <c r="BG119" i="28"/>
  <c r="BK119" i="28" s="1"/>
  <c r="BH119" i="28"/>
  <c r="BL119" i="28" s="1"/>
  <c r="BH126" i="28"/>
  <c r="BL126" i="28" s="1"/>
  <c r="BG126" i="28"/>
  <c r="BK126" i="28" s="1"/>
  <c r="BH133" i="28"/>
  <c r="BL133" i="28" s="1"/>
  <c r="BG133" i="28"/>
  <c r="BK133" i="28" s="1"/>
  <c r="BG140" i="28"/>
  <c r="BK140" i="28" s="1"/>
  <c r="BH140" i="28"/>
  <c r="BL140" i="28" s="1"/>
  <c r="BG147" i="28"/>
  <c r="BK147" i="28" s="1"/>
  <c r="BH147" i="28"/>
  <c r="BL147" i="28" s="1"/>
  <c r="BG154" i="28"/>
  <c r="BK154" i="28" s="1"/>
  <c r="BH154" i="28"/>
  <c r="BL154" i="28" s="1"/>
  <c r="BG161" i="28"/>
  <c r="BK161" i="28" s="1"/>
  <c r="BH161" i="28"/>
  <c r="BL161" i="28" s="1"/>
  <c r="BG168" i="28"/>
  <c r="BK168" i="28" s="1"/>
  <c r="BH168" i="28"/>
  <c r="BL168" i="28" s="1"/>
  <c r="BG175" i="28"/>
  <c r="BK175" i="28" s="1"/>
  <c r="BH175" i="28"/>
  <c r="BL175" i="28" s="1"/>
  <c r="BH182" i="28"/>
  <c r="BL182" i="28" s="1"/>
  <c r="BG182" i="28"/>
  <c r="BK182" i="28" s="1"/>
  <c r="BG189" i="28"/>
  <c r="BK189" i="28" s="1"/>
  <c r="BH189" i="28"/>
  <c r="BL189" i="28" s="1"/>
  <c r="BH196" i="28"/>
  <c r="BL196" i="28" s="1"/>
  <c r="BG196" i="28"/>
  <c r="BK196" i="28" s="1"/>
  <c r="BG203" i="28"/>
  <c r="BK203" i="28" s="1"/>
  <c r="BH203" i="28"/>
  <c r="BL203" i="28" s="1"/>
  <c r="BG210" i="28"/>
  <c r="BK210" i="28" s="1"/>
  <c r="BH210" i="28"/>
  <c r="BL210" i="28" s="1"/>
  <c r="BG217" i="28"/>
  <c r="BK217" i="28" s="1"/>
  <c r="BH217" i="28"/>
  <c r="BL217" i="28" s="1"/>
  <c r="BG224" i="28"/>
  <c r="BK224" i="28" s="1"/>
  <c r="BH224" i="28"/>
  <c r="BL224" i="28" s="1"/>
  <c r="BG231" i="28"/>
  <c r="BK231" i="28" s="1"/>
  <c r="BH231" i="28"/>
  <c r="BL231" i="28" s="1"/>
  <c r="BG238" i="28"/>
  <c r="BK238" i="28" s="1"/>
  <c r="BH238" i="28"/>
  <c r="BL238" i="28" s="1"/>
  <c r="BG245" i="28"/>
  <c r="BK245" i="28" s="1"/>
  <c r="BH245" i="28"/>
  <c r="BL245" i="28" s="1"/>
  <c r="BG252" i="28"/>
  <c r="BK252" i="28" s="1"/>
  <c r="BH252" i="28"/>
  <c r="BL252" i="28" s="1"/>
  <c r="BG259" i="28"/>
  <c r="BK259" i="28" s="1"/>
  <c r="BH259" i="28"/>
  <c r="BL259" i="28" s="1"/>
  <c r="BG266" i="28"/>
  <c r="BK266" i="28" s="1"/>
  <c r="BH266" i="28"/>
  <c r="BL266" i="28" s="1"/>
  <c r="BG273" i="28"/>
  <c r="BK273" i="28" s="1"/>
  <c r="BH273" i="28"/>
  <c r="BL273" i="28" s="1"/>
  <c r="BG280" i="28"/>
  <c r="BK280" i="28" s="1"/>
  <c r="BH280" i="28"/>
  <c r="BL280" i="28" s="1"/>
  <c r="BG287" i="28"/>
  <c r="BK287" i="28" s="1"/>
  <c r="BH287" i="28"/>
  <c r="BL287" i="28" s="1"/>
  <c r="BG294" i="28"/>
  <c r="BK294" i="28" s="1"/>
  <c r="BH294" i="28"/>
  <c r="BL294" i="28" s="1"/>
  <c r="BG301" i="28"/>
  <c r="BK301" i="28" s="1"/>
  <c r="BH301" i="28"/>
  <c r="BL301" i="28" s="1"/>
  <c r="BH308" i="28"/>
  <c r="BL308" i="28" s="1"/>
  <c r="BG308" i="28"/>
  <c r="BK308" i="28" s="1"/>
  <c r="BG315" i="28"/>
  <c r="BK315" i="28" s="1"/>
  <c r="BH315" i="28"/>
  <c r="BL315" i="28" s="1"/>
  <c r="BG322" i="28"/>
  <c r="BK322" i="28" s="1"/>
  <c r="BH322" i="28"/>
  <c r="BL322" i="28" s="1"/>
  <c r="BG329" i="28"/>
  <c r="BK329" i="28" s="1"/>
  <c r="BH329" i="28"/>
  <c r="BL329" i="28" s="1"/>
  <c r="BG336" i="28"/>
  <c r="BK336" i="28" s="1"/>
  <c r="BH336" i="28"/>
  <c r="BL336" i="28" s="1"/>
  <c r="BG343" i="28"/>
  <c r="BK343" i="28" s="1"/>
  <c r="BH343" i="28"/>
  <c r="BL343" i="28" s="1"/>
  <c r="BG350" i="28"/>
  <c r="BK350" i="28" s="1"/>
  <c r="BH350" i="28"/>
  <c r="BL350" i="28" s="1"/>
  <c r="BG357" i="28"/>
  <c r="BK357" i="28" s="1"/>
  <c r="BH357" i="28"/>
  <c r="BL357" i="28" s="1"/>
  <c r="BG364" i="28"/>
  <c r="BK364" i="28" s="1"/>
  <c r="BH364" i="28"/>
  <c r="BL364" i="28" s="1"/>
  <c r="BG371" i="28"/>
  <c r="BK371" i="28" s="1"/>
  <c r="BH371" i="28"/>
  <c r="BL371" i="28" s="1"/>
  <c r="BG378" i="28"/>
  <c r="BK378" i="28" s="1"/>
  <c r="BH378" i="28"/>
  <c r="BL378" i="28" s="1"/>
  <c r="BG385" i="28"/>
  <c r="BK385" i="28" s="1"/>
  <c r="BH385" i="28"/>
  <c r="BL385" i="28" s="1"/>
  <c r="BG392" i="28"/>
  <c r="BK392" i="28" s="1"/>
  <c r="BH392" i="28"/>
  <c r="BL392" i="28" s="1"/>
  <c r="BG399" i="28"/>
  <c r="BK399" i="28" s="1"/>
  <c r="BH399" i="28"/>
  <c r="BL399" i="28" s="1"/>
  <c r="BG406" i="28"/>
  <c r="BK406" i="28" s="1"/>
  <c r="BH406" i="28"/>
  <c r="BL406" i="28" s="1"/>
  <c r="BG413" i="28"/>
  <c r="BK413" i="28" s="1"/>
  <c r="BH413" i="28"/>
  <c r="BL413" i="28" s="1"/>
  <c r="BG420" i="28"/>
  <c r="BK420" i="28" s="1"/>
  <c r="BH420" i="28"/>
  <c r="BL420" i="28" s="1"/>
  <c r="BG427" i="28"/>
  <c r="BK427" i="28" s="1"/>
  <c r="BH427" i="28"/>
  <c r="BL427" i="28" s="1"/>
  <c r="BG434" i="28"/>
  <c r="BK434" i="28" s="1"/>
  <c r="BH434" i="28"/>
  <c r="BL434" i="28" s="1"/>
  <c r="BG441" i="28"/>
  <c r="BK441" i="28" s="1"/>
  <c r="BH441" i="28"/>
  <c r="BL441" i="28" s="1"/>
  <c r="BH448" i="28"/>
  <c r="BL448" i="28" s="1"/>
  <c r="BG448" i="28"/>
  <c r="BK448" i="28" s="1"/>
  <c r="BG455" i="28"/>
  <c r="BK455" i="28" s="1"/>
  <c r="BH455" i="28"/>
  <c r="BL455" i="28" s="1"/>
  <c r="BH462" i="28"/>
  <c r="BL462" i="28" s="1"/>
  <c r="BG462" i="28"/>
  <c r="BK462" i="28" s="1"/>
  <c r="BG469" i="28"/>
  <c r="BK469" i="28" s="1"/>
  <c r="BH469" i="28"/>
  <c r="BL469" i="28" s="1"/>
  <c r="BH476" i="28"/>
  <c r="BL476" i="28" s="1"/>
  <c r="BG476" i="28"/>
  <c r="BK476" i="28" s="1"/>
  <c r="BG483" i="28"/>
  <c r="BK483" i="28" s="1"/>
  <c r="BH483" i="28"/>
  <c r="BL483" i="28" s="1"/>
  <c r="BH490" i="28"/>
  <c r="BL490" i="28" s="1"/>
  <c r="BG490" i="28"/>
  <c r="BK490" i="28" s="1"/>
  <c r="BG497" i="28"/>
  <c r="BK497" i="28" s="1"/>
  <c r="BH497" i="28"/>
  <c r="BL497" i="28" s="1"/>
  <c r="BH504" i="28"/>
  <c r="BL504" i="28" s="1"/>
  <c r="BG504" i="28"/>
  <c r="BK504" i="28" s="1"/>
  <c r="BG229" i="28"/>
  <c r="BK229" i="28" s="1"/>
  <c r="BH229" i="28"/>
  <c r="BL229" i="28" s="1"/>
  <c r="BG257" i="28"/>
  <c r="BK257" i="28" s="1"/>
  <c r="BH257" i="28"/>
  <c r="BL257" i="28" s="1"/>
  <c r="BG47" i="28"/>
  <c r="BK47" i="28" s="1"/>
  <c r="BH47" i="28"/>
  <c r="BL47" i="28" s="1"/>
  <c r="BH166" i="28"/>
  <c r="BL166" i="28" s="1"/>
  <c r="BG166" i="28"/>
  <c r="BK166" i="28" s="1"/>
  <c r="BG173" i="28"/>
  <c r="BK173" i="28" s="1"/>
  <c r="BH173" i="28"/>
  <c r="BL173" i="28" s="1"/>
  <c r="BH180" i="28"/>
  <c r="BL180" i="28" s="1"/>
  <c r="BG180" i="28"/>
  <c r="BK180" i="28" s="1"/>
  <c r="BG32" i="28"/>
  <c r="BK32" i="28" s="1"/>
  <c r="BH32" i="28"/>
  <c r="BL32" i="28" s="1"/>
  <c r="BG39" i="28"/>
  <c r="BK39" i="28" s="1"/>
  <c r="BH39" i="28"/>
  <c r="BL39" i="28" s="1"/>
  <c r="BG46" i="28"/>
  <c r="BK46" i="28" s="1"/>
  <c r="BH46" i="28"/>
  <c r="BL46" i="28" s="1"/>
  <c r="BH53" i="28"/>
  <c r="BL53" i="28" s="1"/>
  <c r="BG53" i="28"/>
  <c r="BK53" i="28" s="1"/>
  <c r="BH60" i="28"/>
  <c r="BL60" i="28" s="1"/>
  <c r="BG60" i="28"/>
  <c r="BK60" i="28" s="1"/>
  <c r="BH67" i="28"/>
  <c r="BL67" i="28" s="1"/>
  <c r="BG67" i="28"/>
  <c r="BK67" i="28" s="1"/>
  <c r="BG74" i="28"/>
  <c r="BK74" i="28" s="1"/>
  <c r="BH74" i="28"/>
  <c r="BL74" i="28" s="1"/>
  <c r="BH81" i="28"/>
  <c r="BL81" i="28" s="1"/>
  <c r="BG81" i="28"/>
  <c r="BK81" i="28" s="1"/>
  <c r="BG88" i="28"/>
  <c r="BK88" i="28" s="1"/>
  <c r="BH88" i="28"/>
  <c r="BL88" i="28" s="1"/>
  <c r="BH95" i="28"/>
  <c r="BL95" i="28" s="1"/>
  <c r="BG95" i="28"/>
  <c r="BK95" i="28" s="1"/>
  <c r="BG102" i="28"/>
  <c r="BK102" i="28" s="1"/>
  <c r="BH102" i="28"/>
  <c r="BL102" i="28" s="1"/>
  <c r="BH109" i="28"/>
  <c r="BL109" i="28" s="1"/>
  <c r="BG109" i="28"/>
  <c r="BK109" i="28" s="1"/>
  <c r="BH116" i="28"/>
  <c r="BL116" i="28" s="1"/>
  <c r="BG116" i="28"/>
  <c r="BK116" i="28" s="1"/>
  <c r="BG123" i="28"/>
  <c r="BK123" i="28" s="1"/>
  <c r="BH123" i="28"/>
  <c r="BL123" i="28" s="1"/>
  <c r="BH130" i="28"/>
  <c r="BL130" i="28" s="1"/>
  <c r="BG130" i="28"/>
  <c r="BK130" i="28" s="1"/>
  <c r="BH137" i="28"/>
  <c r="BL137" i="28" s="1"/>
  <c r="BG137" i="28"/>
  <c r="BK137" i="28" s="1"/>
  <c r="BG144" i="28"/>
  <c r="BK144" i="28" s="1"/>
  <c r="BH144" i="28"/>
  <c r="BL144" i="28" s="1"/>
  <c r="BH151" i="28"/>
  <c r="BL151" i="28" s="1"/>
  <c r="BG151" i="28"/>
  <c r="BK151" i="28" s="1"/>
  <c r="BH158" i="28"/>
  <c r="BL158" i="28" s="1"/>
  <c r="BG158" i="28"/>
  <c r="BK158" i="28" s="1"/>
  <c r="BH165" i="28"/>
  <c r="BL165" i="28" s="1"/>
  <c r="BG165" i="28"/>
  <c r="BK165" i="28" s="1"/>
  <c r="BG172" i="28"/>
  <c r="BK172" i="28" s="1"/>
  <c r="BH172" i="28"/>
  <c r="BL172" i="28" s="1"/>
  <c r="BH179" i="28"/>
  <c r="BL179" i="28" s="1"/>
  <c r="BG179" i="28"/>
  <c r="BK179" i="28" s="1"/>
  <c r="BG186" i="28"/>
  <c r="BK186" i="28" s="1"/>
  <c r="BH186" i="28"/>
  <c r="BL186" i="28" s="1"/>
  <c r="BG193" i="28"/>
  <c r="BK193" i="28" s="1"/>
  <c r="BH193" i="28"/>
  <c r="BL193" i="28" s="1"/>
  <c r="BH200" i="28"/>
  <c r="BL200" i="28" s="1"/>
  <c r="BG200" i="28"/>
  <c r="BK200" i="28" s="1"/>
  <c r="BH207" i="28"/>
  <c r="BL207" i="28" s="1"/>
  <c r="BG207" i="28"/>
  <c r="BK207" i="28" s="1"/>
  <c r="BG214" i="28"/>
  <c r="BK214" i="28" s="1"/>
  <c r="BH214" i="28"/>
  <c r="BL214" i="28" s="1"/>
  <c r="BH221" i="28"/>
  <c r="BL221" i="28" s="1"/>
  <c r="BG221" i="28"/>
  <c r="BK221" i="28" s="1"/>
  <c r="BG228" i="28"/>
  <c r="BK228" i="28" s="1"/>
  <c r="BH228" i="28"/>
  <c r="BL228" i="28" s="1"/>
  <c r="BH235" i="28"/>
  <c r="BL235" i="28" s="1"/>
  <c r="BG235" i="28"/>
  <c r="BK235" i="28" s="1"/>
  <c r="BG242" i="28"/>
  <c r="BK242" i="28" s="1"/>
  <c r="BH242" i="28"/>
  <c r="BL242" i="28" s="1"/>
  <c r="BH249" i="28"/>
  <c r="BL249" i="28" s="1"/>
  <c r="BG249" i="28"/>
  <c r="BK249" i="28" s="1"/>
  <c r="BH256" i="28"/>
  <c r="BL256" i="28" s="1"/>
  <c r="BG256" i="28"/>
  <c r="BK256" i="28" s="1"/>
  <c r="BG263" i="28"/>
  <c r="BK263" i="28" s="1"/>
  <c r="BH263" i="28"/>
  <c r="BL263" i="28" s="1"/>
  <c r="BG270" i="28"/>
  <c r="BK270" i="28" s="1"/>
  <c r="BH270" i="28"/>
  <c r="BL270" i="28" s="1"/>
  <c r="BH277" i="28"/>
  <c r="BL277" i="28" s="1"/>
  <c r="BG277" i="28"/>
  <c r="BK277" i="28" s="1"/>
  <c r="BG284" i="28"/>
  <c r="BK284" i="28" s="1"/>
  <c r="BH284" i="28"/>
  <c r="BL284" i="28" s="1"/>
  <c r="BH291" i="28"/>
  <c r="BL291" i="28" s="1"/>
  <c r="BG291" i="28"/>
  <c r="BK291" i="28" s="1"/>
  <c r="BG298" i="28"/>
  <c r="BK298" i="28" s="1"/>
  <c r="BH298" i="28"/>
  <c r="BL298" i="28" s="1"/>
  <c r="BG305" i="28"/>
  <c r="BK305" i="28" s="1"/>
  <c r="BH305" i="28"/>
  <c r="BL305" i="28" s="1"/>
  <c r="BG312" i="28"/>
  <c r="BK312" i="28" s="1"/>
  <c r="BH312" i="28"/>
  <c r="BL312" i="28" s="1"/>
  <c r="BH319" i="28"/>
  <c r="BL319" i="28" s="1"/>
  <c r="BG319" i="28"/>
  <c r="BK319" i="28" s="1"/>
  <c r="BG326" i="28"/>
  <c r="BK326" i="28" s="1"/>
  <c r="BH326" i="28"/>
  <c r="BL326" i="28" s="1"/>
  <c r="BH333" i="28"/>
  <c r="BL333" i="28" s="1"/>
  <c r="BG333" i="28"/>
  <c r="BK333" i="28" s="1"/>
  <c r="BG340" i="28"/>
  <c r="BK340" i="28" s="1"/>
  <c r="BH340" i="28"/>
  <c r="BL340" i="28" s="1"/>
  <c r="BH347" i="28"/>
  <c r="BL347" i="28" s="1"/>
  <c r="BG347" i="28"/>
  <c r="BK347" i="28" s="1"/>
  <c r="BG354" i="28"/>
  <c r="BK354" i="28" s="1"/>
  <c r="BH354" i="28"/>
  <c r="BL354" i="28" s="1"/>
  <c r="BH361" i="28"/>
  <c r="BL361" i="28" s="1"/>
  <c r="BG361" i="28"/>
  <c r="BK361" i="28" s="1"/>
  <c r="BG368" i="28"/>
  <c r="BK368" i="28" s="1"/>
  <c r="BH368" i="28"/>
  <c r="BL368" i="28" s="1"/>
  <c r="BH375" i="28"/>
  <c r="BL375" i="28" s="1"/>
  <c r="BG375" i="28"/>
  <c r="BK375" i="28" s="1"/>
  <c r="BG382" i="28"/>
  <c r="BK382" i="28" s="1"/>
  <c r="BH382" i="28"/>
  <c r="BL382" i="28" s="1"/>
  <c r="BH389" i="28"/>
  <c r="BL389" i="28" s="1"/>
  <c r="BG389" i="28"/>
  <c r="BK389" i="28" s="1"/>
  <c r="BG396" i="28"/>
  <c r="BK396" i="28" s="1"/>
  <c r="BH396" i="28"/>
  <c r="BL396" i="28" s="1"/>
  <c r="BH403" i="28"/>
  <c r="BL403" i="28" s="1"/>
  <c r="BG403" i="28"/>
  <c r="BK403" i="28" s="1"/>
  <c r="BG410" i="28"/>
  <c r="BK410" i="28" s="1"/>
  <c r="BH410" i="28"/>
  <c r="BL410" i="28" s="1"/>
  <c r="BG417" i="28"/>
  <c r="BK417" i="28" s="1"/>
  <c r="BH417" i="28"/>
  <c r="BL417" i="28" s="1"/>
  <c r="BG424" i="28"/>
  <c r="BK424" i="28" s="1"/>
  <c r="BH424" i="28"/>
  <c r="BL424" i="28" s="1"/>
  <c r="BH431" i="28"/>
  <c r="BL431" i="28" s="1"/>
  <c r="BG431" i="28"/>
  <c r="BK431" i="28" s="1"/>
  <c r="BG438" i="28"/>
  <c r="BK438" i="28" s="1"/>
  <c r="BH438" i="28"/>
  <c r="BL438" i="28" s="1"/>
  <c r="BH445" i="28"/>
  <c r="BL445" i="28" s="1"/>
  <c r="BG445" i="28"/>
  <c r="BK445" i="28" s="1"/>
  <c r="BG452" i="28"/>
  <c r="BK452" i="28" s="1"/>
  <c r="BH452" i="28"/>
  <c r="BL452" i="28" s="1"/>
  <c r="BG459" i="28"/>
  <c r="BK459" i="28" s="1"/>
  <c r="BH459" i="28"/>
  <c r="BL459" i="28" s="1"/>
  <c r="BG466" i="28"/>
  <c r="BK466" i="28" s="1"/>
  <c r="BH466" i="28"/>
  <c r="BL466" i="28" s="1"/>
  <c r="BH473" i="28"/>
  <c r="BL473" i="28" s="1"/>
  <c r="BG473" i="28"/>
  <c r="BK473" i="28" s="1"/>
  <c r="BG480" i="28"/>
  <c r="BK480" i="28" s="1"/>
  <c r="BH480" i="28"/>
  <c r="BL480" i="28" s="1"/>
  <c r="BH487" i="28"/>
  <c r="BL487" i="28" s="1"/>
  <c r="BG487" i="28"/>
  <c r="BK487" i="28" s="1"/>
  <c r="BG494" i="28"/>
  <c r="BK494" i="28" s="1"/>
  <c r="BH494" i="28"/>
  <c r="BL494" i="28" s="1"/>
  <c r="BG501" i="28"/>
  <c r="BK501" i="28" s="1"/>
  <c r="BH501" i="28"/>
  <c r="BL501" i="28" s="1"/>
  <c r="BH38" i="28"/>
  <c r="BL38" i="28" s="1"/>
  <c r="BG38" i="28"/>
  <c r="BK38" i="28" s="1"/>
  <c r="L176" i="58"/>
  <c r="BF176" i="28"/>
  <c r="BJ176" i="28" s="1"/>
  <c r="L183" i="58"/>
  <c r="BF183" i="28"/>
  <c r="BJ183" i="28" s="1"/>
  <c r="L190" i="58"/>
  <c r="BF190" i="28"/>
  <c r="BJ190" i="28" s="1"/>
  <c r="L197" i="58"/>
  <c r="BF197" i="28"/>
  <c r="BJ197" i="28" s="1"/>
  <c r="L204" i="58"/>
  <c r="BF204" i="28"/>
  <c r="BJ204" i="28" s="1"/>
  <c r="L211" i="58"/>
  <c r="BF211" i="28"/>
  <c r="BJ211" i="28" s="1"/>
  <c r="L218" i="58"/>
  <c r="BF218" i="28"/>
  <c r="BJ218" i="28" s="1"/>
  <c r="L225" i="58"/>
  <c r="BF225" i="28"/>
  <c r="BJ225" i="28" s="1"/>
  <c r="L232" i="58"/>
  <c r="BF232" i="28"/>
  <c r="BJ232" i="28" s="1"/>
  <c r="L239" i="58"/>
  <c r="BF239" i="28"/>
  <c r="BJ239" i="28" s="1"/>
  <c r="L246" i="58"/>
  <c r="BF246" i="28"/>
  <c r="BJ246" i="28" s="1"/>
  <c r="L253" i="58"/>
  <c r="BF253" i="28"/>
  <c r="BJ253" i="28" s="1"/>
  <c r="L260" i="58"/>
  <c r="BF260" i="28"/>
  <c r="BJ260" i="28" s="1"/>
  <c r="L267" i="58"/>
  <c r="BF267" i="28"/>
  <c r="BJ267" i="28" s="1"/>
  <c r="L274" i="58"/>
  <c r="BF274" i="28"/>
  <c r="BJ274" i="28" s="1"/>
  <c r="L281" i="58"/>
  <c r="BF281" i="28"/>
  <c r="BJ281" i="28" s="1"/>
  <c r="L288" i="58"/>
  <c r="BF288" i="28"/>
  <c r="BJ288" i="28" s="1"/>
  <c r="L295" i="58"/>
  <c r="BF295" i="28"/>
  <c r="BJ295" i="28" s="1"/>
  <c r="L302" i="58"/>
  <c r="BF302" i="28"/>
  <c r="BJ302" i="28" s="1"/>
  <c r="L309" i="58"/>
  <c r="BF309" i="28"/>
  <c r="BJ309" i="28" s="1"/>
  <c r="L316" i="58"/>
  <c r="BF316" i="28"/>
  <c r="BJ316" i="28" s="1"/>
  <c r="L323" i="58"/>
  <c r="BF323" i="28"/>
  <c r="BJ323" i="28" s="1"/>
  <c r="L330" i="58"/>
  <c r="BF330" i="28"/>
  <c r="BJ330" i="28" s="1"/>
  <c r="L337" i="58"/>
  <c r="BF337" i="28"/>
  <c r="BJ337" i="28" s="1"/>
  <c r="L344" i="58"/>
  <c r="BF344" i="28"/>
  <c r="BJ344" i="28" s="1"/>
  <c r="L351" i="58"/>
  <c r="BF351" i="28"/>
  <c r="BJ351" i="28" s="1"/>
  <c r="L358" i="58"/>
  <c r="BF358" i="28"/>
  <c r="BJ358" i="28" s="1"/>
  <c r="L365" i="58"/>
  <c r="BF365" i="28"/>
  <c r="BJ365" i="28" s="1"/>
  <c r="L372" i="58"/>
  <c r="BF372" i="28"/>
  <c r="BJ372" i="28" s="1"/>
  <c r="L379" i="58"/>
  <c r="BF379" i="28"/>
  <c r="BJ379" i="28" s="1"/>
  <c r="L386" i="58"/>
  <c r="BF386" i="28"/>
  <c r="BJ386" i="28" s="1"/>
  <c r="L393" i="58"/>
  <c r="BF393" i="28"/>
  <c r="BJ393" i="28" s="1"/>
  <c r="L400" i="58"/>
  <c r="BF400" i="28"/>
  <c r="BJ400" i="28" s="1"/>
  <c r="L407" i="58"/>
  <c r="BF407" i="28"/>
  <c r="BJ407" i="28" s="1"/>
  <c r="L414" i="58"/>
  <c r="BF414" i="28"/>
  <c r="BJ414" i="28" s="1"/>
  <c r="L421" i="58"/>
  <c r="BF421" i="28"/>
  <c r="BJ421" i="28" s="1"/>
  <c r="L428" i="58"/>
  <c r="BF428" i="28"/>
  <c r="BJ428" i="28" s="1"/>
  <c r="L435" i="58"/>
  <c r="BF435" i="28"/>
  <c r="BJ435" i="28" s="1"/>
  <c r="L442" i="58"/>
  <c r="BF442" i="28"/>
  <c r="BJ442" i="28" s="1"/>
  <c r="L449" i="58"/>
  <c r="BF449" i="28"/>
  <c r="BJ449" i="28" s="1"/>
  <c r="L456" i="58"/>
  <c r="BF456" i="28"/>
  <c r="BJ456" i="28" s="1"/>
  <c r="L463" i="58"/>
  <c r="BF463" i="28"/>
  <c r="BJ463" i="28" s="1"/>
  <c r="L470" i="58"/>
  <c r="BF470" i="28"/>
  <c r="BJ470" i="28" s="1"/>
  <c r="L477" i="58"/>
  <c r="BF477" i="28"/>
  <c r="BJ477" i="28" s="1"/>
  <c r="L484" i="58"/>
  <c r="BF484" i="28"/>
  <c r="BJ484" i="28" s="1"/>
  <c r="L491" i="58"/>
  <c r="BF491" i="28"/>
  <c r="BJ491" i="28" s="1"/>
  <c r="L498" i="58"/>
  <c r="BF498" i="28"/>
  <c r="BJ498" i="28" s="1"/>
  <c r="L505" i="58"/>
  <c r="BF505" i="28"/>
  <c r="BJ505" i="28" s="1"/>
  <c r="L50" i="58"/>
  <c r="BF50" i="28"/>
  <c r="BJ50" i="28" s="1"/>
  <c r="L57" i="58"/>
  <c r="BF57" i="28"/>
  <c r="BJ57" i="28" s="1"/>
  <c r="L64" i="58"/>
  <c r="BF64" i="28"/>
  <c r="BJ64" i="28" s="1"/>
  <c r="L71" i="58"/>
  <c r="BF71" i="28"/>
  <c r="BJ71" i="28" s="1"/>
  <c r="L78" i="58"/>
  <c r="BF78" i="28"/>
  <c r="BJ78" i="28" s="1"/>
  <c r="L85" i="58"/>
  <c r="BF85" i="28"/>
  <c r="BJ85" i="28" s="1"/>
  <c r="L92" i="58"/>
  <c r="BF92" i="28"/>
  <c r="BJ92" i="28" s="1"/>
  <c r="L99" i="58"/>
  <c r="BF99" i="28"/>
  <c r="BJ99" i="28" s="1"/>
  <c r="L106" i="58"/>
  <c r="BF106" i="28"/>
  <c r="BJ106" i="28" s="1"/>
  <c r="L113" i="58"/>
  <c r="BF113" i="28"/>
  <c r="BJ113" i="28" s="1"/>
  <c r="L120" i="58"/>
  <c r="BF120" i="28"/>
  <c r="BJ120" i="28" s="1"/>
  <c r="L127" i="58"/>
  <c r="BF127" i="28"/>
  <c r="BJ127" i="28" s="1"/>
  <c r="L134" i="58"/>
  <c r="BF134" i="28"/>
  <c r="BJ134" i="28" s="1"/>
  <c r="L141" i="58"/>
  <c r="BF141" i="28"/>
  <c r="BJ141" i="28" s="1"/>
  <c r="L148" i="58"/>
  <c r="BF148" i="28"/>
  <c r="BJ148" i="28" s="1"/>
  <c r="L155" i="58"/>
  <c r="BF155" i="28"/>
  <c r="BJ155" i="28" s="1"/>
  <c r="L162" i="58"/>
  <c r="BF162" i="28"/>
  <c r="BJ162" i="28" s="1"/>
  <c r="L169" i="58"/>
  <c r="BF169" i="28"/>
  <c r="BJ169" i="28" s="1"/>
  <c r="L117" i="58"/>
  <c r="BF117" i="28"/>
  <c r="BJ117" i="28" s="1"/>
  <c r="L124" i="58"/>
  <c r="BF124" i="28"/>
  <c r="BJ124" i="28" s="1"/>
  <c r="L131" i="58"/>
  <c r="BF131" i="28"/>
  <c r="BJ131" i="28" s="1"/>
  <c r="L187" i="58"/>
  <c r="BF187" i="28"/>
  <c r="BJ187" i="28" s="1"/>
  <c r="L306" i="58"/>
  <c r="BF306" i="28"/>
  <c r="BJ306" i="28" s="1"/>
  <c r="L313" i="58"/>
  <c r="BF313" i="28"/>
  <c r="BJ313" i="28" s="1"/>
  <c r="L369" i="58"/>
  <c r="BF369" i="28"/>
  <c r="BJ369" i="28" s="1"/>
  <c r="L425" i="58"/>
  <c r="BF425" i="28"/>
  <c r="BJ425" i="28" s="1"/>
  <c r="L432" i="58"/>
  <c r="BF432" i="28"/>
  <c r="BJ432" i="28" s="1"/>
  <c r="L481" i="58"/>
  <c r="BF481" i="28"/>
  <c r="BJ481" i="28" s="1"/>
  <c r="L495" i="58"/>
  <c r="BF495" i="28"/>
  <c r="BJ495" i="28" s="1"/>
  <c r="L37" i="58"/>
  <c r="BF37" i="28"/>
  <c r="BJ37" i="28" s="1"/>
  <c r="L44" i="58"/>
  <c r="BF44" i="28"/>
  <c r="BJ44" i="28" s="1"/>
  <c r="L51" i="58"/>
  <c r="BF51" i="28"/>
  <c r="BJ51" i="28" s="1"/>
  <c r="L58" i="58"/>
  <c r="BF58" i="28"/>
  <c r="BJ58" i="28" s="1"/>
  <c r="L65" i="58"/>
  <c r="BF65" i="28"/>
  <c r="BJ65" i="28" s="1"/>
  <c r="L72" i="58"/>
  <c r="BF72" i="28"/>
  <c r="BJ72" i="28" s="1"/>
  <c r="L79" i="58"/>
  <c r="BF79" i="28"/>
  <c r="BJ79" i="28" s="1"/>
  <c r="L86" i="58"/>
  <c r="BF86" i="28"/>
  <c r="BJ86" i="28" s="1"/>
  <c r="L93" i="58"/>
  <c r="BF93" i="28"/>
  <c r="BJ93" i="28" s="1"/>
  <c r="L100" i="58"/>
  <c r="BF100" i="28"/>
  <c r="BJ100" i="28" s="1"/>
  <c r="L107" i="58"/>
  <c r="BF107" i="28"/>
  <c r="BJ107" i="28" s="1"/>
  <c r="L114" i="58"/>
  <c r="BF114" i="28"/>
  <c r="BJ114" i="28" s="1"/>
  <c r="L121" i="58"/>
  <c r="BF121" i="28"/>
  <c r="BJ121" i="28" s="1"/>
  <c r="L128" i="58"/>
  <c r="BF128" i="28"/>
  <c r="BJ128" i="28" s="1"/>
  <c r="L135" i="58"/>
  <c r="BF135" i="28"/>
  <c r="BJ135" i="28" s="1"/>
  <c r="L142" i="58"/>
  <c r="BF142" i="28"/>
  <c r="BJ142" i="28" s="1"/>
  <c r="L149" i="58"/>
  <c r="BF149" i="28"/>
  <c r="BJ149" i="28" s="1"/>
  <c r="L156" i="58"/>
  <c r="BF156" i="28"/>
  <c r="BJ156" i="28" s="1"/>
  <c r="L163" i="58"/>
  <c r="BF163" i="28"/>
  <c r="BJ163" i="28" s="1"/>
  <c r="L170" i="58"/>
  <c r="BF170" i="28"/>
  <c r="BJ170" i="28" s="1"/>
  <c r="L177" i="58"/>
  <c r="BF177" i="28"/>
  <c r="BJ177" i="28" s="1"/>
  <c r="L184" i="58"/>
  <c r="BF184" i="28"/>
  <c r="BJ184" i="28" s="1"/>
  <c r="L191" i="58"/>
  <c r="BF191" i="28"/>
  <c r="BJ191" i="28" s="1"/>
  <c r="L198" i="58"/>
  <c r="BF198" i="28"/>
  <c r="BJ198" i="28" s="1"/>
  <c r="L205" i="58"/>
  <c r="BF205" i="28"/>
  <c r="BJ205" i="28" s="1"/>
  <c r="L212" i="58"/>
  <c r="BF212" i="28"/>
  <c r="BJ212" i="28" s="1"/>
  <c r="L219" i="58"/>
  <c r="BF219" i="28"/>
  <c r="BJ219" i="28" s="1"/>
  <c r="L226" i="58"/>
  <c r="BF226" i="28"/>
  <c r="BJ226" i="28" s="1"/>
  <c r="L233" i="58"/>
  <c r="BF233" i="28"/>
  <c r="BJ233" i="28" s="1"/>
  <c r="L240" i="58"/>
  <c r="BF240" i="28"/>
  <c r="BJ240" i="28" s="1"/>
  <c r="L247" i="58"/>
  <c r="BF247" i="28"/>
  <c r="BJ247" i="28" s="1"/>
  <c r="L254" i="58"/>
  <c r="BF254" i="28"/>
  <c r="BJ254" i="28" s="1"/>
  <c r="L261" i="58"/>
  <c r="BF261" i="28"/>
  <c r="BJ261" i="28" s="1"/>
  <c r="L268" i="58"/>
  <c r="BF268" i="28"/>
  <c r="BJ268" i="28" s="1"/>
  <c r="L275" i="58"/>
  <c r="BF275" i="28"/>
  <c r="BJ275" i="28" s="1"/>
  <c r="L282" i="58"/>
  <c r="BF282" i="28"/>
  <c r="BJ282" i="28" s="1"/>
  <c r="L289" i="58"/>
  <c r="BF289" i="28"/>
  <c r="BJ289" i="28" s="1"/>
  <c r="L296" i="58"/>
  <c r="BF296" i="28"/>
  <c r="BJ296" i="28" s="1"/>
  <c r="L303" i="58"/>
  <c r="BF303" i="28"/>
  <c r="BJ303" i="28" s="1"/>
  <c r="L310" i="58"/>
  <c r="BF310" i="28"/>
  <c r="BJ310" i="28" s="1"/>
  <c r="L317" i="58"/>
  <c r="BF317" i="28"/>
  <c r="BJ317" i="28" s="1"/>
  <c r="L324" i="58"/>
  <c r="BF324" i="28"/>
  <c r="BJ324" i="28" s="1"/>
  <c r="L331" i="58"/>
  <c r="BF331" i="28"/>
  <c r="BJ331" i="28" s="1"/>
  <c r="L338" i="58"/>
  <c r="BF338" i="28"/>
  <c r="BJ338" i="28" s="1"/>
  <c r="L345" i="58"/>
  <c r="BF345" i="28"/>
  <c r="BJ345" i="28" s="1"/>
  <c r="L352" i="58"/>
  <c r="BF352" i="28"/>
  <c r="BJ352" i="28" s="1"/>
  <c r="L359" i="58"/>
  <c r="BF359" i="28"/>
  <c r="BJ359" i="28" s="1"/>
  <c r="L366" i="58"/>
  <c r="BF366" i="28"/>
  <c r="BJ366" i="28" s="1"/>
  <c r="L373" i="58"/>
  <c r="BF373" i="28"/>
  <c r="BJ373" i="28" s="1"/>
  <c r="L380" i="58"/>
  <c r="BF380" i="28"/>
  <c r="BJ380" i="28" s="1"/>
  <c r="L387" i="58"/>
  <c r="BF387" i="28"/>
  <c r="BJ387" i="28" s="1"/>
  <c r="L394" i="58"/>
  <c r="BF394" i="28"/>
  <c r="BJ394" i="28" s="1"/>
  <c r="L401" i="58"/>
  <c r="BF401" i="28"/>
  <c r="BJ401" i="28" s="1"/>
  <c r="L408" i="58"/>
  <c r="BF408" i="28"/>
  <c r="BJ408" i="28" s="1"/>
  <c r="L415" i="58"/>
  <c r="BF415" i="28"/>
  <c r="BJ415" i="28" s="1"/>
  <c r="L422" i="58"/>
  <c r="BF422" i="28"/>
  <c r="BJ422" i="28" s="1"/>
  <c r="L429" i="58"/>
  <c r="BF429" i="28"/>
  <c r="BJ429" i="28" s="1"/>
  <c r="L436" i="58"/>
  <c r="BF436" i="28"/>
  <c r="BJ436" i="28" s="1"/>
  <c r="L443" i="58"/>
  <c r="BF443" i="28"/>
  <c r="BJ443" i="28" s="1"/>
  <c r="L450" i="58"/>
  <c r="BF450" i="28"/>
  <c r="BJ450" i="28" s="1"/>
  <c r="L457" i="58"/>
  <c r="BF457" i="28"/>
  <c r="BJ457" i="28" s="1"/>
  <c r="L464" i="58"/>
  <c r="BF464" i="28"/>
  <c r="BJ464" i="28" s="1"/>
  <c r="L471" i="58"/>
  <c r="BF471" i="28"/>
  <c r="BJ471" i="28" s="1"/>
  <c r="L478" i="58"/>
  <c r="BF478" i="28"/>
  <c r="BJ478" i="28" s="1"/>
  <c r="L485" i="58"/>
  <c r="BF485" i="28"/>
  <c r="BJ485" i="28" s="1"/>
  <c r="L492" i="58"/>
  <c r="BF492" i="28"/>
  <c r="BJ492" i="28" s="1"/>
  <c r="L499" i="58"/>
  <c r="BF499" i="28"/>
  <c r="BJ499" i="28" s="1"/>
  <c r="L506" i="58"/>
  <c r="BF506" i="28"/>
  <c r="BJ506" i="28" s="1"/>
  <c r="L61" i="58"/>
  <c r="BF61" i="28"/>
  <c r="BJ61" i="28" s="1"/>
  <c r="L68" i="58"/>
  <c r="BF68" i="28"/>
  <c r="BJ68" i="28" s="1"/>
  <c r="L96" i="58"/>
  <c r="BF96" i="28"/>
  <c r="BJ96" i="28" s="1"/>
  <c r="L103" i="58"/>
  <c r="BF103" i="28"/>
  <c r="BJ103" i="28" s="1"/>
  <c r="L173" i="58"/>
  <c r="BF173" i="28"/>
  <c r="BJ173" i="28" s="1"/>
  <c r="L243" i="58"/>
  <c r="BF243" i="28"/>
  <c r="BJ243" i="28" s="1"/>
  <c r="L250" i="58"/>
  <c r="BF250" i="28"/>
  <c r="BJ250" i="28" s="1"/>
  <c r="L299" i="58"/>
  <c r="BF299" i="28"/>
  <c r="BJ299" i="28" s="1"/>
  <c r="L327" i="58"/>
  <c r="BF327" i="28"/>
  <c r="BJ327" i="28" s="1"/>
  <c r="L355" i="58"/>
  <c r="BF355" i="28"/>
  <c r="BJ355" i="28" s="1"/>
  <c r="L460" i="58"/>
  <c r="BF460" i="28"/>
  <c r="BJ460" i="28" s="1"/>
  <c r="L48" i="58"/>
  <c r="BF48" i="28"/>
  <c r="BJ48" i="28" s="1"/>
  <c r="L97" i="58"/>
  <c r="BF97" i="28"/>
  <c r="BJ97" i="28" s="1"/>
  <c r="L111" i="58"/>
  <c r="BF111" i="28"/>
  <c r="BJ111" i="28" s="1"/>
  <c r="L118" i="58"/>
  <c r="BF118" i="28"/>
  <c r="BJ118" i="28" s="1"/>
  <c r="L160" i="58"/>
  <c r="BF160" i="28"/>
  <c r="BJ160" i="28" s="1"/>
  <c r="L188" i="58"/>
  <c r="BF188" i="28"/>
  <c r="BJ188" i="28" s="1"/>
  <c r="L209" i="58"/>
  <c r="BF209" i="28"/>
  <c r="BJ209" i="28" s="1"/>
  <c r="L258" i="58"/>
  <c r="BF258" i="28"/>
  <c r="BJ258" i="28" s="1"/>
  <c r="L272" i="58"/>
  <c r="BF272" i="28"/>
  <c r="BJ272" i="28" s="1"/>
  <c r="L300" i="58"/>
  <c r="BF300" i="28"/>
  <c r="BJ300" i="28" s="1"/>
  <c r="L321" i="58"/>
  <c r="BF321" i="28"/>
  <c r="BJ321" i="28" s="1"/>
  <c r="L349" i="58"/>
  <c r="BF349" i="28"/>
  <c r="BJ349" i="28" s="1"/>
  <c r="L370" i="58"/>
  <c r="BF370" i="28"/>
  <c r="BJ370" i="28" s="1"/>
  <c r="L433" i="58"/>
  <c r="BF433" i="28"/>
  <c r="BJ433" i="28" s="1"/>
  <c r="L461" i="58"/>
  <c r="BF461" i="28"/>
  <c r="BJ461" i="28" s="1"/>
  <c r="L482" i="58"/>
  <c r="BF482" i="28"/>
  <c r="BJ482" i="28" s="1"/>
  <c r="L496" i="58"/>
  <c r="BF496" i="28"/>
  <c r="BJ496" i="28" s="1"/>
  <c r="L36" i="58"/>
  <c r="BF36" i="28"/>
  <c r="BJ36" i="28" s="1"/>
  <c r="L33" i="58"/>
  <c r="BF33" i="28"/>
  <c r="BJ33" i="28" s="1"/>
  <c r="L89" i="58"/>
  <c r="BF89" i="28"/>
  <c r="BJ89" i="28" s="1"/>
  <c r="L145" i="58"/>
  <c r="BF145" i="28"/>
  <c r="BJ145" i="28" s="1"/>
  <c r="L152" i="58"/>
  <c r="BF152" i="28"/>
  <c r="BJ152" i="28" s="1"/>
  <c r="L159" i="58"/>
  <c r="BF159" i="28"/>
  <c r="BJ159" i="28" s="1"/>
  <c r="L215" i="58"/>
  <c r="BF215" i="28"/>
  <c r="BJ215" i="28" s="1"/>
  <c r="L271" i="58"/>
  <c r="BF271" i="28"/>
  <c r="BJ271" i="28" s="1"/>
  <c r="L278" i="58"/>
  <c r="BF278" i="28"/>
  <c r="BJ278" i="28" s="1"/>
  <c r="L334" i="58"/>
  <c r="BF334" i="28"/>
  <c r="BJ334" i="28" s="1"/>
  <c r="L341" i="58"/>
  <c r="BF341" i="28"/>
  <c r="BJ341" i="28" s="1"/>
  <c r="L397" i="58"/>
  <c r="BF397" i="28"/>
  <c r="BJ397" i="28" s="1"/>
  <c r="L453" i="58"/>
  <c r="BF453" i="28"/>
  <c r="BJ453" i="28" s="1"/>
  <c r="L488" i="58"/>
  <c r="BF488" i="28"/>
  <c r="BJ488" i="28" s="1"/>
  <c r="L69" i="58"/>
  <c r="BF69" i="28"/>
  <c r="BJ69" i="28" s="1"/>
  <c r="L76" i="58"/>
  <c r="BF76" i="28"/>
  <c r="BJ76" i="28" s="1"/>
  <c r="L125" i="58"/>
  <c r="BF125" i="28"/>
  <c r="BJ125" i="28" s="1"/>
  <c r="L132" i="58"/>
  <c r="BF132" i="28"/>
  <c r="BJ132" i="28" s="1"/>
  <c r="L181" i="58"/>
  <c r="BF181" i="28"/>
  <c r="BJ181" i="28" s="1"/>
  <c r="L237" i="58"/>
  <c r="BF237" i="28"/>
  <c r="BJ237" i="28" s="1"/>
  <c r="L279" i="58"/>
  <c r="BF279" i="28"/>
  <c r="BJ279" i="28" s="1"/>
  <c r="L286" i="58"/>
  <c r="BF286" i="28"/>
  <c r="BJ286" i="28" s="1"/>
  <c r="L342" i="58"/>
  <c r="BF342" i="28"/>
  <c r="BJ342" i="28" s="1"/>
  <c r="L398" i="58"/>
  <c r="BF398" i="28"/>
  <c r="BJ398" i="28" s="1"/>
  <c r="L503" i="58"/>
  <c r="BF503" i="28"/>
  <c r="BJ503" i="28" s="1"/>
  <c r="L59" i="58"/>
  <c r="BF59" i="28"/>
  <c r="BJ59" i="28" s="1"/>
  <c r="L101" i="58"/>
  <c r="BF101" i="28"/>
  <c r="BJ101" i="28" s="1"/>
  <c r="L136" i="58"/>
  <c r="BF136" i="28"/>
  <c r="BJ136" i="28" s="1"/>
  <c r="L171" i="58"/>
  <c r="BF171" i="28"/>
  <c r="BJ171" i="28" s="1"/>
  <c r="L206" i="58"/>
  <c r="BF206" i="28"/>
  <c r="BJ206" i="28" s="1"/>
  <c r="L213" i="58"/>
  <c r="BF213" i="28"/>
  <c r="BJ213" i="28" s="1"/>
  <c r="L276" i="58"/>
  <c r="BF276" i="28"/>
  <c r="BJ276" i="28" s="1"/>
  <c r="L283" i="58"/>
  <c r="BF283" i="28"/>
  <c r="BJ283" i="28" s="1"/>
  <c r="L311" i="58"/>
  <c r="BF311" i="28"/>
  <c r="BJ311" i="28" s="1"/>
  <c r="L318" i="58"/>
  <c r="BF318" i="28"/>
  <c r="BJ318" i="28" s="1"/>
  <c r="L360" i="58"/>
  <c r="BF360" i="28"/>
  <c r="BJ360" i="28" s="1"/>
  <c r="L458" i="58"/>
  <c r="BF458" i="28"/>
  <c r="BJ458" i="28" s="1"/>
  <c r="L486" i="58"/>
  <c r="BF486" i="28"/>
  <c r="BJ486" i="28" s="1"/>
  <c r="L507" i="58"/>
  <c r="BF507" i="28"/>
  <c r="BJ507" i="28" s="1"/>
  <c r="L75" i="58"/>
  <c r="BF75" i="28"/>
  <c r="BJ75" i="28" s="1"/>
  <c r="L82" i="58"/>
  <c r="BF82" i="28"/>
  <c r="BJ82" i="28" s="1"/>
  <c r="L138" i="58"/>
  <c r="BF138" i="28"/>
  <c r="BJ138" i="28" s="1"/>
  <c r="L194" i="58"/>
  <c r="BF194" i="28"/>
  <c r="BJ194" i="28" s="1"/>
  <c r="L201" i="58"/>
  <c r="BF201" i="28"/>
  <c r="BJ201" i="28" s="1"/>
  <c r="L257" i="58"/>
  <c r="BF257" i="28"/>
  <c r="BJ257" i="28" s="1"/>
  <c r="L264" i="58"/>
  <c r="BF264" i="28"/>
  <c r="BJ264" i="28" s="1"/>
  <c r="L320" i="58"/>
  <c r="BF320" i="28"/>
  <c r="BJ320" i="28" s="1"/>
  <c r="L376" i="58"/>
  <c r="BF376" i="28"/>
  <c r="BJ376" i="28" s="1"/>
  <c r="L383" i="58"/>
  <c r="BF383" i="28"/>
  <c r="BJ383" i="28" s="1"/>
  <c r="L439" i="58"/>
  <c r="BF439" i="28"/>
  <c r="BJ439" i="28" s="1"/>
  <c r="L446" i="58"/>
  <c r="BF446" i="28"/>
  <c r="BJ446" i="28" s="1"/>
  <c r="L502" i="58"/>
  <c r="BF502" i="28"/>
  <c r="BJ502" i="28" s="1"/>
  <c r="L90" i="58"/>
  <c r="BF90" i="28"/>
  <c r="BJ90" i="28" s="1"/>
  <c r="L139" i="58"/>
  <c r="BF139" i="28"/>
  <c r="BJ139" i="28" s="1"/>
  <c r="L146" i="58"/>
  <c r="BF146" i="28"/>
  <c r="BJ146" i="28" s="1"/>
  <c r="L251" i="58"/>
  <c r="BF251" i="28"/>
  <c r="BJ251" i="28" s="1"/>
  <c r="L307" i="58"/>
  <c r="BF307" i="28"/>
  <c r="BJ307" i="28" s="1"/>
  <c r="L356" i="58"/>
  <c r="BF356" i="28"/>
  <c r="BJ356" i="28" s="1"/>
  <c r="L405" i="58"/>
  <c r="BF405" i="28"/>
  <c r="BJ405" i="28" s="1"/>
  <c r="L412" i="58"/>
  <c r="BF412" i="28"/>
  <c r="BJ412" i="28" s="1"/>
  <c r="L419" i="58"/>
  <c r="BF419" i="28"/>
  <c r="BJ419" i="28" s="1"/>
  <c r="L468" i="58"/>
  <c r="BF468" i="28"/>
  <c r="BJ468" i="28" s="1"/>
  <c r="L489" i="58"/>
  <c r="BF489" i="28"/>
  <c r="BJ489" i="28" s="1"/>
  <c r="L80" i="58"/>
  <c r="BF80" i="28"/>
  <c r="BJ80" i="28" s="1"/>
  <c r="L115" i="58"/>
  <c r="BF115" i="28"/>
  <c r="BJ115" i="28" s="1"/>
  <c r="L150" i="58"/>
  <c r="BF150" i="28"/>
  <c r="BJ150" i="28" s="1"/>
  <c r="L185" i="58"/>
  <c r="BF185" i="28"/>
  <c r="BJ185" i="28" s="1"/>
  <c r="L192" i="58"/>
  <c r="BF192" i="28"/>
  <c r="BJ192" i="28" s="1"/>
  <c r="L227" i="58"/>
  <c r="BF227" i="28"/>
  <c r="BJ227" i="28" s="1"/>
  <c r="L262" i="58"/>
  <c r="BF262" i="28"/>
  <c r="BJ262" i="28" s="1"/>
  <c r="L297" i="58"/>
  <c r="BF297" i="28"/>
  <c r="BJ297" i="28" s="1"/>
  <c r="L332" i="58"/>
  <c r="BF332" i="28"/>
  <c r="BJ332" i="28" s="1"/>
  <c r="L339" i="58"/>
  <c r="BF339" i="28"/>
  <c r="BJ339" i="28" s="1"/>
  <c r="L374" i="58"/>
  <c r="BF374" i="28"/>
  <c r="BJ374" i="28" s="1"/>
  <c r="L409" i="58"/>
  <c r="BF409" i="28"/>
  <c r="BJ409" i="28" s="1"/>
  <c r="L444" i="58"/>
  <c r="BF444" i="28"/>
  <c r="BJ444" i="28" s="1"/>
  <c r="L49" i="58"/>
  <c r="BF49" i="28"/>
  <c r="BJ49" i="28" s="1"/>
  <c r="L56" i="58"/>
  <c r="BF56" i="28"/>
  <c r="BJ56" i="28" s="1"/>
  <c r="L84" i="58"/>
  <c r="BF84" i="28"/>
  <c r="BJ84" i="28" s="1"/>
  <c r="L112" i="58"/>
  <c r="BF112" i="28"/>
  <c r="BJ112" i="28" s="1"/>
  <c r="L133" i="58"/>
  <c r="BF133" i="28"/>
  <c r="BJ133" i="28" s="1"/>
  <c r="L140" i="58"/>
  <c r="BF140" i="28"/>
  <c r="BJ140" i="28" s="1"/>
  <c r="L147" i="58"/>
  <c r="BF147" i="28"/>
  <c r="BJ147" i="28" s="1"/>
  <c r="L154" i="58"/>
  <c r="BF154" i="28"/>
  <c r="BJ154" i="28" s="1"/>
  <c r="L161" i="58"/>
  <c r="BF161" i="28"/>
  <c r="BJ161" i="28" s="1"/>
  <c r="L168" i="58"/>
  <c r="BF168" i="28"/>
  <c r="BJ168" i="28" s="1"/>
  <c r="L175" i="58"/>
  <c r="BF175" i="28"/>
  <c r="BJ175" i="28" s="1"/>
  <c r="L182" i="58"/>
  <c r="BF182" i="28"/>
  <c r="BJ182" i="28" s="1"/>
  <c r="L189" i="58"/>
  <c r="BF189" i="28"/>
  <c r="BJ189" i="28" s="1"/>
  <c r="L196" i="58"/>
  <c r="BF196" i="28"/>
  <c r="BJ196" i="28" s="1"/>
  <c r="L203" i="58"/>
  <c r="BF203" i="28"/>
  <c r="BJ203" i="28" s="1"/>
  <c r="L210" i="58"/>
  <c r="BF210" i="28"/>
  <c r="BJ210" i="28" s="1"/>
  <c r="L217" i="58"/>
  <c r="BF217" i="28"/>
  <c r="BJ217" i="28" s="1"/>
  <c r="L224" i="58"/>
  <c r="BF224" i="28"/>
  <c r="BJ224" i="28" s="1"/>
  <c r="L231" i="58"/>
  <c r="BF231" i="28"/>
  <c r="BJ231" i="28" s="1"/>
  <c r="L238" i="58"/>
  <c r="BF238" i="28"/>
  <c r="BJ238" i="28" s="1"/>
  <c r="L245" i="58"/>
  <c r="BF245" i="28"/>
  <c r="BJ245" i="28" s="1"/>
  <c r="L252" i="58"/>
  <c r="BF252" i="28"/>
  <c r="BJ252" i="28" s="1"/>
  <c r="L259" i="58"/>
  <c r="BF259" i="28"/>
  <c r="BJ259" i="28" s="1"/>
  <c r="L266" i="58"/>
  <c r="BF266" i="28"/>
  <c r="BJ266" i="28" s="1"/>
  <c r="L273" i="58"/>
  <c r="BF273" i="28"/>
  <c r="BJ273" i="28" s="1"/>
  <c r="L280" i="58"/>
  <c r="BF280" i="28"/>
  <c r="BJ280" i="28" s="1"/>
  <c r="L287" i="58"/>
  <c r="BF287" i="28"/>
  <c r="BJ287" i="28" s="1"/>
  <c r="L294" i="58"/>
  <c r="BF294" i="28"/>
  <c r="BJ294" i="28" s="1"/>
  <c r="L301" i="58"/>
  <c r="BF301" i="28"/>
  <c r="BJ301" i="28" s="1"/>
  <c r="L308" i="58"/>
  <c r="BF308" i="28"/>
  <c r="BJ308" i="28" s="1"/>
  <c r="L315" i="58"/>
  <c r="BF315" i="28"/>
  <c r="BJ315" i="28" s="1"/>
  <c r="L322" i="58"/>
  <c r="BF322" i="28"/>
  <c r="BJ322" i="28" s="1"/>
  <c r="L329" i="58"/>
  <c r="BF329" i="28"/>
  <c r="BJ329" i="28" s="1"/>
  <c r="L336" i="58"/>
  <c r="BF336" i="28"/>
  <c r="BJ336" i="28" s="1"/>
  <c r="L343" i="58"/>
  <c r="BF343" i="28"/>
  <c r="BJ343" i="28" s="1"/>
  <c r="L350" i="58"/>
  <c r="BF350" i="28"/>
  <c r="BJ350" i="28" s="1"/>
  <c r="L357" i="58"/>
  <c r="BF357" i="28"/>
  <c r="BJ357" i="28" s="1"/>
  <c r="L364" i="58"/>
  <c r="BF364" i="28"/>
  <c r="BJ364" i="28" s="1"/>
  <c r="L371" i="58"/>
  <c r="BF371" i="28"/>
  <c r="BJ371" i="28" s="1"/>
  <c r="L378" i="58"/>
  <c r="BF378" i="28"/>
  <c r="BJ378" i="28" s="1"/>
  <c r="L385" i="58"/>
  <c r="BF385" i="28"/>
  <c r="BJ385" i="28" s="1"/>
  <c r="L392" i="58"/>
  <c r="BF392" i="28"/>
  <c r="BJ392" i="28" s="1"/>
  <c r="L399" i="58"/>
  <c r="BF399" i="28"/>
  <c r="BJ399" i="28" s="1"/>
  <c r="L406" i="58"/>
  <c r="BF406" i="28"/>
  <c r="BJ406" i="28" s="1"/>
  <c r="L413" i="58"/>
  <c r="BF413" i="28"/>
  <c r="BJ413" i="28" s="1"/>
  <c r="L420" i="58"/>
  <c r="BF420" i="28"/>
  <c r="BJ420" i="28" s="1"/>
  <c r="L427" i="58"/>
  <c r="BF427" i="28"/>
  <c r="BJ427" i="28" s="1"/>
  <c r="L434" i="58"/>
  <c r="BF434" i="28"/>
  <c r="BJ434" i="28" s="1"/>
  <c r="L441" i="58"/>
  <c r="BF441" i="28"/>
  <c r="BJ441" i="28" s="1"/>
  <c r="L448" i="58"/>
  <c r="BF448" i="28"/>
  <c r="BJ448" i="28" s="1"/>
  <c r="L455" i="58"/>
  <c r="BF455" i="28"/>
  <c r="BJ455" i="28" s="1"/>
  <c r="L462" i="58"/>
  <c r="BF462" i="28"/>
  <c r="BJ462" i="28" s="1"/>
  <c r="L469" i="58"/>
  <c r="BF469" i="28"/>
  <c r="BJ469" i="28" s="1"/>
  <c r="L476" i="58"/>
  <c r="BF476" i="28"/>
  <c r="BJ476" i="28" s="1"/>
  <c r="L483" i="58"/>
  <c r="BF483" i="28"/>
  <c r="BJ483" i="28" s="1"/>
  <c r="L490" i="58"/>
  <c r="BF490" i="28"/>
  <c r="BJ490" i="28" s="1"/>
  <c r="L497" i="58"/>
  <c r="BF497" i="28"/>
  <c r="BJ497" i="28" s="1"/>
  <c r="L504" i="58"/>
  <c r="BF504" i="28"/>
  <c r="BJ504" i="28" s="1"/>
  <c r="L40" i="58"/>
  <c r="BF40" i="28"/>
  <c r="BJ40" i="28" s="1"/>
  <c r="L47" i="58"/>
  <c r="BF47" i="28"/>
  <c r="BJ47" i="28" s="1"/>
  <c r="L110" i="58"/>
  <c r="BF110" i="28"/>
  <c r="BJ110" i="28" s="1"/>
  <c r="L166" i="58"/>
  <c r="BF166" i="28"/>
  <c r="BJ166" i="28" s="1"/>
  <c r="L222" i="58"/>
  <c r="BF222" i="28"/>
  <c r="BJ222" i="28" s="1"/>
  <c r="L229" i="58"/>
  <c r="BF229" i="28"/>
  <c r="BJ229" i="28" s="1"/>
  <c r="L348" i="58"/>
  <c r="BF348" i="28"/>
  <c r="BJ348" i="28" s="1"/>
  <c r="L404" i="58"/>
  <c r="BF404" i="28"/>
  <c r="BJ404" i="28" s="1"/>
  <c r="L411" i="58"/>
  <c r="BF411" i="28"/>
  <c r="BJ411" i="28" s="1"/>
  <c r="L467" i="58"/>
  <c r="BF467" i="28"/>
  <c r="BJ467" i="28" s="1"/>
  <c r="L55" i="58"/>
  <c r="BF55" i="28"/>
  <c r="BJ55" i="28" s="1"/>
  <c r="L62" i="58"/>
  <c r="BF62" i="28"/>
  <c r="BJ62" i="28" s="1"/>
  <c r="L167" i="58"/>
  <c r="BF167" i="28"/>
  <c r="BJ167" i="28" s="1"/>
  <c r="L174" i="58"/>
  <c r="BF174" i="28"/>
  <c r="BJ174" i="28" s="1"/>
  <c r="L223" i="58"/>
  <c r="BF223" i="28"/>
  <c r="BJ223" i="28" s="1"/>
  <c r="L230" i="58"/>
  <c r="BF230" i="28"/>
  <c r="BJ230" i="28" s="1"/>
  <c r="L328" i="58"/>
  <c r="BF328" i="28"/>
  <c r="BJ328" i="28" s="1"/>
  <c r="L335" i="58"/>
  <c r="BF335" i="28"/>
  <c r="BJ335" i="28" s="1"/>
  <c r="L391" i="58"/>
  <c r="BF391" i="28"/>
  <c r="BJ391" i="28" s="1"/>
  <c r="L440" i="58"/>
  <c r="BF440" i="28"/>
  <c r="BJ440" i="28" s="1"/>
  <c r="L447" i="58"/>
  <c r="BF447" i="28"/>
  <c r="BJ447" i="28" s="1"/>
  <c r="L38" i="58"/>
  <c r="BF38" i="28"/>
  <c r="BJ38" i="28" s="1"/>
  <c r="L87" i="58"/>
  <c r="BF87" i="28"/>
  <c r="BJ87" i="28" s="1"/>
  <c r="L129" i="58"/>
  <c r="BF129" i="28"/>
  <c r="BJ129" i="28" s="1"/>
  <c r="L164" i="58"/>
  <c r="BF164" i="28"/>
  <c r="BJ164" i="28" s="1"/>
  <c r="L199" i="58"/>
  <c r="BF199" i="28"/>
  <c r="BJ199" i="28" s="1"/>
  <c r="L234" i="58"/>
  <c r="BF234" i="28"/>
  <c r="BJ234" i="28" s="1"/>
  <c r="L241" i="58"/>
  <c r="BF241" i="28"/>
  <c r="BJ241" i="28" s="1"/>
  <c r="L248" i="58"/>
  <c r="BF248" i="28"/>
  <c r="BJ248" i="28" s="1"/>
  <c r="L346" i="58"/>
  <c r="BF346" i="28"/>
  <c r="BJ346" i="28" s="1"/>
  <c r="L353" i="58"/>
  <c r="BF353" i="28"/>
  <c r="BJ353" i="28" s="1"/>
  <c r="L388" i="58"/>
  <c r="BF388" i="28"/>
  <c r="BJ388" i="28" s="1"/>
  <c r="L395" i="58"/>
  <c r="BF395" i="28"/>
  <c r="BJ395" i="28" s="1"/>
  <c r="L423" i="58"/>
  <c r="BF423" i="28"/>
  <c r="BJ423" i="28" s="1"/>
  <c r="L430" i="58"/>
  <c r="BF430" i="28"/>
  <c r="BJ430" i="28" s="1"/>
  <c r="L465" i="58"/>
  <c r="BF465" i="28"/>
  <c r="BJ465" i="28" s="1"/>
  <c r="L493" i="58"/>
  <c r="BF493" i="28"/>
  <c r="BJ493" i="28" s="1"/>
  <c r="L500" i="58"/>
  <c r="BF500" i="28"/>
  <c r="BJ500" i="28" s="1"/>
  <c r="L35" i="58"/>
  <c r="BF35" i="28"/>
  <c r="BJ35" i="28" s="1"/>
  <c r="L63" i="58"/>
  <c r="BF63" i="28"/>
  <c r="BJ63" i="28" s="1"/>
  <c r="L70" i="58"/>
  <c r="BF70" i="28"/>
  <c r="BJ70" i="28" s="1"/>
  <c r="L98" i="58"/>
  <c r="BF98" i="28"/>
  <c r="BJ98" i="28" s="1"/>
  <c r="L43" i="58"/>
  <c r="BF43" i="28"/>
  <c r="BJ43" i="28" s="1"/>
  <c r="L54" i="58"/>
  <c r="BF54" i="28"/>
  <c r="BJ54" i="28" s="1"/>
  <c r="L180" i="58"/>
  <c r="BF180" i="28"/>
  <c r="BJ180" i="28" s="1"/>
  <c r="L208" i="58"/>
  <c r="BF208" i="28"/>
  <c r="BJ208" i="28" s="1"/>
  <c r="L236" i="58"/>
  <c r="BF236" i="28"/>
  <c r="BJ236" i="28" s="1"/>
  <c r="L285" i="58"/>
  <c r="BF285" i="28"/>
  <c r="BJ285" i="28" s="1"/>
  <c r="L292" i="58"/>
  <c r="BF292" i="28"/>
  <c r="BJ292" i="28" s="1"/>
  <c r="L362" i="58"/>
  <c r="BF362" i="28"/>
  <c r="BJ362" i="28" s="1"/>
  <c r="L390" i="58"/>
  <c r="BF390" i="28"/>
  <c r="BJ390" i="28" s="1"/>
  <c r="L418" i="58"/>
  <c r="BF418" i="28"/>
  <c r="BJ418" i="28" s="1"/>
  <c r="L474" i="58"/>
  <c r="BF474" i="28"/>
  <c r="BJ474" i="28" s="1"/>
  <c r="L34" i="58"/>
  <c r="BF34" i="28"/>
  <c r="BJ34" i="28" s="1"/>
  <c r="L41" i="58"/>
  <c r="BF41" i="28"/>
  <c r="BJ41" i="28" s="1"/>
  <c r="L83" i="58"/>
  <c r="BF83" i="28"/>
  <c r="BJ83" i="28" s="1"/>
  <c r="L104" i="58"/>
  <c r="BF104" i="28"/>
  <c r="BJ104" i="28" s="1"/>
  <c r="L153" i="58"/>
  <c r="BF153" i="28"/>
  <c r="BJ153" i="28" s="1"/>
  <c r="L195" i="58"/>
  <c r="BF195" i="28"/>
  <c r="BJ195" i="28" s="1"/>
  <c r="L202" i="58"/>
  <c r="BF202" i="28"/>
  <c r="BJ202" i="28" s="1"/>
  <c r="L216" i="58"/>
  <c r="BF216" i="28"/>
  <c r="BJ216" i="28" s="1"/>
  <c r="L244" i="58"/>
  <c r="BF244" i="28"/>
  <c r="BJ244" i="28" s="1"/>
  <c r="L265" i="58"/>
  <c r="BF265" i="28"/>
  <c r="BJ265" i="28" s="1"/>
  <c r="L293" i="58"/>
  <c r="BF293" i="28"/>
  <c r="BJ293" i="28" s="1"/>
  <c r="L314" i="58"/>
  <c r="BF314" i="28"/>
  <c r="BJ314" i="28" s="1"/>
  <c r="L363" i="58"/>
  <c r="BF363" i="28"/>
  <c r="BJ363" i="28" s="1"/>
  <c r="L377" i="58"/>
  <c r="BF377" i="28"/>
  <c r="BJ377" i="28" s="1"/>
  <c r="L384" i="58"/>
  <c r="BF384" i="28"/>
  <c r="BJ384" i="28" s="1"/>
  <c r="L426" i="58"/>
  <c r="BF426" i="28"/>
  <c r="BJ426" i="28" s="1"/>
  <c r="L454" i="58"/>
  <c r="BF454" i="28"/>
  <c r="BJ454" i="28" s="1"/>
  <c r="L475" i="58"/>
  <c r="BF475" i="28"/>
  <c r="BJ475" i="28" s="1"/>
  <c r="L45" i="58"/>
  <c r="BF45" i="28"/>
  <c r="BJ45" i="28" s="1"/>
  <c r="L52" i="58"/>
  <c r="BF52" i="28"/>
  <c r="BJ52" i="28" s="1"/>
  <c r="L66" i="58"/>
  <c r="BF66" i="28"/>
  <c r="BJ66" i="28" s="1"/>
  <c r="L73" i="58"/>
  <c r="BF73" i="28"/>
  <c r="BJ73" i="28" s="1"/>
  <c r="L94" i="58"/>
  <c r="BF94" i="28"/>
  <c r="BJ94" i="28" s="1"/>
  <c r="L108" i="58"/>
  <c r="BF108" i="28"/>
  <c r="BJ108" i="28" s="1"/>
  <c r="L122" i="58"/>
  <c r="BF122" i="28"/>
  <c r="BJ122" i="28" s="1"/>
  <c r="L143" i="58"/>
  <c r="BF143" i="28"/>
  <c r="BJ143" i="28" s="1"/>
  <c r="L157" i="58"/>
  <c r="BF157" i="28"/>
  <c r="BJ157" i="28" s="1"/>
  <c r="L178" i="58"/>
  <c r="BF178" i="28"/>
  <c r="BJ178" i="28" s="1"/>
  <c r="L220" i="58"/>
  <c r="BF220" i="28"/>
  <c r="BJ220" i="28" s="1"/>
  <c r="L255" i="58"/>
  <c r="BF255" i="28"/>
  <c r="BJ255" i="28" s="1"/>
  <c r="L269" i="58"/>
  <c r="BF269" i="28"/>
  <c r="BJ269" i="28" s="1"/>
  <c r="L290" i="58"/>
  <c r="BF290" i="28"/>
  <c r="BJ290" i="28" s="1"/>
  <c r="L304" i="58"/>
  <c r="BF304" i="28"/>
  <c r="BJ304" i="28" s="1"/>
  <c r="L325" i="58"/>
  <c r="BF325" i="28"/>
  <c r="BJ325" i="28" s="1"/>
  <c r="L367" i="58"/>
  <c r="BF367" i="28"/>
  <c r="BJ367" i="28" s="1"/>
  <c r="L381" i="58"/>
  <c r="BF381" i="28"/>
  <c r="BJ381" i="28" s="1"/>
  <c r="L402" i="58"/>
  <c r="BF402" i="28"/>
  <c r="BJ402" i="28" s="1"/>
  <c r="L416" i="58"/>
  <c r="BF416" i="28"/>
  <c r="BJ416" i="28" s="1"/>
  <c r="L437" i="58"/>
  <c r="BF437" i="28"/>
  <c r="BJ437" i="28" s="1"/>
  <c r="L451" i="58"/>
  <c r="BF451" i="28"/>
  <c r="BJ451" i="28" s="1"/>
  <c r="L472" i="58"/>
  <c r="BF472" i="28"/>
  <c r="BJ472" i="28" s="1"/>
  <c r="L479" i="58"/>
  <c r="BF479" i="28"/>
  <c r="BJ479" i="28" s="1"/>
  <c r="L42" i="58"/>
  <c r="BF42" i="28"/>
  <c r="BJ42" i="28" s="1"/>
  <c r="L77" i="58"/>
  <c r="BF77" i="28"/>
  <c r="BJ77" i="28" s="1"/>
  <c r="L91" i="58"/>
  <c r="BF91" i="28"/>
  <c r="BJ91" i="28" s="1"/>
  <c r="L105" i="58"/>
  <c r="BF105" i="28"/>
  <c r="BJ105" i="28" s="1"/>
  <c r="L119" i="58"/>
  <c r="BF119" i="28"/>
  <c r="BJ119" i="28" s="1"/>
  <c r="L126" i="58"/>
  <c r="BF126" i="28"/>
  <c r="BJ126" i="28" s="1"/>
  <c r="L32" i="58"/>
  <c r="BF32" i="28"/>
  <c r="BJ32" i="28" s="1"/>
  <c r="L39" i="58"/>
  <c r="BF39" i="28"/>
  <c r="BJ39" i="28" s="1"/>
  <c r="L46" i="58"/>
  <c r="BF46" i="28"/>
  <c r="BJ46" i="28" s="1"/>
  <c r="L53" i="58"/>
  <c r="BF53" i="28"/>
  <c r="BJ53" i="28" s="1"/>
  <c r="L60" i="58"/>
  <c r="BF60" i="28"/>
  <c r="BJ60" i="28" s="1"/>
  <c r="L67" i="58"/>
  <c r="BF67" i="28"/>
  <c r="BJ67" i="28" s="1"/>
  <c r="L74" i="58"/>
  <c r="BF74" i="28"/>
  <c r="BJ74" i="28" s="1"/>
  <c r="L81" i="58"/>
  <c r="BF81" i="28"/>
  <c r="BJ81" i="28" s="1"/>
  <c r="L88" i="58"/>
  <c r="BF88" i="28"/>
  <c r="BJ88" i="28" s="1"/>
  <c r="L95" i="58"/>
  <c r="BF95" i="28"/>
  <c r="BJ95" i="28" s="1"/>
  <c r="L102" i="58"/>
  <c r="BF102" i="28"/>
  <c r="BJ102" i="28" s="1"/>
  <c r="L109" i="58"/>
  <c r="BF109" i="28"/>
  <c r="BJ109" i="28" s="1"/>
  <c r="L116" i="58"/>
  <c r="BF116" i="28"/>
  <c r="BJ116" i="28" s="1"/>
  <c r="L123" i="58"/>
  <c r="BF123" i="28"/>
  <c r="BJ123" i="28" s="1"/>
  <c r="L130" i="58"/>
  <c r="BF130" i="28"/>
  <c r="BJ130" i="28" s="1"/>
  <c r="L137" i="58"/>
  <c r="BF137" i="28"/>
  <c r="BJ137" i="28" s="1"/>
  <c r="L144" i="58"/>
  <c r="BF144" i="28"/>
  <c r="BJ144" i="28" s="1"/>
  <c r="L151" i="58"/>
  <c r="BF151" i="28"/>
  <c r="BJ151" i="28" s="1"/>
  <c r="L158" i="58"/>
  <c r="BF158" i="28"/>
  <c r="BJ158" i="28" s="1"/>
  <c r="L165" i="58"/>
  <c r="BF165" i="28"/>
  <c r="BJ165" i="28" s="1"/>
  <c r="L172" i="58"/>
  <c r="BF172" i="28"/>
  <c r="BJ172" i="28" s="1"/>
  <c r="L179" i="58"/>
  <c r="BF179" i="28"/>
  <c r="BJ179" i="28" s="1"/>
  <c r="L186" i="58"/>
  <c r="BF186" i="28"/>
  <c r="BJ186" i="28" s="1"/>
  <c r="L193" i="58"/>
  <c r="BF193" i="28"/>
  <c r="BJ193" i="28" s="1"/>
  <c r="L200" i="58"/>
  <c r="BF200" i="28"/>
  <c r="BJ200" i="28" s="1"/>
  <c r="L207" i="58"/>
  <c r="BF207" i="28"/>
  <c r="BJ207" i="28" s="1"/>
  <c r="L214" i="58"/>
  <c r="BF214" i="28"/>
  <c r="BJ214" i="28" s="1"/>
  <c r="L221" i="58"/>
  <c r="BF221" i="28"/>
  <c r="BJ221" i="28" s="1"/>
  <c r="L228" i="58"/>
  <c r="BF228" i="28"/>
  <c r="BJ228" i="28" s="1"/>
  <c r="L235" i="58"/>
  <c r="BF235" i="28"/>
  <c r="BJ235" i="28" s="1"/>
  <c r="L242" i="58"/>
  <c r="BF242" i="28"/>
  <c r="BJ242" i="28" s="1"/>
  <c r="L249" i="58"/>
  <c r="BF249" i="28"/>
  <c r="BJ249" i="28" s="1"/>
  <c r="L256" i="58"/>
  <c r="BF256" i="28"/>
  <c r="BJ256" i="28" s="1"/>
  <c r="L263" i="58"/>
  <c r="BF263" i="28"/>
  <c r="BJ263" i="28" s="1"/>
  <c r="L270" i="58"/>
  <c r="BF270" i="28"/>
  <c r="BJ270" i="28" s="1"/>
  <c r="L277" i="58"/>
  <c r="BF277" i="28"/>
  <c r="BJ277" i="28" s="1"/>
  <c r="L284" i="58"/>
  <c r="BF284" i="28"/>
  <c r="BJ284" i="28" s="1"/>
  <c r="L291" i="58"/>
  <c r="BF291" i="28"/>
  <c r="BJ291" i="28" s="1"/>
  <c r="L298" i="58"/>
  <c r="BF298" i="28"/>
  <c r="BJ298" i="28" s="1"/>
  <c r="L305" i="58"/>
  <c r="BF305" i="28"/>
  <c r="BJ305" i="28" s="1"/>
  <c r="L312" i="58"/>
  <c r="BF312" i="28"/>
  <c r="BJ312" i="28" s="1"/>
  <c r="L319" i="58"/>
  <c r="BF319" i="28"/>
  <c r="BJ319" i="28" s="1"/>
  <c r="L326" i="58"/>
  <c r="BF326" i="28"/>
  <c r="BJ326" i="28" s="1"/>
  <c r="L333" i="58"/>
  <c r="BF333" i="28"/>
  <c r="BJ333" i="28" s="1"/>
  <c r="L340" i="58"/>
  <c r="BF340" i="28"/>
  <c r="BJ340" i="28" s="1"/>
  <c r="L347" i="58"/>
  <c r="BF347" i="28"/>
  <c r="BJ347" i="28" s="1"/>
  <c r="L354" i="58"/>
  <c r="BF354" i="28"/>
  <c r="BJ354" i="28" s="1"/>
  <c r="L361" i="58"/>
  <c r="BF361" i="28"/>
  <c r="BJ361" i="28" s="1"/>
  <c r="L368" i="58"/>
  <c r="BF368" i="28"/>
  <c r="BJ368" i="28" s="1"/>
  <c r="L375" i="58"/>
  <c r="BF375" i="28"/>
  <c r="BJ375" i="28" s="1"/>
  <c r="L382" i="58"/>
  <c r="BF382" i="28"/>
  <c r="BJ382" i="28" s="1"/>
  <c r="L389" i="58"/>
  <c r="BF389" i="28"/>
  <c r="BJ389" i="28" s="1"/>
  <c r="L396" i="58"/>
  <c r="BF396" i="28"/>
  <c r="BJ396" i="28" s="1"/>
  <c r="L403" i="58"/>
  <c r="BF403" i="28"/>
  <c r="BJ403" i="28" s="1"/>
  <c r="L410" i="58"/>
  <c r="BF410" i="28"/>
  <c r="BJ410" i="28" s="1"/>
  <c r="L417" i="58"/>
  <c r="BF417" i="28"/>
  <c r="BJ417" i="28" s="1"/>
  <c r="L424" i="58"/>
  <c r="BF424" i="28"/>
  <c r="BJ424" i="28" s="1"/>
  <c r="L431" i="58"/>
  <c r="BF431" i="28"/>
  <c r="BJ431" i="28" s="1"/>
  <c r="L438" i="58"/>
  <c r="BF438" i="28"/>
  <c r="BJ438" i="28" s="1"/>
  <c r="L445" i="58"/>
  <c r="BF445" i="28"/>
  <c r="BJ445" i="28" s="1"/>
  <c r="L452" i="58"/>
  <c r="BF452" i="28"/>
  <c r="BJ452" i="28" s="1"/>
  <c r="L459" i="58"/>
  <c r="BF459" i="28"/>
  <c r="BJ459" i="28" s="1"/>
  <c r="L466" i="58"/>
  <c r="BF466" i="28"/>
  <c r="BJ466" i="28" s="1"/>
  <c r="L473" i="58"/>
  <c r="BF473" i="28"/>
  <c r="BJ473" i="28" s="1"/>
  <c r="L480" i="58"/>
  <c r="BF480" i="28"/>
  <c r="BJ480" i="28" s="1"/>
  <c r="L487" i="58"/>
  <c r="BF487" i="28"/>
  <c r="BJ487" i="28" s="1"/>
  <c r="L494" i="58"/>
  <c r="BF494" i="28"/>
  <c r="BJ494" i="28" s="1"/>
  <c r="L501" i="58"/>
  <c r="BF501" i="28"/>
  <c r="BJ501" i="28" s="1"/>
  <c r="AQ36" i="28"/>
  <c r="AO36" i="28"/>
  <c r="AQ43" i="28"/>
  <c r="AC43" i="28"/>
  <c r="BA43" i="28"/>
  <c r="AD43" i="28"/>
  <c r="X43" i="28"/>
  <c r="AO43" i="28"/>
  <c r="AA43" i="28"/>
  <c r="AQ50" i="28"/>
  <c r="AD50" i="28"/>
  <c r="BA50" i="28"/>
  <c r="AA50" i="28"/>
  <c r="AC50" i="28"/>
  <c r="AO50" i="28"/>
  <c r="X50" i="28"/>
  <c r="AQ57" i="28"/>
  <c r="AC57" i="28"/>
  <c r="BA57" i="28"/>
  <c r="AD57" i="28"/>
  <c r="AA57" i="28"/>
  <c r="AO57" i="28"/>
  <c r="X57" i="28"/>
  <c r="AQ64" i="28"/>
  <c r="BA64" i="28"/>
  <c r="AD64" i="28"/>
  <c r="AC64" i="28"/>
  <c r="AO64" i="28"/>
  <c r="AA64" i="28"/>
  <c r="X64" i="28"/>
  <c r="AQ71" i="28"/>
  <c r="AC71" i="28"/>
  <c r="BA71" i="28"/>
  <c r="AA71" i="28"/>
  <c r="AD71" i="28"/>
  <c r="X71" i="28"/>
  <c r="AO71" i="28"/>
  <c r="AQ78" i="28"/>
  <c r="AD78" i="28"/>
  <c r="BA78" i="28"/>
  <c r="AO78" i="28"/>
  <c r="AC78" i="28"/>
  <c r="X78" i="28"/>
  <c r="AA78" i="28"/>
  <c r="AQ85" i="28"/>
  <c r="AC85" i="28"/>
  <c r="BA85" i="28"/>
  <c r="AD85" i="28"/>
  <c r="X85" i="28"/>
  <c r="AO85" i="28"/>
  <c r="AA85" i="28"/>
  <c r="AQ92" i="28"/>
  <c r="AD92" i="28"/>
  <c r="BA92" i="28"/>
  <c r="AC92" i="28"/>
  <c r="AO92" i="28"/>
  <c r="AA92" i="28"/>
  <c r="X92" i="28"/>
  <c r="AQ99" i="28"/>
  <c r="AC99" i="28"/>
  <c r="BA99" i="28"/>
  <c r="AO99" i="28"/>
  <c r="X99" i="28"/>
  <c r="AD99" i="28"/>
  <c r="AA99" i="28"/>
  <c r="AQ106" i="28"/>
  <c r="BA106" i="28"/>
  <c r="AD106" i="28"/>
  <c r="AA106" i="28"/>
  <c r="X106" i="28"/>
  <c r="AC106" i="28"/>
  <c r="AO106" i="28"/>
  <c r="AQ113" i="28"/>
  <c r="AC113" i="28"/>
  <c r="BA113" i="28"/>
  <c r="AD113" i="28"/>
  <c r="AO113" i="28"/>
  <c r="AA113" i="28"/>
  <c r="X113" i="28"/>
  <c r="AQ120" i="28"/>
  <c r="AD120" i="28"/>
  <c r="AA120" i="28"/>
  <c r="AO120" i="28"/>
  <c r="BA120" i="28"/>
  <c r="X120" i="28"/>
  <c r="AC120" i="28"/>
  <c r="AQ127" i="28"/>
  <c r="AC127" i="28"/>
  <c r="BA127" i="28"/>
  <c r="AA127" i="28"/>
  <c r="AD127" i="28"/>
  <c r="X127" i="28"/>
  <c r="AO127" i="28"/>
  <c r="AQ134" i="28"/>
  <c r="AC134" i="28"/>
  <c r="AD134" i="28"/>
  <c r="AA134" i="28"/>
  <c r="BA134" i="28"/>
  <c r="X134" i="28"/>
  <c r="AO134" i="28"/>
  <c r="AQ141" i="28"/>
  <c r="AC141" i="28"/>
  <c r="BA141" i="28"/>
  <c r="AA141" i="28"/>
  <c r="AO141" i="28"/>
  <c r="X141" i="28"/>
  <c r="AD141" i="28"/>
  <c r="AQ148" i="28"/>
  <c r="AC148" i="28"/>
  <c r="AD148" i="28"/>
  <c r="BA148" i="28"/>
  <c r="AA148" i="28"/>
  <c r="AO148" i="28"/>
  <c r="X148" i="28"/>
  <c r="AQ155" i="28"/>
  <c r="AC155" i="28"/>
  <c r="BA155" i="28"/>
  <c r="AA155" i="28"/>
  <c r="AD155" i="28"/>
  <c r="AO155" i="28"/>
  <c r="X155" i="28"/>
  <c r="AQ162" i="28"/>
  <c r="AD162" i="28"/>
  <c r="AC162" i="28"/>
  <c r="AO162" i="28"/>
  <c r="X162" i="28"/>
  <c r="BA162" i="28"/>
  <c r="AA162" i="28"/>
  <c r="AQ169" i="28"/>
  <c r="AC169" i="28"/>
  <c r="BA169" i="28"/>
  <c r="AA169" i="28"/>
  <c r="AD169" i="28"/>
  <c r="X169" i="28"/>
  <c r="AO169" i="28"/>
  <c r="AQ176" i="28"/>
  <c r="AC176" i="28"/>
  <c r="AD176" i="28"/>
  <c r="BA176" i="28"/>
  <c r="AO176" i="28"/>
  <c r="AA176" i="28"/>
  <c r="X176" i="28"/>
  <c r="AQ183" i="28"/>
  <c r="AC183" i="28"/>
  <c r="BA183" i="28"/>
  <c r="X183" i="28"/>
  <c r="AO183" i="28"/>
  <c r="AA183" i="28"/>
  <c r="AD183" i="28"/>
  <c r="AQ190" i="28"/>
  <c r="AD190" i="28"/>
  <c r="AC190" i="28"/>
  <c r="BA190" i="28"/>
  <c r="AO190" i="28"/>
  <c r="AA190" i="28"/>
  <c r="X190" i="28"/>
  <c r="AQ197" i="28"/>
  <c r="AC197" i="28"/>
  <c r="BA197" i="28"/>
  <c r="X197" i="28"/>
  <c r="AD197" i="28"/>
  <c r="AO197" i="28"/>
  <c r="AA197" i="28"/>
  <c r="AQ204" i="28"/>
  <c r="AD204" i="28"/>
  <c r="AC204" i="28"/>
  <c r="AA204" i="28"/>
  <c r="X204" i="28"/>
  <c r="AO204" i="28"/>
  <c r="BA204" i="28"/>
  <c r="AQ211" i="28"/>
  <c r="AC211" i="28"/>
  <c r="BA211" i="28"/>
  <c r="AA211" i="28"/>
  <c r="AD211" i="28"/>
  <c r="AO211" i="28"/>
  <c r="X211" i="28"/>
  <c r="AQ218" i="28"/>
  <c r="BA218" i="28"/>
  <c r="AC218" i="28"/>
  <c r="AD218" i="28"/>
  <c r="AO218" i="28"/>
  <c r="AA218" i="28"/>
  <c r="X218" i="28"/>
  <c r="AQ225" i="28"/>
  <c r="AC225" i="28"/>
  <c r="BA225" i="28"/>
  <c r="AD225" i="28"/>
  <c r="AA225" i="28"/>
  <c r="AO225" i="28"/>
  <c r="X225" i="28"/>
  <c r="AQ232" i="28"/>
  <c r="BA232" i="28"/>
  <c r="AD232" i="28"/>
  <c r="AO232" i="28"/>
  <c r="X232" i="28"/>
  <c r="AA232" i="28"/>
  <c r="AC232" i="28"/>
  <c r="AQ239" i="28"/>
  <c r="AC239" i="28"/>
  <c r="BA239" i="28"/>
  <c r="AA239" i="28"/>
  <c r="AD239" i="28"/>
  <c r="X239" i="28"/>
  <c r="AO239" i="28"/>
  <c r="AQ246" i="28"/>
  <c r="AD246" i="28"/>
  <c r="AA246" i="28"/>
  <c r="AO246" i="28"/>
  <c r="BA246" i="28"/>
  <c r="AC246" i="28"/>
  <c r="X246" i="28"/>
  <c r="AQ253" i="28"/>
  <c r="AC253" i="28"/>
  <c r="BA253" i="28"/>
  <c r="AD253" i="28"/>
  <c r="X253" i="28"/>
  <c r="AO253" i="28"/>
  <c r="AA253" i="28"/>
  <c r="AQ260" i="28"/>
  <c r="BA260" i="28"/>
  <c r="AD260" i="28"/>
  <c r="AC260" i="28"/>
  <c r="AO260" i="28"/>
  <c r="X260" i="28"/>
  <c r="AA260" i="28"/>
  <c r="AQ267" i="28"/>
  <c r="AC267" i="28"/>
  <c r="BA267" i="28"/>
  <c r="X267" i="28"/>
  <c r="AA267" i="28"/>
  <c r="AD267" i="28"/>
  <c r="AO267" i="28"/>
  <c r="AQ274" i="28"/>
  <c r="AD274" i="28"/>
  <c r="AO274" i="28"/>
  <c r="AA274" i="28"/>
  <c r="AC274" i="28"/>
  <c r="X274" i="28"/>
  <c r="BA274" i="28"/>
  <c r="AQ281" i="28"/>
  <c r="AC281" i="28"/>
  <c r="BA281" i="28"/>
  <c r="X281" i="28"/>
  <c r="AO281" i="28"/>
  <c r="AA281" i="28"/>
  <c r="AD281" i="28"/>
  <c r="AQ288" i="28"/>
  <c r="AD288" i="28"/>
  <c r="BA288" i="28"/>
  <c r="AC288" i="28"/>
  <c r="AO288" i="28"/>
  <c r="X288" i="28"/>
  <c r="AA288" i="28"/>
  <c r="AQ295" i="28"/>
  <c r="AC295" i="28"/>
  <c r="BA295" i="28"/>
  <c r="AA295" i="28"/>
  <c r="X295" i="28"/>
  <c r="AO295" i="28"/>
  <c r="AD295" i="28"/>
  <c r="AQ302" i="28"/>
  <c r="BA302" i="28"/>
  <c r="AD302" i="28"/>
  <c r="AA302" i="28"/>
  <c r="X302" i="28"/>
  <c r="AC302" i="28"/>
  <c r="AO302" i="28"/>
  <c r="AQ309" i="28"/>
  <c r="AC309" i="28"/>
  <c r="BA309" i="28"/>
  <c r="AA309" i="28"/>
  <c r="AO309" i="28"/>
  <c r="X309" i="28"/>
  <c r="AD309" i="28"/>
  <c r="AQ316" i="28"/>
  <c r="AD316" i="28"/>
  <c r="AA316" i="28"/>
  <c r="BA316" i="28"/>
  <c r="AO316" i="28"/>
  <c r="X316" i="28"/>
  <c r="AC316" i="28"/>
  <c r="AQ323" i="28"/>
  <c r="AC323" i="28"/>
  <c r="BA323" i="28"/>
  <c r="AD323" i="28"/>
  <c r="X323" i="28"/>
  <c r="AO323" i="28"/>
  <c r="AA323" i="28"/>
  <c r="AQ330" i="28"/>
  <c r="AC330" i="28"/>
  <c r="AA330" i="28"/>
  <c r="BA330" i="28"/>
  <c r="AO330" i="28"/>
  <c r="AD330" i="28"/>
  <c r="X330" i="28"/>
  <c r="AQ337" i="28"/>
  <c r="AC337" i="28"/>
  <c r="BA337" i="28"/>
  <c r="AA337" i="28"/>
  <c r="AD337" i="28"/>
  <c r="X337" i="28"/>
  <c r="AO337" i="28"/>
  <c r="AQ344" i="28"/>
  <c r="AC344" i="28"/>
  <c r="AD344" i="28"/>
  <c r="X344" i="28"/>
  <c r="AA344" i="28"/>
  <c r="AO344" i="28"/>
  <c r="BA344" i="28"/>
  <c r="AQ351" i="28"/>
  <c r="AC351" i="28"/>
  <c r="BA351" i="28"/>
  <c r="AD351" i="28"/>
  <c r="X351" i="28"/>
  <c r="AA351" i="28"/>
  <c r="AO351" i="28"/>
  <c r="AQ358" i="28"/>
  <c r="AC358" i="28"/>
  <c r="AD358" i="28"/>
  <c r="BA358" i="28"/>
  <c r="AO358" i="28"/>
  <c r="X358" i="28"/>
  <c r="AA358" i="28"/>
  <c r="AQ365" i="28"/>
  <c r="AC365" i="28"/>
  <c r="BA365" i="28"/>
  <c r="AD365" i="28"/>
  <c r="X365" i="28"/>
  <c r="AO365" i="28"/>
  <c r="AA365" i="28"/>
  <c r="AQ372" i="28"/>
  <c r="AC372" i="28"/>
  <c r="AD372" i="28"/>
  <c r="BA372" i="28"/>
  <c r="AA372" i="28"/>
  <c r="AO372" i="28"/>
  <c r="X372" i="28"/>
  <c r="AQ379" i="28"/>
  <c r="AC379" i="28"/>
  <c r="BA379" i="28"/>
  <c r="AA379" i="28"/>
  <c r="AD379" i="28"/>
  <c r="X379" i="28"/>
  <c r="AO379" i="28"/>
  <c r="AQ386" i="28"/>
  <c r="BA386" i="28"/>
  <c r="X386" i="28"/>
  <c r="AC386" i="28"/>
  <c r="AO386" i="28"/>
  <c r="AD386" i="28"/>
  <c r="AA386" i="28"/>
  <c r="AQ393" i="28"/>
  <c r="AC393" i="28"/>
  <c r="BA393" i="28"/>
  <c r="X393" i="28"/>
  <c r="AD393" i="28"/>
  <c r="AA393" i="28"/>
  <c r="AO393" i="28"/>
  <c r="AQ400" i="28"/>
  <c r="AC400" i="28"/>
  <c r="AD400" i="28"/>
  <c r="X400" i="28"/>
  <c r="BA400" i="28"/>
  <c r="AA400" i="28"/>
  <c r="AO400" i="28"/>
  <c r="AQ407" i="28"/>
  <c r="AC407" i="28"/>
  <c r="BA407" i="28"/>
  <c r="AA407" i="28"/>
  <c r="X407" i="28"/>
  <c r="AO407" i="28"/>
  <c r="AD407" i="28"/>
  <c r="AQ414" i="28"/>
  <c r="BA414" i="28"/>
  <c r="AD414" i="28"/>
  <c r="AC414" i="28"/>
  <c r="AO414" i="28"/>
  <c r="AA414" i="28"/>
  <c r="X414" i="28"/>
  <c r="AQ421" i="28"/>
  <c r="AC421" i="28"/>
  <c r="BA421" i="28"/>
  <c r="X421" i="28"/>
  <c r="AA421" i="28"/>
  <c r="AO421" i="28"/>
  <c r="AD421" i="28"/>
  <c r="AQ428" i="28"/>
  <c r="BA428" i="28"/>
  <c r="AD428" i="28"/>
  <c r="AC428" i="28"/>
  <c r="X428" i="28"/>
  <c r="AO428" i="28"/>
  <c r="AA428" i="28"/>
  <c r="AQ435" i="28"/>
  <c r="AC435" i="28"/>
  <c r="BA435" i="28"/>
  <c r="X435" i="28"/>
  <c r="AA435" i="28"/>
  <c r="AO435" i="28"/>
  <c r="AD435" i="28"/>
  <c r="AQ442" i="28"/>
  <c r="AA442" i="28"/>
  <c r="AC442" i="28"/>
  <c r="AO442" i="28"/>
  <c r="X442" i="28"/>
  <c r="AD442" i="28"/>
  <c r="BA442" i="28"/>
  <c r="AQ449" i="28"/>
  <c r="AC449" i="28"/>
  <c r="BA449" i="28"/>
  <c r="X449" i="28"/>
  <c r="AD449" i="28"/>
  <c r="AO449" i="28"/>
  <c r="AA449" i="28"/>
  <c r="AQ456" i="28"/>
  <c r="BA456" i="28"/>
  <c r="AD456" i="28"/>
  <c r="AA456" i="28"/>
  <c r="AO456" i="28"/>
  <c r="AC456" i="28"/>
  <c r="X456" i="28"/>
  <c r="AQ463" i="28"/>
  <c r="AC463" i="28"/>
  <c r="BA463" i="28"/>
  <c r="AD463" i="28"/>
  <c r="X463" i="28"/>
  <c r="AO463" i="28"/>
  <c r="AA463" i="28"/>
  <c r="AQ470" i="28"/>
  <c r="AO470" i="28"/>
  <c r="BA470" i="28"/>
  <c r="AD470" i="28"/>
  <c r="X470" i="28"/>
  <c r="AC470" i="28"/>
  <c r="AA470" i="28"/>
  <c r="AQ477" i="28"/>
  <c r="AC477" i="28"/>
  <c r="BA477" i="28"/>
  <c r="AD477" i="28"/>
  <c r="AA477" i="28"/>
  <c r="X477" i="28"/>
  <c r="AO477" i="28"/>
  <c r="AQ484" i="28"/>
  <c r="BA484" i="28"/>
  <c r="AD484" i="28"/>
  <c r="X484" i="28"/>
  <c r="AC484" i="28"/>
  <c r="AA484" i="28"/>
  <c r="AO484" i="28"/>
  <c r="AQ491" i="28"/>
  <c r="AC491" i="28"/>
  <c r="BA491" i="28"/>
  <c r="AD491" i="28"/>
  <c r="AA491" i="28"/>
  <c r="AO491" i="28"/>
  <c r="X491" i="28"/>
  <c r="AQ498" i="28"/>
  <c r="BA498" i="28"/>
  <c r="AC498" i="28"/>
  <c r="X498" i="28"/>
  <c r="AA498" i="28"/>
  <c r="AD498" i="28"/>
  <c r="AO498" i="28"/>
  <c r="AQ505" i="28"/>
  <c r="AC505" i="28"/>
  <c r="BA505" i="28"/>
  <c r="AA505" i="28"/>
  <c r="AD505" i="28"/>
  <c r="AO505" i="28"/>
  <c r="X505" i="28"/>
  <c r="AQ68" i="28"/>
  <c r="BA68" i="28"/>
  <c r="AC68" i="28"/>
  <c r="AD68" i="28"/>
  <c r="AA68" i="28"/>
  <c r="X68" i="28"/>
  <c r="AO68" i="28"/>
  <c r="AQ103" i="28"/>
  <c r="AA103" i="28"/>
  <c r="AD103" i="28"/>
  <c r="AC103" i="28"/>
  <c r="BA103" i="28"/>
  <c r="X103" i="28"/>
  <c r="AO103" i="28"/>
  <c r="AQ145" i="28"/>
  <c r="BA145" i="28"/>
  <c r="AA145" i="28"/>
  <c r="AD145" i="28"/>
  <c r="AC145" i="28"/>
  <c r="X145" i="28"/>
  <c r="AO145" i="28"/>
  <c r="AQ229" i="28"/>
  <c r="AA229" i="28"/>
  <c r="AC229" i="28"/>
  <c r="BA229" i="28"/>
  <c r="AD229" i="28"/>
  <c r="AO229" i="28"/>
  <c r="X229" i="28"/>
  <c r="AQ271" i="28"/>
  <c r="AA271" i="28"/>
  <c r="BA271" i="28"/>
  <c r="AD271" i="28"/>
  <c r="AC271" i="28"/>
  <c r="X271" i="28"/>
  <c r="AO271" i="28"/>
  <c r="AQ313" i="28"/>
  <c r="AA313" i="28"/>
  <c r="AC313" i="28"/>
  <c r="AD313" i="28"/>
  <c r="BA313" i="28"/>
  <c r="AO313" i="28"/>
  <c r="X313" i="28"/>
  <c r="AQ355" i="28"/>
  <c r="AA355" i="28"/>
  <c r="AD355" i="28"/>
  <c r="BA355" i="28"/>
  <c r="AC355" i="28"/>
  <c r="AO355" i="28"/>
  <c r="X355" i="28"/>
  <c r="AQ390" i="28"/>
  <c r="BA390" i="28"/>
  <c r="AC390" i="28"/>
  <c r="AD390" i="28"/>
  <c r="AA390" i="28"/>
  <c r="AO390" i="28"/>
  <c r="X390" i="28"/>
  <c r="AQ397" i="28"/>
  <c r="AD397" i="28"/>
  <c r="AA397" i="28"/>
  <c r="BA397" i="28"/>
  <c r="AC397" i="28"/>
  <c r="X397" i="28"/>
  <c r="AO397" i="28"/>
  <c r="AQ439" i="28"/>
  <c r="AD439" i="28"/>
  <c r="AC439" i="28"/>
  <c r="AA439" i="28"/>
  <c r="AO439" i="28"/>
  <c r="X439" i="28"/>
  <c r="BA439" i="28"/>
  <c r="AQ474" i="28"/>
  <c r="BA474" i="28"/>
  <c r="AC474" i="28"/>
  <c r="AA474" i="28"/>
  <c r="AD474" i="28"/>
  <c r="AO474" i="28"/>
  <c r="X474" i="28"/>
  <c r="AQ37" i="28"/>
  <c r="AD37" i="28"/>
  <c r="BA37" i="28"/>
  <c r="AO37" i="28"/>
  <c r="AG37" i="28" s="1"/>
  <c r="AC37" i="28"/>
  <c r="AQ44" i="28"/>
  <c r="AC44" i="28"/>
  <c r="BA44" i="28"/>
  <c r="AA44" i="28"/>
  <c r="AD44" i="28"/>
  <c r="X44" i="28"/>
  <c r="AO44" i="28"/>
  <c r="AQ51" i="28"/>
  <c r="AC51" i="28"/>
  <c r="BA51" i="28"/>
  <c r="AA51" i="28"/>
  <c r="X51" i="28"/>
  <c r="AO51" i="28"/>
  <c r="AD51" i="28"/>
  <c r="AQ58" i="28"/>
  <c r="AC58" i="28"/>
  <c r="AD58" i="28"/>
  <c r="AA58" i="28"/>
  <c r="BA58" i="28"/>
  <c r="X58" i="28"/>
  <c r="AO58" i="28"/>
  <c r="AQ65" i="28"/>
  <c r="BA65" i="28"/>
  <c r="AC65" i="28"/>
  <c r="AD65" i="28"/>
  <c r="AA65" i="28"/>
  <c r="X65" i="28"/>
  <c r="AO65" i="28"/>
  <c r="AQ72" i="28"/>
  <c r="AC72" i="28"/>
  <c r="BA72" i="28"/>
  <c r="AD72" i="28"/>
  <c r="X72" i="28"/>
  <c r="AO72" i="28"/>
  <c r="AA72" i="28"/>
  <c r="AQ79" i="28"/>
  <c r="BA79" i="28"/>
  <c r="AC79" i="28"/>
  <c r="AA79" i="28"/>
  <c r="AD79" i="28"/>
  <c r="X79" i="28"/>
  <c r="AO79" i="28"/>
  <c r="AQ86" i="28"/>
  <c r="AC86" i="28"/>
  <c r="BA86" i="28"/>
  <c r="AA86" i="28"/>
  <c r="X86" i="28"/>
  <c r="AD86" i="28"/>
  <c r="AO86" i="28"/>
  <c r="AQ93" i="28"/>
  <c r="AC93" i="28"/>
  <c r="AD93" i="28"/>
  <c r="AA93" i="28"/>
  <c r="X93" i="28"/>
  <c r="BA93" i="28"/>
  <c r="AO93" i="28"/>
  <c r="AQ100" i="28"/>
  <c r="AC100" i="28"/>
  <c r="AA100" i="28"/>
  <c r="X100" i="28"/>
  <c r="AO100" i="28"/>
  <c r="BA100" i="28"/>
  <c r="AD100" i="28"/>
  <c r="AQ107" i="28"/>
  <c r="BA107" i="28"/>
  <c r="AC107" i="28"/>
  <c r="AD107" i="28"/>
  <c r="X107" i="28"/>
  <c r="AA107" i="28"/>
  <c r="AO107" i="28"/>
  <c r="AQ114" i="28"/>
  <c r="AC114" i="28"/>
  <c r="BA114" i="28"/>
  <c r="AO114" i="28"/>
  <c r="AA114" i="28"/>
  <c r="AD114" i="28"/>
  <c r="X114" i="28"/>
  <c r="AQ121" i="28"/>
  <c r="AA121" i="28"/>
  <c r="X121" i="28"/>
  <c r="AC121" i="28"/>
  <c r="BA121" i="28"/>
  <c r="AD121" i="28"/>
  <c r="AO121" i="28"/>
  <c r="AQ128" i="28"/>
  <c r="AC128" i="28"/>
  <c r="AD128" i="28"/>
  <c r="AA128" i="28"/>
  <c r="X128" i="28"/>
  <c r="BA128" i="28"/>
  <c r="AO128" i="28"/>
  <c r="AQ135" i="28"/>
  <c r="BA135" i="28"/>
  <c r="AA135" i="28"/>
  <c r="AO135" i="28"/>
  <c r="X135" i="28"/>
  <c r="AC135" i="28"/>
  <c r="AD135" i="28"/>
  <c r="AQ142" i="28"/>
  <c r="AC142" i="28"/>
  <c r="BA142" i="28"/>
  <c r="AA142" i="28"/>
  <c r="X142" i="28"/>
  <c r="AO142" i="28"/>
  <c r="AD142" i="28"/>
  <c r="AQ149" i="28"/>
  <c r="BA149" i="28"/>
  <c r="AA149" i="28"/>
  <c r="AC149" i="28"/>
  <c r="AD149" i="28"/>
  <c r="X149" i="28"/>
  <c r="AO149" i="28"/>
  <c r="AQ156" i="28"/>
  <c r="AC156" i="28"/>
  <c r="AD156" i="28"/>
  <c r="BA156" i="28"/>
  <c r="AA156" i="28"/>
  <c r="AO156" i="28"/>
  <c r="X156" i="28"/>
  <c r="AQ163" i="28"/>
  <c r="AC163" i="28"/>
  <c r="AA163" i="28"/>
  <c r="AD163" i="28"/>
  <c r="X163" i="28"/>
  <c r="AO163" i="28"/>
  <c r="BA163" i="28"/>
  <c r="AQ170" i="28"/>
  <c r="AC170" i="28"/>
  <c r="AD170" i="28"/>
  <c r="BA170" i="28"/>
  <c r="X170" i="28"/>
  <c r="AO170" i="28"/>
  <c r="AA170" i="28"/>
  <c r="AQ177" i="28"/>
  <c r="AC177" i="28"/>
  <c r="BA177" i="28"/>
  <c r="AD177" i="28"/>
  <c r="AA177" i="28"/>
  <c r="AO177" i="28"/>
  <c r="X177" i="28"/>
  <c r="AQ184" i="28"/>
  <c r="AC184" i="28"/>
  <c r="AD184" i="28"/>
  <c r="BA184" i="28"/>
  <c r="AA184" i="28"/>
  <c r="X184" i="28"/>
  <c r="AO184" i="28"/>
  <c r="AQ191" i="28"/>
  <c r="AC191" i="28"/>
  <c r="X191" i="28"/>
  <c r="BA191" i="28"/>
  <c r="AD191" i="28"/>
  <c r="AO191" i="28"/>
  <c r="AA191" i="28"/>
  <c r="AQ198" i="28"/>
  <c r="AC198" i="28"/>
  <c r="BA198" i="28"/>
  <c r="AD198" i="28"/>
  <c r="AO198" i="28"/>
  <c r="AA198" i="28"/>
  <c r="X198" i="28"/>
  <c r="AQ205" i="28"/>
  <c r="AD205" i="28"/>
  <c r="AC205" i="28"/>
  <c r="BA205" i="28"/>
  <c r="AA205" i="28"/>
  <c r="X205" i="28"/>
  <c r="AO205" i="28"/>
  <c r="AQ212" i="28"/>
  <c r="AC212" i="28"/>
  <c r="BA212" i="28"/>
  <c r="AD212" i="28"/>
  <c r="X212" i="28"/>
  <c r="AO212" i="28"/>
  <c r="AA212" i="28"/>
  <c r="AQ219" i="28"/>
  <c r="AC219" i="28"/>
  <c r="BA219" i="28"/>
  <c r="X219" i="28"/>
  <c r="AA219" i="28"/>
  <c r="AO219" i="28"/>
  <c r="AD219" i="28"/>
  <c r="AQ226" i="28"/>
  <c r="AC226" i="28"/>
  <c r="AD226" i="28"/>
  <c r="AA226" i="28"/>
  <c r="BA226" i="28"/>
  <c r="AO226" i="28"/>
  <c r="X226" i="28"/>
  <c r="AQ233" i="28"/>
  <c r="BA233" i="28"/>
  <c r="AC233" i="28"/>
  <c r="AO233" i="28"/>
  <c r="X233" i="28"/>
  <c r="AD233" i="28"/>
  <c r="AA233" i="28"/>
  <c r="AQ240" i="28"/>
  <c r="AC240" i="28"/>
  <c r="BA240" i="28"/>
  <c r="AD240" i="28"/>
  <c r="AA240" i="28"/>
  <c r="X240" i="28"/>
  <c r="AO240" i="28"/>
  <c r="AQ247" i="28"/>
  <c r="AC247" i="28"/>
  <c r="BA247" i="28"/>
  <c r="AO247" i="28"/>
  <c r="AA247" i="28"/>
  <c r="AD247" i="28"/>
  <c r="X247" i="28"/>
  <c r="AQ254" i="28"/>
  <c r="AC254" i="28"/>
  <c r="AD254" i="28"/>
  <c r="BA254" i="28"/>
  <c r="AA254" i="28"/>
  <c r="X254" i="28"/>
  <c r="AO254" i="28"/>
  <c r="AQ261" i="28"/>
  <c r="BA261" i="28"/>
  <c r="AC261" i="28"/>
  <c r="AA261" i="28"/>
  <c r="X261" i="28"/>
  <c r="AO261" i="28"/>
  <c r="AD261" i="28"/>
  <c r="AQ268" i="28"/>
  <c r="AC268" i="28"/>
  <c r="BA268" i="28"/>
  <c r="AD268" i="28"/>
  <c r="X268" i="28"/>
  <c r="AA268" i="28"/>
  <c r="AO268" i="28"/>
  <c r="AQ275" i="28"/>
  <c r="BA275" i="28"/>
  <c r="AD275" i="28"/>
  <c r="AA275" i="28"/>
  <c r="AC275" i="28"/>
  <c r="AO275" i="28"/>
  <c r="X275" i="28"/>
  <c r="AQ282" i="28"/>
  <c r="AC282" i="28"/>
  <c r="BA282" i="28"/>
  <c r="AD282" i="28"/>
  <c r="AA282" i="28"/>
  <c r="X282" i="28"/>
  <c r="AO282" i="28"/>
  <c r="AQ289" i="28"/>
  <c r="BA289" i="28"/>
  <c r="X289" i="28"/>
  <c r="AC289" i="28"/>
  <c r="AD289" i="28"/>
  <c r="AA289" i="28"/>
  <c r="AO289" i="28"/>
  <c r="AQ296" i="28"/>
  <c r="AC296" i="28"/>
  <c r="AD296" i="28"/>
  <c r="AA296" i="28"/>
  <c r="AO296" i="28"/>
  <c r="BA296" i="28"/>
  <c r="X296" i="28"/>
  <c r="AQ303" i="28"/>
  <c r="BA303" i="28"/>
  <c r="AD303" i="28"/>
  <c r="X303" i="28"/>
  <c r="AA303" i="28"/>
  <c r="AC303" i="28"/>
  <c r="AO303" i="28"/>
  <c r="AQ310" i="28"/>
  <c r="AC310" i="28"/>
  <c r="AD310" i="28"/>
  <c r="BA310" i="28"/>
  <c r="AA310" i="28"/>
  <c r="AO310" i="28"/>
  <c r="X310" i="28"/>
  <c r="AQ317" i="28"/>
  <c r="AA317" i="28"/>
  <c r="BA317" i="28"/>
  <c r="X317" i="28"/>
  <c r="AO317" i="28"/>
  <c r="AC317" i="28"/>
  <c r="AD317" i="28"/>
  <c r="AQ324" i="28"/>
  <c r="AC324" i="28"/>
  <c r="AD324" i="28"/>
  <c r="BA324" i="28"/>
  <c r="X324" i="28"/>
  <c r="AA324" i="28"/>
  <c r="AO324" i="28"/>
  <c r="AQ331" i="28"/>
  <c r="AD331" i="28"/>
  <c r="BA331" i="28"/>
  <c r="AC331" i="28"/>
  <c r="AA331" i="28"/>
  <c r="AO331" i="28"/>
  <c r="X331" i="28"/>
  <c r="AQ338" i="28"/>
  <c r="AC338" i="28"/>
  <c r="AD338" i="28"/>
  <c r="X338" i="28"/>
  <c r="AA338" i="28"/>
  <c r="BA338" i="28"/>
  <c r="AO338" i="28"/>
  <c r="AQ345" i="28"/>
  <c r="BA345" i="28"/>
  <c r="AD345" i="28"/>
  <c r="AA345" i="28"/>
  <c r="AC345" i="28"/>
  <c r="AO345" i="28"/>
  <c r="X345" i="28"/>
  <c r="AQ352" i="28"/>
  <c r="AC352" i="28"/>
  <c r="AD352" i="28"/>
  <c r="BA352" i="28"/>
  <c r="X352" i="28"/>
  <c r="AA352" i="28"/>
  <c r="AO352" i="28"/>
  <c r="AQ359" i="28"/>
  <c r="AC359" i="28"/>
  <c r="AD359" i="28"/>
  <c r="AA359" i="28"/>
  <c r="X359" i="28"/>
  <c r="BA359" i="28"/>
  <c r="AO359" i="28"/>
  <c r="AQ366" i="28"/>
  <c r="AC366" i="28"/>
  <c r="AD366" i="28"/>
  <c r="X366" i="28"/>
  <c r="AO366" i="28"/>
  <c r="AA366" i="28"/>
  <c r="BA366" i="28"/>
  <c r="AQ373" i="28"/>
  <c r="AC373" i="28"/>
  <c r="X373" i="28"/>
  <c r="AA373" i="28"/>
  <c r="BA373" i="28"/>
  <c r="AD373" i="28"/>
  <c r="AO373" i="28"/>
  <c r="AQ380" i="28"/>
  <c r="AC380" i="28"/>
  <c r="AD380" i="28"/>
  <c r="AA380" i="28"/>
  <c r="BA380" i="28"/>
  <c r="X380" i="28"/>
  <c r="AO380" i="28"/>
  <c r="AQ387" i="28"/>
  <c r="AC387" i="28"/>
  <c r="BA387" i="28"/>
  <c r="AD387" i="28"/>
  <c r="X387" i="28"/>
  <c r="AO387" i="28"/>
  <c r="AA387" i="28"/>
  <c r="AQ394" i="28"/>
  <c r="AC394" i="28"/>
  <c r="AD394" i="28"/>
  <c r="BA394" i="28"/>
  <c r="AO394" i="28"/>
  <c r="X394" i="28"/>
  <c r="AA394" i="28"/>
  <c r="AQ401" i="28"/>
  <c r="AA401" i="28"/>
  <c r="AC401" i="28"/>
  <c r="AD401" i="28"/>
  <c r="BA401" i="28"/>
  <c r="AO401" i="28"/>
  <c r="X401" i="28"/>
  <c r="AQ408" i="28"/>
  <c r="AC408" i="28"/>
  <c r="AD408" i="28"/>
  <c r="BA408" i="28"/>
  <c r="AA408" i="28"/>
  <c r="X408" i="28"/>
  <c r="AO408" i="28"/>
  <c r="AQ415" i="28"/>
  <c r="AC415" i="28"/>
  <c r="AA415" i="28"/>
  <c r="BA415" i="28"/>
  <c r="X415" i="28"/>
  <c r="AD415" i="28"/>
  <c r="AO415" i="28"/>
  <c r="AQ422" i="28"/>
  <c r="AC422" i="28"/>
  <c r="AD422" i="28"/>
  <c r="BA422" i="28"/>
  <c r="AA422" i="28"/>
  <c r="AO422" i="28"/>
  <c r="X422" i="28"/>
  <c r="AQ429" i="28"/>
  <c r="AA429" i="28"/>
  <c r="AC429" i="28"/>
  <c r="AD429" i="28"/>
  <c r="BA429" i="28"/>
  <c r="AO429" i="28"/>
  <c r="X429" i="28"/>
  <c r="AQ436" i="28"/>
  <c r="AC436" i="28"/>
  <c r="AD436" i="28"/>
  <c r="BA436" i="28"/>
  <c r="AA436" i="28"/>
  <c r="X436" i="28"/>
  <c r="AO436" i="28"/>
  <c r="AQ443" i="28"/>
  <c r="AA443" i="28"/>
  <c r="AC443" i="28"/>
  <c r="BA443" i="28"/>
  <c r="X443" i="28"/>
  <c r="AD443" i="28"/>
  <c r="AO443" i="28"/>
  <c r="AQ450" i="28"/>
  <c r="AC450" i="28"/>
  <c r="AD450" i="28"/>
  <c r="BA450" i="28"/>
  <c r="X450" i="28"/>
  <c r="AA450" i="28"/>
  <c r="AO450" i="28"/>
  <c r="AQ457" i="28"/>
  <c r="BA457" i="28"/>
  <c r="AD457" i="28"/>
  <c r="AA457" i="28"/>
  <c r="AC457" i="28"/>
  <c r="AO457" i="28"/>
  <c r="X457" i="28"/>
  <c r="AQ464" i="28"/>
  <c r="AC464" i="28"/>
  <c r="AD464" i="28"/>
  <c r="BA464" i="28"/>
  <c r="X464" i="28"/>
  <c r="AA464" i="28"/>
  <c r="AO464" i="28"/>
  <c r="AQ471" i="28"/>
  <c r="AA471" i="28"/>
  <c r="BA471" i="28"/>
  <c r="AD471" i="28"/>
  <c r="AC471" i="28"/>
  <c r="AO471" i="28"/>
  <c r="X471" i="28"/>
  <c r="AQ478" i="28"/>
  <c r="AC478" i="28"/>
  <c r="AD478" i="28"/>
  <c r="BA478" i="28"/>
  <c r="X478" i="28"/>
  <c r="AA478" i="28"/>
  <c r="AO478" i="28"/>
  <c r="AQ485" i="28"/>
  <c r="AA485" i="28"/>
  <c r="AO485" i="28"/>
  <c r="BA485" i="28"/>
  <c r="AC485" i="28"/>
  <c r="AD485" i="28"/>
  <c r="X485" i="28"/>
  <c r="AQ492" i="28"/>
  <c r="AC492" i="28"/>
  <c r="AD492" i="28"/>
  <c r="BA492" i="28"/>
  <c r="AA492" i="28"/>
  <c r="AO492" i="28"/>
  <c r="X492" i="28"/>
  <c r="AQ499" i="28"/>
  <c r="BA499" i="28"/>
  <c r="AD499" i="28"/>
  <c r="AA499" i="28"/>
  <c r="AC499" i="28"/>
  <c r="X499" i="28"/>
  <c r="AO499" i="28"/>
  <c r="AQ506" i="28"/>
  <c r="AC506" i="28"/>
  <c r="AD506" i="28"/>
  <c r="BA506" i="28"/>
  <c r="AO506" i="28"/>
  <c r="AA506" i="28"/>
  <c r="X506" i="28"/>
  <c r="AD33" i="28"/>
  <c r="AC33" i="28"/>
  <c r="AO33" i="28"/>
  <c r="AG33" i="28" s="1"/>
  <c r="BA33" i="28"/>
  <c r="AQ82" i="28"/>
  <c r="BA82" i="28"/>
  <c r="AC82" i="28"/>
  <c r="AD82" i="28"/>
  <c r="AO82" i="28"/>
  <c r="X82" i="28"/>
  <c r="AA82" i="28"/>
  <c r="AQ89" i="28"/>
  <c r="AC89" i="28"/>
  <c r="AA89" i="28"/>
  <c r="BA89" i="28"/>
  <c r="AD89" i="28"/>
  <c r="X89" i="28"/>
  <c r="AO89" i="28"/>
  <c r="AQ110" i="28"/>
  <c r="BA110" i="28"/>
  <c r="AC110" i="28"/>
  <c r="AD110" i="28"/>
  <c r="AO110" i="28"/>
  <c r="X110" i="28"/>
  <c r="AA110" i="28"/>
  <c r="AQ138" i="28"/>
  <c r="BA138" i="28"/>
  <c r="AC138" i="28"/>
  <c r="AD138" i="28"/>
  <c r="X138" i="28"/>
  <c r="AA138" i="28"/>
  <c r="AO138" i="28"/>
  <c r="AQ187" i="28"/>
  <c r="AA187" i="28"/>
  <c r="AD187" i="28"/>
  <c r="BA187" i="28"/>
  <c r="AC187" i="28"/>
  <c r="X187" i="28"/>
  <c r="AO187" i="28"/>
  <c r="AQ194" i="28"/>
  <c r="BA194" i="28"/>
  <c r="AC194" i="28"/>
  <c r="AD194" i="28"/>
  <c r="AA194" i="28"/>
  <c r="X194" i="28"/>
  <c r="AO194" i="28"/>
  <c r="AQ222" i="28"/>
  <c r="BA222" i="28"/>
  <c r="AC222" i="28"/>
  <c r="AD222" i="28"/>
  <c r="AA222" i="28"/>
  <c r="X222" i="28"/>
  <c r="AO222" i="28"/>
  <c r="AQ264" i="28"/>
  <c r="BA264" i="28"/>
  <c r="AC264" i="28"/>
  <c r="AD264" i="28"/>
  <c r="AA264" i="28"/>
  <c r="AO264" i="28"/>
  <c r="X264" i="28"/>
  <c r="AQ299" i="28"/>
  <c r="AA299" i="28"/>
  <c r="AC299" i="28"/>
  <c r="AD299" i="28"/>
  <c r="X299" i="28"/>
  <c r="BA299" i="28"/>
  <c r="AO299" i="28"/>
  <c r="AQ320" i="28"/>
  <c r="BA320" i="28"/>
  <c r="AC320" i="28"/>
  <c r="AD320" i="28"/>
  <c r="AA320" i="28"/>
  <c r="X320" i="28"/>
  <c r="AO320" i="28"/>
  <c r="AQ348" i="28"/>
  <c r="BA348" i="28"/>
  <c r="AC348" i="28"/>
  <c r="AD348" i="28"/>
  <c r="AA348" i="28"/>
  <c r="X348" i="28"/>
  <c r="AO348" i="28"/>
  <c r="AQ376" i="28"/>
  <c r="BA376" i="28"/>
  <c r="AC376" i="28"/>
  <c r="AA376" i="28"/>
  <c r="AO376" i="28"/>
  <c r="X376" i="28"/>
  <c r="AD376" i="28"/>
  <c r="AQ383" i="28"/>
  <c r="AD383" i="28"/>
  <c r="AA383" i="28"/>
  <c r="BA383" i="28"/>
  <c r="X383" i="28"/>
  <c r="AC383" i="28"/>
  <c r="AO383" i="28"/>
  <c r="AQ404" i="28"/>
  <c r="BA404" i="28"/>
  <c r="AC404" i="28"/>
  <c r="AD404" i="28"/>
  <c r="AA404" i="28"/>
  <c r="X404" i="28"/>
  <c r="AO404" i="28"/>
  <c r="AQ432" i="28"/>
  <c r="BA432" i="28"/>
  <c r="AC432" i="28"/>
  <c r="AD432" i="28"/>
  <c r="X432" i="28"/>
  <c r="AA432" i="28"/>
  <c r="AO432" i="28"/>
  <c r="AQ54" i="28"/>
  <c r="BA54" i="28"/>
  <c r="AC54" i="28"/>
  <c r="AD54" i="28"/>
  <c r="AA54" i="28"/>
  <c r="X54" i="28"/>
  <c r="AO54" i="28"/>
  <c r="AQ61" i="28"/>
  <c r="AC61" i="28"/>
  <c r="AA61" i="28"/>
  <c r="X61" i="28"/>
  <c r="AD61" i="28"/>
  <c r="BA61" i="28"/>
  <c r="AO61" i="28"/>
  <c r="AQ96" i="28"/>
  <c r="BA96" i="28"/>
  <c r="AC96" i="28"/>
  <c r="AD96" i="28"/>
  <c r="AA96" i="28"/>
  <c r="AO96" i="28"/>
  <c r="X96" i="28"/>
  <c r="AQ152" i="28"/>
  <c r="BA152" i="28"/>
  <c r="AC152" i="28"/>
  <c r="AD152" i="28"/>
  <c r="X152" i="28"/>
  <c r="AA152" i="28"/>
  <c r="AO152" i="28"/>
  <c r="AQ180" i="28"/>
  <c r="BA180" i="28"/>
  <c r="AC180" i="28"/>
  <c r="AD180" i="28"/>
  <c r="AA180" i="28"/>
  <c r="AO180" i="28"/>
  <c r="X180" i="28"/>
  <c r="AQ215" i="28"/>
  <c r="BA215" i="28"/>
  <c r="AA215" i="28"/>
  <c r="AC215" i="28"/>
  <c r="AO215" i="28"/>
  <c r="AD215" i="28"/>
  <c r="X215" i="28"/>
  <c r="AQ236" i="28"/>
  <c r="BA236" i="28"/>
  <c r="AC236" i="28"/>
  <c r="AD236" i="28"/>
  <c r="X236" i="28"/>
  <c r="AA236" i="28"/>
  <c r="AO236" i="28"/>
  <c r="AQ243" i="28"/>
  <c r="AC243" i="28"/>
  <c r="AA243" i="28"/>
  <c r="AD243" i="28"/>
  <c r="X243" i="28"/>
  <c r="AO243" i="28"/>
  <c r="BA243" i="28"/>
  <c r="AQ250" i="28"/>
  <c r="BA250" i="28"/>
  <c r="AC250" i="28"/>
  <c r="AD250" i="28"/>
  <c r="AA250" i="28"/>
  <c r="AO250" i="28"/>
  <c r="X250" i="28"/>
  <c r="AQ278" i="28"/>
  <c r="BA278" i="28"/>
  <c r="AC278" i="28"/>
  <c r="AD278" i="28"/>
  <c r="AO278" i="28"/>
  <c r="AA278" i="28"/>
  <c r="X278" i="28"/>
  <c r="AQ306" i="28"/>
  <c r="BA306" i="28"/>
  <c r="AC306" i="28"/>
  <c r="AD306" i="28"/>
  <c r="AA306" i="28"/>
  <c r="AO306" i="28"/>
  <c r="X306" i="28"/>
  <c r="AQ362" i="28"/>
  <c r="BA362" i="28"/>
  <c r="AC362" i="28"/>
  <c r="AD362" i="28"/>
  <c r="AA362" i="28"/>
  <c r="X362" i="28"/>
  <c r="AO362" i="28"/>
  <c r="AQ425" i="28"/>
  <c r="AD425" i="28"/>
  <c r="AA425" i="28"/>
  <c r="AO425" i="28"/>
  <c r="X425" i="28"/>
  <c r="AC425" i="28"/>
  <c r="BA425" i="28"/>
  <c r="AQ481" i="28"/>
  <c r="AD481" i="28"/>
  <c r="AC481" i="28"/>
  <c r="AA481" i="28"/>
  <c r="X481" i="28"/>
  <c r="BA481" i="28"/>
  <c r="AO481" i="28"/>
  <c r="AQ495" i="28"/>
  <c r="AD495" i="28"/>
  <c r="AC495" i="28"/>
  <c r="AA495" i="28"/>
  <c r="AO495" i="28"/>
  <c r="BA495" i="28"/>
  <c r="X495" i="28"/>
  <c r="AO34" i="28"/>
  <c r="AG34" i="28" s="1"/>
  <c r="AQ41" i="28"/>
  <c r="AD41" i="28"/>
  <c r="BA41" i="28"/>
  <c r="X41" i="28"/>
  <c r="AA41" i="28"/>
  <c r="AC41" i="28"/>
  <c r="AO41" i="28"/>
  <c r="AQ48" i="28"/>
  <c r="AC48" i="28"/>
  <c r="BA48" i="28"/>
  <c r="AD48" i="28"/>
  <c r="AO48" i="28"/>
  <c r="X48" i="28"/>
  <c r="AA48" i="28"/>
  <c r="AQ55" i="28"/>
  <c r="AD55" i="28"/>
  <c r="BA55" i="28"/>
  <c r="AC55" i="28"/>
  <c r="AA55" i="28"/>
  <c r="AO55" i="28"/>
  <c r="X55" i="28"/>
  <c r="AQ62" i="28"/>
  <c r="AC62" i="28"/>
  <c r="AD62" i="28"/>
  <c r="BA62" i="28"/>
  <c r="AA62" i="28"/>
  <c r="X62" i="28"/>
  <c r="AO62" i="28"/>
  <c r="AQ69" i="28"/>
  <c r="AD69" i="28"/>
  <c r="AA69" i="28"/>
  <c r="X69" i="28"/>
  <c r="AO69" i="28"/>
  <c r="AC69" i="28"/>
  <c r="BA69" i="28"/>
  <c r="AQ76" i="28"/>
  <c r="AC76" i="28"/>
  <c r="AD76" i="28"/>
  <c r="AA76" i="28"/>
  <c r="X76" i="28"/>
  <c r="AO76" i="28"/>
  <c r="BA76" i="28"/>
  <c r="AQ83" i="28"/>
  <c r="AD83" i="28"/>
  <c r="BA83" i="28"/>
  <c r="AC83" i="28"/>
  <c r="X83" i="28"/>
  <c r="AO83" i="28"/>
  <c r="AA83" i="28"/>
  <c r="AQ90" i="28"/>
  <c r="AC90" i="28"/>
  <c r="AA90" i="28"/>
  <c r="BA90" i="28"/>
  <c r="X90" i="28"/>
  <c r="AD90" i="28"/>
  <c r="AO90" i="28"/>
  <c r="AQ97" i="28"/>
  <c r="AD97" i="28"/>
  <c r="BA97" i="28"/>
  <c r="AC97" i="28"/>
  <c r="AO97" i="28"/>
  <c r="AA97" i="28"/>
  <c r="X97" i="28"/>
  <c r="AQ104" i="28"/>
  <c r="AC104" i="28"/>
  <c r="AA104" i="28"/>
  <c r="AD104" i="28"/>
  <c r="BA104" i="28"/>
  <c r="X104" i="28"/>
  <c r="AO104" i="28"/>
  <c r="AQ111" i="28"/>
  <c r="AC111" i="28"/>
  <c r="BA111" i="28"/>
  <c r="AD111" i="28"/>
  <c r="AA111" i="28"/>
  <c r="AO111" i="28"/>
  <c r="X111" i="28"/>
  <c r="AQ118" i="28"/>
  <c r="AC118" i="28"/>
  <c r="BA118" i="28"/>
  <c r="X118" i="28"/>
  <c r="AA118" i="28"/>
  <c r="AD118" i="28"/>
  <c r="AO118" i="28"/>
  <c r="AQ125" i="28"/>
  <c r="AD125" i="28"/>
  <c r="AC125" i="28"/>
  <c r="BA125" i="28"/>
  <c r="AA125" i="28"/>
  <c r="X125" i="28"/>
  <c r="AO125" i="28"/>
  <c r="AQ132" i="28"/>
  <c r="AC132" i="28"/>
  <c r="BA132" i="28"/>
  <c r="X132" i="28"/>
  <c r="AO132" i="28"/>
  <c r="AA132" i="28"/>
  <c r="AD132" i="28"/>
  <c r="AQ139" i="28"/>
  <c r="AD139" i="28"/>
  <c r="BA139" i="28"/>
  <c r="AA139" i="28"/>
  <c r="X139" i="28"/>
  <c r="AC139" i="28"/>
  <c r="AO139" i="28"/>
  <c r="AQ146" i="28"/>
  <c r="AC146" i="28"/>
  <c r="AD146" i="28"/>
  <c r="BA146" i="28"/>
  <c r="AA146" i="28"/>
  <c r="X146" i="28"/>
  <c r="AO146" i="28"/>
  <c r="AQ153" i="28"/>
  <c r="AD153" i="28"/>
  <c r="AC153" i="28"/>
  <c r="BA153" i="28"/>
  <c r="AA153" i="28"/>
  <c r="AO153" i="28"/>
  <c r="X153" i="28"/>
  <c r="AQ160" i="28"/>
  <c r="AC160" i="28"/>
  <c r="AD160" i="28"/>
  <c r="AO160" i="28"/>
  <c r="X160" i="28"/>
  <c r="BA160" i="28"/>
  <c r="AA160" i="28"/>
  <c r="AQ167" i="28"/>
  <c r="AD167" i="28"/>
  <c r="AA167" i="28"/>
  <c r="X167" i="28"/>
  <c r="AO167" i="28"/>
  <c r="AC167" i="28"/>
  <c r="BA167" i="28"/>
  <c r="AQ174" i="28"/>
  <c r="AC174" i="28"/>
  <c r="BA174" i="28"/>
  <c r="AD174" i="28"/>
  <c r="AA174" i="28"/>
  <c r="X174" i="28"/>
  <c r="AO174" i="28"/>
  <c r="AQ181" i="28"/>
  <c r="AD181" i="28"/>
  <c r="AC181" i="28"/>
  <c r="BA181" i="28"/>
  <c r="AA181" i="28"/>
  <c r="X181" i="28"/>
  <c r="AO181" i="28"/>
  <c r="AQ188" i="28"/>
  <c r="AC188" i="28"/>
  <c r="BA188" i="28"/>
  <c r="AA188" i="28"/>
  <c r="X188" i="28"/>
  <c r="AD188" i="28"/>
  <c r="AO188" i="28"/>
  <c r="AQ195" i="28"/>
  <c r="AD195" i="28"/>
  <c r="AC195" i="28"/>
  <c r="BA195" i="28"/>
  <c r="AA195" i="28"/>
  <c r="AO195" i="28"/>
  <c r="X195" i="28"/>
  <c r="AQ202" i="28"/>
  <c r="AC202" i="28"/>
  <c r="AA202" i="28"/>
  <c r="X202" i="28"/>
  <c r="AD202" i="28"/>
  <c r="BA202" i="28"/>
  <c r="AO202" i="28"/>
  <c r="AQ209" i="28"/>
  <c r="AD209" i="28"/>
  <c r="AA209" i="28"/>
  <c r="AC209" i="28"/>
  <c r="BA209" i="28"/>
  <c r="X209" i="28"/>
  <c r="AO209" i="28"/>
  <c r="AQ216" i="28"/>
  <c r="AC216" i="28"/>
  <c r="BA216" i="28"/>
  <c r="AD216" i="28"/>
  <c r="X216" i="28"/>
  <c r="AA216" i="28"/>
  <c r="AO216" i="28"/>
  <c r="AQ223" i="28"/>
  <c r="AD223" i="28"/>
  <c r="BA223" i="28"/>
  <c r="AC223" i="28"/>
  <c r="X223" i="28"/>
  <c r="AA223" i="28"/>
  <c r="AO223" i="28"/>
  <c r="AQ230" i="28"/>
  <c r="AC230" i="28"/>
  <c r="AA230" i="28"/>
  <c r="BA230" i="28"/>
  <c r="AO230" i="28"/>
  <c r="X230" i="28"/>
  <c r="AD230" i="28"/>
  <c r="AQ237" i="28"/>
  <c r="AD237" i="28"/>
  <c r="BA237" i="28"/>
  <c r="X237" i="28"/>
  <c r="AA237" i="28"/>
  <c r="AC237" i="28"/>
  <c r="AO237" i="28"/>
  <c r="AQ244" i="28"/>
  <c r="AC244" i="28"/>
  <c r="BA244" i="28"/>
  <c r="AD244" i="28"/>
  <c r="AA244" i="28"/>
  <c r="X244" i="28"/>
  <c r="AO244" i="28"/>
  <c r="AQ251" i="28"/>
  <c r="AD251" i="28"/>
  <c r="BA251" i="28"/>
  <c r="AA251" i="28"/>
  <c r="X251" i="28"/>
  <c r="AO251" i="28"/>
  <c r="AC251" i="28"/>
  <c r="AQ258" i="28"/>
  <c r="AC258" i="28"/>
  <c r="BA258" i="28"/>
  <c r="AD258" i="28"/>
  <c r="AO258" i="28"/>
  <c r="X258" i="28"/>
  <c r="AA258" i="28"/>
  <c r="AQ265" i="28"/>
  <c r="AD265" i="28"/>
  <c r="AC265" i="28"/>
  <c r="AO265" i="28"/>
  <c r="X265" i="28"/>
  <c r="AA265" i="28"/>
  <c r="BA265" i="28"/>
  <c r="AQ272" i="28"/>
  <c r="AC272" i="28"/>
  <c r="AA272" i="28"/>
  <c r="X272" i="28"/>
  <c r="BA272" i="28"/>
  <c r="AD272" i="28"/>
  <c r="AO272" i="28"/>
  <c r="AQ279" i="28"/>
  <c r="AD279" i="28"/>
  <c r="BA279" i="28"/>
  <c r="AA279" i="28"/>
  <c r="AC279" i="28"/>
  <c r="X279" i="28"/>
  <c r="AO279" i="28"/>
  <c r="AQ286" i="28"/>
  <c r="AC286" i="28"/>
  <c r="BA286" i="28"/>
  <c r="AA286" i="28"/>
  <c r="X286" i="28"/>
  <c r="AD286" i="28"/>
  <c r="AO286" i="28"/>
  <c r="AQ293" i="28"/>
  <c r="AD293" i="28"/>
  <c r="AC293" i="28"/>
  <c r="X293" i="28"/>
  <c r="AO293" i="28"/>
  <c r="BA293" i="28"/>
  <c r="AA293" i="28"/>
  <c r="AQ300" i="28"/>
  <c r="AC300" i="28"/>
  <c r="AA300" i="28"/>
  <c r="AD300" i="28"/>
  <c r="X300" i="28"/>
  <c r="BA300" i="28"/>
  <c r="AO300" i="28"/>
  <c r="AQ307" i="28"/>
  <c r="AC307" i="28"/>
  <c r="BA307" i="28"/>
  <c r="AD307" i="28"/>
  <c r="AA307" i="28"/>
  <c r="AO307" i="28"/>
  <c r="X307" i="28"/>
  <c r="AQ314" i="28"/>
  <c r="AC314" i="28"/>
  <c r="BA314" i="28"/>
  <c r="AA314" i="28"/>
  <c r="AO314" i="28"/>
  <c r="X314" i="28"/>
  <c r="AD314" i="28"/>
  <c r="AQ321" i="28"/>
  <c r="AD321" i="28"/>
  <c r="AC321" i="28"/>
  <c r="BA321" i="28"/>
  <c r="X321" i="28"/>
  <c r="AO321" i="28"/>
  <c r="AA321" i="28"/>
  <c r="AQ328" i="28"/>
  <c r="AC328" i="28"/>
  <c r="BA328" i="28"/>
  <c r="AD328" i="28"/>
  <c r="AO328" i="28"/>
  <c r="X328" i="28"/>
  <c r="AA328" i="28"/>
  <c r="AQ335" i="28"/>
  <c r="AD335" i="28"/>
  <c r="BA335" i="28"/>
  <c r="X335" i="28"/>
  <c r="AA335" i="28"/>
  <c r="AO335" i="28"/>
  <c r="AC335" i="28"/>
  <c r="AQ342" i="28"/>
  <c r="AC342" i="28"/>
  <c r="AD342" i="28"/>
  <c r="X342" i="28"/>
  <c r="AA342" i="28"/>
  <c r="AO342" i="28"/>
  <c r="BA342" i="28"/>
  <c r="AQ349" i="28"/>
  <c r="AC349" i="28"/>
  <c r="BA349" i="28"/>
  <c r="AD349" i="28"/>
  <c r="AO349" i="28"/>
  <c r="AA349" i="28"/>
  <c r="X349" i="28"/>
  <c r="AQ356" i="28"/>
  <c r="AC356" i="28"/>
  <c r="BA356" i="28"/>
  <c r="AD356" i="28"/>
  <c r="AA356" i="28"/>
  <c r="AO356" i="28"/>
  <c r="X356" i="28"/>
  <c r="AQ363" i="28"/>
  <c r="AC363" i="28"/>
  <c r="BA363" i="28"/>
  <c r="X363" i="28"/>
  <c r="AA363" i="28"/>
  <c r="AD363" i="28"/>
  <c r="AO363" i="28"/>
  <c r="AQ370" i="28"/>
  <c r="AD370" i="28"/>
  <c r="AC370" i="28"/>
  <c r="BA370" i="28"/>
  <c r="X370" i="28"/>
  <c r="AO370" i="28"/>
  <c r="AA370" i="28"/>
  <c r="AQ377" i="28"/>
  <c r="AC377" i="28"/>
  <c r="BA377" i="28"/>
  <c r="AA377" i="28"/>
  <c r="X377" i="28"/>
  <c r="AO377" i="28"/>
  <c r="AD377" i="28"/>
  <c r="AQ384" i="28"/>
  <c r="AD384" i="28"/>
  <c r="AC384" i="28"/>
  <c r="BA384" i="28"/>
  <c r="X384" i="28"/>
  <c r="AA384" i="28"/>
  <c r="AO384" i="28"/>
  <c r="AQ391" i="28"/>
  <c r="AD391" i="28"/>
  <c r="AC391" i="28"/>
  <c r="BA391" i="28"/>
  <c r="AA391" i="28"/>
  <c r="AO391" i="28"/>
  <c r="X391" i="28"/>
  <c r="AQ398" i="28"/>
  <c r="AD398" i="28"/>
  <c r="AC398" i="28"/>
  <c r="X398" i="28"/>
  <c r="BA398" i="28"/>
  <c r="AO398" i="28"/>
  <c r="AA398" i="28"/>
  <c r="AQ405" i="28"/>
  <c r="AD405" i="28"/>
  <c r="AA405" i="28"/>
  <c r="X405" i="28"/>
  <c r="BA405" i="28"/>
  <c r="AO405" i="28"/>
  <c r="AC405" i="28"/>
  <c r="AQ412" i="28"/>
  <c r="AD412" i="28"/>
  <c r="AC412" i="28"/>
  <c r="BA412" i="28"/>
  <c r="AO412" i="28"/>
  <c r="AA412" i="28"/>
  <c r="X412" i="28"/>
  <c r="AQ419" i="28"/>
  <c r="BA419" i="28"/>
  <c r="AA419" i="28"/>
  <c r="AC419" i="28"/>
  <c r="X419" i="28"/>
  <c r="AO419" i="28"/>
  <c r="AD419" i="28"/>
  <c r="AQ426" i="28"/>
  <c r="AD426" i="28"/>
  <c r="AC426" i="28"/>
  <c r="BA426" i="28"/>
  <c r="X426" i="28"/>
  <c r="AO426" i="28"/>
  <c r="AA426" i="28"/>
  <c r="AQ433" i="28"/>
  <c r="AD433" i="28"/>
  <c r="AC433" i="28"/>
  <c r="AA433" i="28"/>
  <c r="AO433" i="28"/>
  <c r="X433" i="28"/>
  <c r="BA433" i="28"/>
  <c r="AQ440" i="28"/>
  <c r="AD440" i="28"/>
  <c r="AC440" i="28"/>
  <c r="BA440" i="28"/>
  <c r="AA440" i="28"/>
  <c r="AO440" i="28"/>
  <c r="X440" i="28"/>
  <c r="AQ447" i="28"/>
  <c r="AC447" i="28"/>
  <c r="X447" i="28"/>
  <c r="BA447" i="28"/>
  <c r="AD447" i="28"/>
  <c r="AA447" i="28"/>
  <c r="AO447" i="28"/>
  <c r="AQ454" i="28"/>
  <c r="AD454" i="28"/>
  <c r="AC454" i="28"/>
  <c r="BA454" i="28"/>
  <c r="AO454" i="28"/>
  <c r="X454" i="28"/>
  <c r="AA454" i="28"/>
  <c r="AQ461" i="28"/>
  <c r="AD461" i="28"/>
  <c r="BA461" i="28"/>
  <c r="AC461" i="28"/>
  <c r="X461" i="28"/>
  <c r="AA461" i="28"/>
  <c r="AO461" i="28"/>
  <c r="AQ468" i="28"/>
  <c r="AD468" i="28"/>
  <c r="AC468" i="28"/>
  <c r="X468" i="28"/>
  <c r="BA468" i="28"/>
  <c r="AO468" i="28"/>
  <c r="AA468" i="28"/>
  <c r="AQ475" i="28"/>
  <c r="AA475" i="28"/>
  <c r="AC475" i="28"/>
  <c r="AD475" i="28"/>
  <c r="AO475" i="28"/>
  <c r="X475" i="28"/>
  <c r="BA475" i="28"/>
  <c r="AQ482" i="28"/>
  <c r="AD482" i="28"/>
  <c r="AC482" i="28"/>
  <c r="BA482" i="28"/>
  <c r="AA482" i="28"/>
  <c r="X482" i="28"/>
  <c r="AO482" i="28"/>
  <c r="AQ489" i="28"/>
  <c r="AD489" i="28"/>
  <c r="BA489" i="28"/>
  <c r="AC489" i="28"/>
  <c r="X489" i="28"/>
  <c r="AO489" i="28"/>
  <c r="AA489" i="28"/>
  <c r="AQ496" i="28"/>
  <c r="AD496" i="28"/>
  <c r="AC496" i="28"/>
  <c r="X496" i="28"/>
  <c r="AA496" i="28"/>
  <c r="BA496" i="28"/>
  <c r="AO496" i="28"/>
  <c r="AQ503" i="28"/>
  <c r="BA503" i="28"/>
  <c r="AC503" i="28"/>
  <c r="AA503" i="28"/>
  <c r="AD503" i="28"/>
  <c r="X503" i="28"/>
  <c r="AO503" i="28"/>
  <c r="BA40" i="28"/>
  <c r="AC40" i="28"/>
  <c r="AD40" i="28"/>
  <c r="AO40" i="28"/>
  <c r="AG40" i="28" s="1"/>
  <c r="AQ75" i="28"/>
  <c r="AA75" i="28"/>
  <c r="AD75" i="28"/>
  <c r="BA75" i="28"/>
  <c r="AC75" i="28"/>
  <c r="AO75" i="28"/>
  <c r="X75" i="28"/>
  <c r="AQ117" i="28"/>
  <c r="AA117" i="28"/>
  <c r="AC117" i="28"/>
  <c r="BA117" i="28"/>
  <c r="X117" i="28"/>
  <c r="AO117" i="28"/>
  <c r="AD117" i="28"/>
  <c r="AQ124" i="28"/>
  <c r="BA124" i="28"/>
  <c r="AC124" i="28"/>
  <c r="AD124" i="28"/>
  <c r="AA124" i="28"/>
  <c r="X124" i="28"/>
  <c r="AO124" i="28"/>
  <c r="AQ159" i="28"/>
  <c r="AA159" i="28"/>
  <c r="AC159" i="28"/>
  <c r="AD159" i="28"/>
  <c r="AO159" i="28"/>
  <c r="BA159" i="28"/>
  <c r="X159" i="28"/>
  <c r="AQ166" i="28"/>
  <c r="BA166" i="28"/>
  <c r="AC166" i="28"/>
  <c r="AD166" i="28"/>
  <c r="AA166" i="28"/>
  <c r="X166" i="28"/>
  <c r="AO166" i="28"/>
  <c r="AQ173" i="28"/>
  <c r="BA173" i="28"/>
  <c r="AA173" i="28"/>
  <c r="AD173" i="28"/>
  <c r="AC173" i="28"/>
  <c r="AO173" i="28"/>
  <c r="X173" i="28"/>
  <c r="AQ257" i="28"/>
  <c r="AC257" i="28"/>
  <c r="AA257" i="28"/>
  <c r="X257" i="28"/>
  <c r="BA257" i="28"/>
  <c r="AD257" i="28"/>
  <c r="AO257" i="28"/>
  <c r="AQ369" i="28"/>
  <c r="AD369" i="28"/>
  <c r="BA369" i="28"/>
  <c r="AA369" i="28"/>
  <c r="AC369" i="28"/>
  <c r="AO369" i="28"/>
  <c r="X369" i="28"/>
  <c r="AQ411" i="28"/>
  <c r="AD411" i="28"/>
  <c r="BA411" i="28"/>
  <c r="AA411" i="28"/>
  <c r="AO411" i="28"/>
  <c r="X411" i="28"/>
  <c r="AC411" i="28"/>
  <c r="AQ418" i="28"/>
  <c r="BA418" i="28"/>
  <c r="AC418" i="28"/>
  <c r="AD418" i="28"/>
  <c r="X418" i="28"/>
  <c r="AA418" i="28"/>
  <c r="AO418" i="28"/>
  <c r="AQ488" i="28"/>
  <c r="BA488" i="28"/>
  <c r="AC488" i="28"/>
  <c r="AD488" i="28"/>
  <c r="X488" i="28"/>
  <c r="AO488" i="28"/>
  <c r="AA488" i="28"/>
  <c r="AQ502" i="28"/>
  <c r="BA502" i="28"/>
  <c r="AC502" i="28"/>
  <c r="AA502" i="28"/>
  <c r="AD502" i="28"/>
  <c r="X502" i="28"/>
  <c r="AO502" i="28"/>
  <c r="AQ47" i="28"/>
  <c r="AC47" i="28"/>
  <c r="AA47" i="28"/>
  <c r="X47" i="28"/>
  <c r="BA47" i="28"/>
  <c r="AD47" i="28"/>
  <c r="AO47" i="28"/>
  <c r="AQ131" i="28"/>
  <c r="BA131" i="28"/>
  <c r="AC131" i="28"/>
  <c r="AA131" i="28"/>
  <c r="AD131" i="28"/>
  <c r="AO131" i="28"/>
  <c r="X131" i="28"/>
  <c r="AQ201" i="28"/>
  <c r="AA201" i="28"/>
  <c r="BA201" i="28"/>
  <c r="AD201" i="28"/>
  <c r="AC201" i="28"/>
  <c r="X201" i="28"/>
  <c r="AO201" i="28"/>
  <c r="AQ208" i="28"/>
  <c r="BA208" i="28"/>
  <c r="AC208" i="28"/>
  <c r="AD208" i="28"/>
  <c r="AA208" i="28"/>
  <c r="X208" i="28"/>
  <c r="AO208" i="28"/>
  <c r="AQ285" i="28"/>
  <c r="AC285" i="28"/>
  <c r="AA285" i="28"/>
  <c r="AD285" i="28"/>
  <c r="BA285" i="28"/>
  <c r="X285" i="28"/>
  <c r="AO285" i="28"/>
  <c r="AQ292" i="28"/>
  <c r="BA292" i="28"/>
  <c r="AC292" i="28"/>
  <c r="AD292" i="28"/>
  <c r="X292" i="28"/>
  <c r="AO292" i="28"/>
  <c r="AA292" i="28"/>
  <c r="AQ327" i="28"/>
  <c r="BA327" i="28"/>
  <c r="AC327" i="28"/>
  <c r="AA327" i="28"/>
  <c r="AO327" i="28"/>
  <c r="AD327" i="28"/>
  <c r="X327" i="28"/>
  <c r="AQ334" i="28"/>
  <c r="BA334" i="28"/>
  <c r="AC334" i="28"/>
  <c r="X334" i="28"/>
  <c r="AO334" i="28"/>
  <c r="AD334" i="28"/>
  <c r="AA334" i="28"/>
  <c r="AQ341" i="28"/>
  <c r="BA341" i="28"/>
  <c r="AA341" i="28"/>
  <c r="AD341" i="28"/>
  <c r="X341" i="28"/>
  <c r="AC341" i="28"/>
  <c r="AO341" i="28"/>
  <c r="AQ446" i="28"/>
  <c r="BA446" i="28"/>
  <c r="AC446" i="28"/>
  <c r="X446" i="28"/>
  <c r="AD446" i="28"/>
  <c r="AA446" i="28"/>
  <c r="AO446" i="28"/>
  <c r="AQ453" i="28"/>
  <c r="AD453" i="28"/>
  <c r="AC453" i="28"/>
  <c r="AA453" i="28"/>
  <c r="BA453" i="28"/>
  <c r="X453" i="28"/>
  <c r="AO453" i="28"/>
  <c r="AQ460" i="28"/>
  <c r="BA460" i="28"/>
  <c r="AC460" i="28"/>
  <c r="AD460" i="28"/>
  <c r="AA460" i="28"/>
  <c r="X460" i="28"/>
  <c r="AO460" i="28"/>
  <c r="AQ467" i="28"/>
  <c r="AD467" i="28"/>
  <c r="AA467" i="28"/>
  <c r="AC467" i="28"/>
  <c r="X467" i="28"/>
  <c r="BA467" i="28"/>
  <c r="AO467" i="28"/>
  <c r="AO38" i="28"/>
  <c r="AG38" i="28" s="1"/>
  <c r="AQ45" i="28"/>
  <c r="AC45" i="28"/>
  <c r="BA45" i="28"/>
  <c r="AA45" i="28"/>
  <c r="AD45" i="28"/>
  <c r="X45" i="28"/>
  <c r="AO45" i="28"/>
  <c r="AQ52" i="28"/>
  <c r="BA52" i="28"/>
  <c r="X52" i="28"/>
  <c r="AO52" i="28"/>
  <c r="AA52" i="28"/>
  <c r="AC52" i="28"/>
  <c r="AD52" i="28"/>
  <c r="AQ59" i="28"/>
  <c r="AC59" i="28"/>
  <c r="BA59" i="28"/>
  <c r="AD59" i="28"/>
  <c r="AA59" i="28"/>
  <c r="X59" i="28"/>
  <c r="AO59" i="28"/>
  <c r="AQ66" i="28"/>
  <c r="BA66" i="28"/>
  <c r="AC66" i="28"/>
  <c r="X66" i="28"/>
  <c r="AO66" i="28"/>
  <c r="AD66" i="28"/>
  <c r="AA66" i="28"/>
  <c r="AQ73" i="28"/>
  <c r="AC73" i="28"/>
  <c r="AA73" i="28"/>
  <c r="AD73" i="28"/>
  <c r="BA73" i="28"/>
  <c r="AO73" i="28"/>
  <c r="X73" i="28"/>
  <c r="AQ80" i="28"/>
  <c r="BA80" i="28"/>
  <c r="AD80" i="28"/>
  <c r="AC80" i="28"/>
  <c r="AA80" i="28"/>
  <c r="X80" i="28"/>
  <c r="AO80" i="28"/>
  <c r="AQ87" i="28"/>
  <c r="AC87" i="28"/>
  <c r="BA87" i="28"/>
  <c r="AD87" i="28"/>
  <c r="AA87" i="28"/>
  <c r="X87" i="28"/>
  <c r="AO87" i="28"/>
  <c r="AQ94" i="28"/>
  <c r="BA94" i="28"/>
  <c r="AC94" i="28"/>
  <c r="AD94" i="28"/>
  <c r="AA94" i="28"/>
  <c r="X94" i="28"/>
  <c r="AO94" i="28"/>
  <c r="AQ101" i="28"/>
  <c r="AC101" i="28"/>
  <c r="AA101" i="28"/>
  <c r="X101" i="28"/>
  <c r="AD101" i="28"/>
  <c r="AO101" i="28"/>
  <c r="BA101" i="28"/>
  <c r="AQ108" i="28"/>
  <c r="BA108" i="28"/>
  <c r="AC108" i="28"/>
  <c r="AD108" i="28"/>
  <c r="AA108" i="28"/>
  <c r="X108" i="28"/>
  <c r="AO108" i="28"/>
  <c r="AQ115" i="28"/>
  <c r="AC115" i="28"/>
  <c r="BA115" i="28"/>
  <c r="AO115" i="28"/>
  <c r="AA115" i="28"/>
  <c r="X115" i="28"/>
  <c r="AD115" i="28"/>
  <c r="AQ122" i="28"/>
  <c r="BA122" i="28"/>
  <c r="AC122" i="28"/>
  <c r="AD122" i="28"/>
  <c r="AA122" i="28"/>
  <c r="X122" i="28"/>
  <c r="AO122" i="28"/>
  <c r="AQ129" i="28"/>
  <c r="AC129" i="28"/>
  <c r="BA129" i="28"/>
  <c r="AD129" i="28"/>
  <c r="AA129" i="28"/>
  <c r="X129" i="28"/>
  <c r="AO129" i="28"/>
  <c r="AQ136" i="28"/>
  <c r="BA136" i="28"/>
  <c r="AA136" i="28"/>
  <c r="X136" i="28"/>
  <c r="AD136" i="28"/>
  <c r="AO136" i="28"/>
  <c r="AC136" i="28"/>
  <c r="AQ143" i="28"/>
  <c r="AC143" i="28"/>
  <c r="BA143" i="28"/>
  <c r="AA143" i="28"/>
  <c r="X143" i="28"/>
  <c r="AO143" i="28"/>
  <c r="AD143" i="28"/>
  <c r="AQ150" i="28"/>
  <c r="BA150" i="28"/>
  <c r="AA150" i="28"/>
  <c r="AC150" i="28"/>
  <c r="X150" i="28"/>
  <c r="AO150" i="28"/>
  <c r="AD150" i="28"/>
  <c r="AQ157" i="28"/>
  <c r="AC157" i="28"/>
  <c r="AD157" i="28"/>
  <c r="BA157" i="28"/>
  <c r="AA157" i="28"/>
  <c r="AO157" i="28"/>
  <c r="X157" i="28"/>
  <c r="AQ164" i="28"/>
  <c r="BA164" i="28"/>
  <c r="AD164" i="28"/>
  <c r="AA164" i="28"/>
  <c r="AC164" i="28"/>
  <c r="X164" i="28"/>
  <c r="AO164" i="28"/>
  <c r="AQ171" i="28"/>
  <c r="AC171" i="28"/>
  <c r="AD171" i="28"/>
  <c r="X171" i="28"/>
  <c r="BA171" i="28"/>
  <c r="AA171" i="28"/>
  <c r="AO171" i="28"/>
  <c r="AQ178" i="28"/>
  <c r="BA178" i="28"/>
  <c r="AC178" i="28"/>
  <c r="AA178" i="28"/>
  <c r="AO178" i="28"/>
  <c r="AD178" i="28"/>
  <c r="X178" i="28"/>
  <c r="AQ185" i="28"/>
  <c r="AC185" i="28"/>
  <c r="BA185" i="28"/>
  <c r="AD185" i="28"/>
  <c r="AA185" i="28"/>
  <c r="X185" i="28"/>
  <c r="AO185" i="28"/>
  <c r="AQ192" i="28"/>
  <c r="BA192" i="28"/>
  <c r="AC192" i="28"/>
  <c r="X192" i="28"/>
  <c r="AD192" i="28"/>
  <c r="AO192" i="28"/>
  <c r="AA192" i="28"/>
  <c r="AQ199" i="28"/>
  <c r="AC199" i="28"/>
  <c r="BA199" i="28"/>
  <c r="AA199" i="28"/>
  <c r="AO199" i="28"/>
  <c r="AD199" i="28"/>
  <c r="X199" i="28"/>
  <c r="AQ206" i="28"/>
  <c r="BA206" i="28"/>
  <c r="AD206" i="28"/>
  <c r="AA206" i="28"/>
  <c r="AC206" i="28"/>
  <c r="X206" i="28"/>
  <c r="AO206" i="28"/>
  <c r="AQ213" i="28"/>
  <c r="AC213" i="28"/>
  <c r="BA213" i="28"/>
  <c r="AO213" i="28"/>
  <c r="AD213" i="28"/>
  <c r="AA213" i="28"/>
  <c r="X213" i="28"/>
  <c r="AQ220" i="28"/>
  <c r="BA220" i="28"/>
  <c r="AC220" i="28"/>
  <c r="X220" i="28"/>
  <c r="AD220" i="28"/>
  <c r="AA220" i="28"/>
  <c r="AO220" i="28"/>
  <c r="AQ227" i="28"/>
  <c r="AC227" i="28"/>
  <c r="AD227" i="28"/>
  <c r="X227" i="28"/>
  <c r="AA227" i="28"/>
  <c r="BA227" i="28"/>
  <c r="AO227" i="28"/>
  <c r="AQ234" i="28"/>
  <c r="BA234" i="28"/>
  <c r="AC234" i="28"/>
  <c r="X234" i="28"/>
  <c r="AD234" i="28"/>
  <c r="AA234" i="28"/>
  <c r="AO234" i="28"/>
  <c r="AQ241" i="28"/>
  <c r="AC241" i="28"/>
  <c r="BA241" i="28"/>
  <c r="AA241" i="28"/>
  <c r="AD241" i="28"/>
  <c r="X241" i="28"/>
  <c r="AO241" i="28"/>
  <c r="AQ248" i="28"/>
  <c r="BA248" i="28"/>
  <c r="AC248" i="28"/>
  <c r="AD248" i="28"/>
  <c r="AA248" i="28"/>
  <c r="AO248" i="28"/>
  <c r="X248" i="28"/>
  <c r="AQ255" i="28"/>
  <c r="AC255" i="28"/>
  <c r="BA255" i="28"/>
  <c r="AA255" i="28"/>
  <c r="AD255" i="28"/>
  <c r="X255" i="28"/>
  <c r="AO255" i="28"/>
  <c r="AQ262" i="28"/>
  <c r="BA262" i="28"/>
  <c r="AC262" i="28"/>
  <c r="AD262" i="28"/>
  <c r="AA262" i="28"/>
  <c r="X262" i="28"/>
  <c r="AO262" i="28"/>
  <c r="AQ269" i="28"/>
  <c r="AC269" i="28"/>
  <c r="AA269" i="28"/>
  <c r="X269" i="28"/>
  <c r="BA269" i="28"/>
  <c r="AD269" i="28"/>
  <c r="AO269" i="28"/>
  <c r="AQ276" i="28"/>
  <c r="BA276" i="28"/>
  <c r="AD276" i="28"/>
  <c r="AA276" i="28"/>
  <c r="AC276" i="28"/>
  <c r="AO276" i="28"/>
  <c r="X276" i="28"/>
  <c r="AQ283" i="28"/>
  <c r="AC283" i="28"/>
  <c r="BA283" i="28"/>
  <c r="AD283" i="28"/>
  <c r="AA283" i="28"/>
  <c r="AO283" i="28"/>
  <c r="X283" i="28"/>
  <c r="AQ290" i="28"/>
  <c r="BA290" i="28"/>
  <c r="AC290" i="28"/>
  <c r="X290" i="28"/>
  <c r="AD290" i="28"/>
  <c r="AA290" i="28"/>
  <c r="AO290" i="28"/>
  <c r="AQ297" i="28"/>
  <c r="AC297" i="28"/>
  <c r="AA297" i="28"/>
  <c r="AD297" i="28"/>
  <c r="AO297" i="28"/>
  <c r="BA297" i="28"/>
  <c r="X297" i="28"/>
  <c r="AQ304" i="28"/>
  <c r="BA304" i="28"/>
  <c r="AC304" i="28"/>
  <c r="AD304" i="28"/>
  <c r="AA304" i="28"/>
  <c r="X304" i="28"/>
  <c r="AO304" i="28"/>
  <c r="AQ311" i="28"/>
  <c r="AC311" i="28"/>
  <c r="BA311" i="28"/>
  <c r="AD311" i="28"/>
  <c r="AA311" i="28"/>
  <c r="AO311" i="28"/>
  <c r="X311" i="28"/>
  <c r="AQ318" i="28"/>
  <c r="BA318" i="28"/>
  <c r="X318" i="28"/>
  <c r="AO318" i="28"/>
  <c r="AD318" i="28"/>
  <c r="AA318" i="28"/>
  <c r="AC318" i="28"/>
  <c r="AQ325" i="28"/>
  <c r="AC325" i="28"/>
  <c r="BA325" i="28"/>
  <c r="AD325" i="28"/>
  <c r="X325" i="28"/>
  <c r="AA325" i="28"/>
  <c r="AO325" i="28"/>
  <c r="AQ332" i="28"/>
  <c r="BA332" i="28"/>
  <c r="AC332" i="28"/>
  <c r="AA332" i="28"/>
  <c r="X332" i="28"/>
  <c r="AD332" i="28"/>
  <c r="AO332" i="28"/>
  <c r="AQ339" i="28"/>
  <c r="AC339" i="28"/>
  <c r="BA339" i="28"/>
  <c r="AD339" i="28"/>
  <c r="AA339" i="28"/>
  <c r="X339" i="28"/>
  <c r="AO339" i="28"/>
  <c r="AQ346" i="28"/>
  <c r="BA346" i="28"/>
  <c r="AD346" i="28"/>
  <c r="AA346" i="28"/>
  <c r="AO346" i="28"/>
  <c r="AC346" i="28"/>
  <c r="X346" i="28"/>
  <c r="AQ353" i="28"/>
  <c r="AC353" i="28"/>
  <c r="BA353" i="28"/>
  <c r="AA353" i="28"/>
  <c r="AO353" i="28"/>
  <c r="AD353" i="28"/>
  <c r="X353" i="28"/>
  <c r="AQ360" i="28"/>
  <c r="BA360" i="28"/>
  <c r="AC360" i="28"/>
  <c r="AA360" i="28"/>
  <c r="AO360" i="28"/>
  <c r="X360" i="28"/>
  <c r="AD360" i="28"/>
  <c r="AQ367" i="28"/>
  <c r="AC367" i="28"/>
  <c r="AD367" i="28"/>
  <c r="BA367" i="28"/>
  <c r="X367" i="28"/>
  <c r="AO367" i="28"/>
  <c r="AA367" i="28"/>
  <c r="AQ374" i="28"/>
  <c r="BA374" i="28"/>
  <c r="AD374" i="28"/>
  <c r="AA374" i="28"/>
  <c r="X374" i="28"/>
  <c r="AC374" i="28"/>
  <c r="AO374" i="28"/>
  <c r="AQ381" i="28"/>
  <c r="AC381" i="28"/>
  <c r="AD381" i="28"/>
  <c r="AA381" i="28"/>
  <c r="BA381" i="28"/>
  <c r="AO381" i="28"/>
  <c r="X381" i="28"/>
  <c r="AQ388" i="28"/>
  <c r="BA388" i="28"/>
  <c r="AD388" i="28"/>
  <c r="AC388" i="28"/>
  <c r="AO388" i="28"/>
  <c r="X388" i="28"/>
  <c r="AA388" i="28"/>
  <c r="AQ395" i="28"/>
  <c r="AC395" i="28"/>
  <c r="AD395" i="28"/>
  <c r="AA395" i="28"/>
  <c r="BA395" i="28"/>
  <c r="X395" i="28"/>
  <c r="AO395" i="28"/>
  <c r="AQ402" i="28"/>
  <c r="BA402" i="28"/>
  <c r="AD402" i="28"/>
  <c r="X402" i="28"/>
  <c r="AA402" i="28"/>
  <c r="AC402" i="28"/>
  <c r="AO402" i="28"/>
  <c r="AQ409" i="28"/>
  <c r="AC409" i="28"/>
  <c r="AO409" i="28"/>
  <c r="AA409" i="28"/>
  <c r="BA409" i="28"/>
  <c r="AD409" i="28"/>
  <c r="X409" i="28"/>
  <c r="AQ416" i="28"/>
  <c r="BA416" i="28"/>
  <c r="AD416" i="28"/>
  <c r="AC416" i="28"/>
  <c r="X416" i="28"/>
  <c r="AA416" i="28"/>
  <c r="AO416" i="28"/>
  <c r="AQ423" i="28"/>
  <c r="AC423" i="28"/>
  <c r="BA423" i="28"/>
  <c r="AA423" i="28"/>
  <c r="X423" i="28"/>
  <c r="AD423" i="28"/>
  <c r="AO423" i="28"/>
  <c r="AQ430" i="28"/>
  <c r="BA430" i="28"/>
  <c r="AD430" i="28"/>
  <c r="AC430" i="28"/>
  <c r="AO430" i="28"/>
  <c r="X430" i="28"/>
  <c r="AA430" i="28"/>
  <c r="AQ437" i="28"/>
  <c r="AC437" i="28"/>
  <c r="BA437" i="28"/>
  <c r="AD437" i="28"/>
  <c r="AA437" i="28"/>
  <c r="AO437" i="28"/>
  <c r="X437" i="28"/>
  <c r="AQ444" i="28"/>
  <c r="BA444" i="28"/>
  <c r="AD444" i="28"/>
  <c r="AC444" i="28"/>
  <c r="X444" i="28"/>
  <c r="AA444" i="28"/>
  <c r="AO444" i="28"/>
  <c r="AQ451" i="28"/>
  <c r="AC451" i="28"/>
  <c r="BA451" i="28"/>
  <c r="X451" i="28"/>
  <c r="AA451" i="28"/>
  <c r="AO451" i="28"/>
  <c r="AD451" i="28"/>
  <c r="AQ458" i="28"/>
  <c r="BA458" i="28"/>
  <c r="AD458" i="28"/>
  <c r="AC458" i="28"/>
  <c r="AA458" i="28"/>
  <c r="AO458" i="28"/>
  <c r="X458" i="28"/>
  <c r="AQ465" i="28"/>
  <c r="AC465" i="28"/>
  <c r="X465" i="28"/>
  <c r="AA465" i="28"/>
  <c r="AD465" i="28"/>
  <c r="AO465" i="28"/>
  <c r="BA465" i="28"/>
  <c r="AQ472" i="28"/>
  <c r="BA472" i="28"/>
  <c r="AD472" i="28"/>
  <c r="AA472" i="28"/>
  <c r="AO472" i="28"/>
  <c r="AC472" i="28"/>
  <c r="X472" i="28"/>
  <c r="AQ479" i="28"/>
  <c r="AC479" i="28"/>
  <c r="BA479" i="28"/>
  <c r="AA479" i="28"/>
  <c r="AD479" i="28"/>
  <c r="AO479" i="28"/>
  <c r="X479" i="28"/>
  <c r="AQ486" i="28"/>
  <c r="BA486" i="28"/>
  <c r="AD486" i="28"/>
  <c r="AA486" i="28"/>
  <c r="AC486" i="28"/>
  <c r="AO486" i="28"/>
  <c r="X486" i="28"/>
  <c r="AQ493" i="28"/>
  <c r="AC493" i="28"/>
  <c r="AA493" i="28"/>
  <c r="AO493" i="28"/>
  <c r="BA493" i="28"/>
  <c r="AD493" i="28"/>
  <c r="X493" i="28"/>
  <c r="AQ500" i="28"/>
  <c r="BA500" i="28"/>
  <c r="AD500" i="28"/>
  <c r="AA500" i="28"/>
  <c r="AC500" i="28"/>
  <c r="AO500" i="28"/>
  <c r="X500" i="28"/>
  <c r="AQ507" i="28"/>
  <c r="AC507" i="28"/>
  <c r="BA507" i="28"/>
  <c r="AA507" i="28"/>
  <c r="AD507" i="28"/>
  <c r="X507" i="28"/>
  <c r="AO507" i="28"/>
  <c r="AO35" i="28"/>
  <c r="AG35" i="28" s="1"/>
  <c r="AQ42" i="28"/>
  <c r="AC42" i="28"/>
  <c r="X42" i="28"/>
  <c r="AD42" i="28"/>
  <c r="BA42" i="28"/>
  <c r="AA42" i="28"/>
  <c r="AO42" i="28"/>
  <c r="AQ49" i="28"/>
  <c r="BA49" i="28"/>
  <c r="AO49" i="28"/>
  <c r="AD49" i="28"/>
  <c r="AA49" i="28"/>
  <c r="AC49" i="28"/>
  <c r="X49" i="28"/>
  <c r="AQ56" i="28"/>
  <c r="X56" i="28"/>
  <c r="AC56" i="28"/>
  <c r="BA56" i="28"/>
  <c r="AD56" i="28"/>
  <c r="AA56" i="28"/>
  <c r="AO56" i="28"/>
  <c r="AQ63" i="28"/>
  <c r="BA63" i="28"/>
  <c r="AC63" i="28"/>
  <c r="AO63" i="28"/>
  <c r="X63" i="28"/>
  <c r="AA63" i="28"/>
  <c r="AD63" i="28"/>
  <c r="AQ70" i="28"/>
  <c r="X70" i="28"/>
  <c r="AC70" i="28"/>
  <c r="BA70" i="28"/>
  <c r="AD70" i="28"/>
  <c r="AA70" i="28"/>
  <c r="AO70" i="28"/>
  <c r="AQ77" i="28"/>
  <c r="BA77" i="28"/>
  <c r="AO77" i="28"/>
  <c r="AC77" i="28"/>
  <c r="AD77" i="28"/>
  <c r="X77" i="28"/>
  <c r="AA77" i="28"/>
  <c r="AQ84" i="28"/>
  <c r="X84" i="28"/>
  <c r="BA84" i="28"/>
  <c r="AC84" i="28"/>
  <c r="AD84" i="28"/>
  <c r="AO84" i="28"/>
  <c r="AA84" i="28"/>
  <c r="AQ91" i="28"/>
  <c r="BA91" i="28"/>
  <c r="AC91" i="28"/>
  <c r="AA91" i="28"/>
  <c r="X91" i="28"/>
  <c r="AD91" i="28"/>
  <c r="AO91" i="28"/>
  <c r="AQ98" i="28"/>
  <c r="X98" i="28"/>
  <c r="AC98" i="28"/>
  <c r="AO98" i="28"/>
  <c r="AD98" i="28"/>
  <c r="AA98" i="28"/>
  <c r="BA98" i="28"/>
  <c r="AQ105" i="28"/>
  <c r="BA105" i="28"/>
  <c r="AC105" i="28"/>
  <c r="AA105" i="28"/>
  <c r="AD105" i="28"/>
  <c r="AO105" i="28"/>
  <c r="X105" i="28"/>
  <c r="AQ112" i="28"/>
  <c r="X112" i="28"/>
  <c r="AD112" i="28"/>
  <c r="BA112" i="28"/>
  <c r="AC112" i="28"/>
  <c r="AO112" i="28"/>
  <c r="AA112" i="28"/>
  <c r="AQ119" i="28"/>
  <c r="BA119" i="28"/>
  <c r="AA119" i="28"/>
  <c r="AO119" i="28"/>
  <c r="AC119" i="28"/>
  <c r="AD119" i="28"/>
  <c r="X119" i="28"/>
  <c r="AQ126" i="28"/>
  <c r="X126" i="28"/>
  <c r="AC126" i="28"/>
  <c r="AA126" i="28"/>
  <c r="BA126" i="28"/>
  <c r="AD126" i="28"/>
  <c r="AO126" i="28"/>
  <c r="AQ133" i="28"/>
  <c r="BA133" i="28"/>
  <c r="AC133" i="28"/>
  <c r="AD133" i="28"/>
  <c r="X133" i="28"/>
  <c r="AO133" i="28"/>
  <c r="AA133" i="28"/>
  <c r="AQ140" i="28"/>
  <c r="X140" i="28"/>
  <c r="BA140" i="28"/>
  <c r="AD140" i="28"/>
  <c r="AA140" i="28"/>
  <c r="AC140" i="28"/>
  <c r="AO140" i="28"/>
  <c r="AQ147" i="28"/>
  <c r="BA147" i="28"/>
  <c r="AD147" i="28"/>
  <c r="AC147" i="28"/>
  <c r="AO147" i="28"/>
  <c r="X147" i="28"/>
  <c r="AA147" i="28"/>
  <c r="AQ154" i="28"/>
  <c r="AC154" i="28"/>
  <c r="BA154" i="28"/>
  <c r="X154" i="28"/>
  <c r="AD154" i="28"/>
  <c r="AA154" i="28"/>
  <c r="AO154" i="28"/>
  <c r="AQ161" i="28"/>
  <c r="BA161" i="28"/>
  <c r="AC161" i="28"/>
  <c r="AO161" i="28"/>
  <c r="AD161" i="28"/>
  <c r="X161" i="28"/>
  <c r="AA161" i="28"/>
  <c r="AQ168" i="28"/>
  <c r="AC168" i="28"/>
  <c r="BA168" i="28"/>
  <c r="X168" i="28"/>
  <c r="AD168" i="28"/>
  <c r="AA168" i="28"/>
  <c r="AO168" i="28"/>
  <c r="AQ175" i="28"/>
  <c r="BA175" i="28"/>
  <c r="AC175" i="28"/>
  <c r="X175" i="28"/>
  <c r="AD175" i="28"/>
  <c r="AO175" i="28"/>
  <c r="AA175" i="28"/>
  <c r="AQ182" i="28"/>
  <c r="X182" i="28"/>
  <c r="BA182" i="28"/>
  <c r="AO182" i="28"/>
  <c r="AC182" i="28"/>
  <c r="AA182" i="28"/>
  <c r="AD182" i="28"/>
  <c r="AQ189" i="28"/>
  <c r="BA189" i="28"/>
  <c r="AC189" i="28"/>
  <c r="AO189" i="28"/>
  <c r="AA189" i="28"/>
  <c r="X189" i="28"/>
  <c r="AD189" i="28"/>
  <c r="AQ196" i="28"/>
  <c r="AC196" i="28"/>
  <c r="BA196" i="28"/>
  <c r="X196" i="28"/>
  <c r="AA196" i="28"/>
  <c r="AO196" i="28"/>
  <c r="AD196" i="28"/>
  <c r="AQ203" i="28"/>
  <c r="BA203" i="28"/>
  <c r="AD203" i="28"/>
  <c r="AA203" i="28"/>
  <c r="X203" i="28"/>
  <c r="AO203" i="28"/>
  <c r="AC203" i="28"/>
  <c r="AQ210" i="28"/>
  <c r="X210" i="28"/>
  <c r="AA210" i="28"/>
  <c r="AD210" i="28"/>
  <c r="BA210" i="28"/>
  <c r="AO210" i="28"/>
  <c r="AC210" i="28"/>
  <c r="AQ217" i="28"/>
  <c r="BA217" i="28"/>
  <c r="AC217" i="28"/>
  <c r="AO217" i="28"/>
  <c r="X217" i="28"/>
  <c r="AA217" i="28"/>
  <c r="AD217" i="28"/>
  <c r="AQ224" i="28"/>
  <c r="X224" i="28"/>
  <c r="AC224" i="28"/>
  <c r="BA224" i="28"/>
  <c r="AD224" i="28"/>
  <c r="AA224" i="28"/>
  <c r="AO224" i="28"/>
  <c r="AQ231" i="28"/>
  <c r="BA231" i="28"/>
  <c r="AC231" i="28"/>
  <c r="AD231" i="28"/>
  <c r="AO231" i="28"/>
  <c r="AA231" i="28"/>
  <c r="X231" i="28"/>
  <c r="AQ238" i="28"/>
  <c r="AC238" i="28"/>
  <c r="BA238" i="28"/>
  <c r="X238" i="28"/>
  <c r="AD238" i="28"/>
  <c r="AA238" i="28"/>
  <c r="AO238" i="28"/>
  <c r="AQ245" i="28"/>
  <c r="BA245" i="28"/>
  <c r="AD245" i="28"/>
  <c r="AC245" i="28"/>
  <c r="AO245" i="28"/>
  <c r="X245" i="28"/>
  <c r="AA245" i="28"/>
  <c r="AQ252" i="28"/>
  <c r="X252" i="28"/>
  <c r="BA252" i="28"/>
  <c r="AC252" i="28"/>
  <c r="AD252" i="28"/>
  <c r="AA252" i="28"/>
  <c r="AO252" i="28"/>
  <c r="AQ259" i="28"/>
  <c r="BA259" i="28"/>
  <c r="AC259" i="28"/>
  <c r="AO259" i="28"/>
  <c r="AD259" i="28"/>
  <c r="X259" i="28"/>
  <c r="AA259" i="28"/>
  <c r="AQ266" i="28"/>
  <c r="X266" i="28"/>
  <c r="AD266" i="28"/>
  <c r="BA266" i="28"/>
  <c r="AC266" i="28"/>
  <c r="AA266" i="28"/>
  <c r="AO266" i="28"/>
  <c r="AQ273" i="28"/>
  <c r="BA273" i="28"/>
  <c r="X273" i="28"/>
  <c r="AD273" i="28"/>
  <c r="AO273" i="28"/>
  <c r="AC273" i="28"/>
  <c r="AA273" i="28"/>
  <c r="AQ280" i="28"/>
  <c r="X280" i="28"/>
  <c r="BA280" i="28"/>
  <c r="AD280" i="28"/>
  <c r="AA280" i="28"/>
  <c r="AC280" i="28"/>
  <c r="AO280" i="28"/>
  <c r="AQ287" i="28"/>
  <c r="BA287" i="28"/>
  <c r="AC287" i="28"/>
  <c r="AA287" i="28"/>
  <c r="X287" i="28"/>
  <c r="AO287" i="28"/>
  <c r="AD287" i="28"/>
  <c r="AQ294" i="28"/>
  <c r="X294" i="28"/>
  <c r="AC294" i="28"/>
  <c r="AD294" i="28"/>
  <c r="AO294" i="28"/>
  <c r="BA294" i="28"/>
  <c r="AA294" i="28"/>
  <c r="AQ301" i="28"/>
  <c r="BA301" i="28"/>
  <c r="AC301" i="28"/>
  <c r="AA301" i="28"/>
  <c r="AD301" i="28"/>
  <c r="X301" i="28"/>
  <c r="AO301" i="28"/>
  <c r="AQ308" i="28"/>
  <c r="X308" i="28"/>
  <c r="AC308" i="28"/>
  <c r="AD308" i="28"/>
  <c r="AA308" i="28"/>
  <c r="BA308" i="28"/>
  <c r="AO308" i="28"/>
  <c r="AQ315" i="28"/>
  <c r="BA315" i="28"/>
  <c r="AO315" i="28"/>
  <c r="AA315" i="28"/>
  <c r="X315" i="28"/>
  <c r="AC315" i="28"/>
  <c r="AD315" i="28"/>
  <c r="AQ322" i="28"/>
  <c r="X322" i="28"/>
  <c r="BA322" i="28"/>
  <c r="AD322" i="28"/>
  <c r="AC322" i="28"/>
  <c r="AA322" i="28"/>
  <c r="AO322" i="28"/>
  <c r="AQ329" i="28"/>
  <c r="BA329" i="28"/>
  <c r="AC329" i="28"/>
  <c r="AO329" i="28"/>
  <c r="AD329" i="28"/>
  <c r="X329" i="28"/>
  <c r="AA329" i="28"/>
  <c r="AQ336" i="28"/>
  <c r="AD336" i="28"/>
  <c r="X336" i="28"/>
  <c r="BA336" i="28"/>
  <c r="AA336" i="28"/>
  <c r="AC336" i="28"/>
  <c r="AO336" i="28"/>
  <c r="AQ343" i="28"/>
  <c r="BA343" i="28"/>
  <c r="AO343" i="28"/>
  <c r="AD343" i="28"/>
  <c r="AC343" i="28"/>
  <c r="X343" i="28"/>
  <c r="AA343" i="28"/>
  <c r="AQ350" i="28"/>
  <c r="AC350" i="28"/>
  <c r="BA350" i="28"/>
  <c r="AD350" i="28"/>
  <c r="X350" i="28"/>
  <c r="AA350" i="28"/>
  <c r="AO350" i="28"/>
  <c r="AQ357" i="28"/>
  <c r="AD357" i="28"/>
  <c r="BA357" i="28"/>
  <c r="AO357" i="28"/>
  <c r="AC357" i="28"/>
  <c r="AA357" i="28"/>
  <c r="X357" i="28"/>
  <c r="AQ364" i="28"/>
  <c r="AC364" i="28"/>
  <c r="BA364" i="28"/>
  <c r="X364" i="28"/>
  <c r="AD364" i="28"/>
  <c r="AO364" i="28"/>
  <c r="AA364" i="28"/>
  <c r="AQ371" i="28"/>
  <c r="AD371" i="28"/>
  <c r="BA371" i="28"/>
  <c r="AC371" i="28"/>
  <c r="AO371" i="28"/>
  <c r="X371" i="28"/>
  <c r="AA371" i="28"/>
  <c r="AQ378" i="28"/>
  <c r="X378" i="28"/>
  <c r="BA378" i="28"/>
  <c r="AA378" i="28"/>
  <c r="AC378" i="28"/>
  <c r="AD378" i="28"/>
  <c r="AO378" i="28"/>
  <c r="AQ385" i="28"/>
  <c r="AD385" i="28"/>
  <c r="BA385" i="28"/>
  <c r="AO385" i="28"/>
  <c r="X385" i="28"/>
  <c r="AC385" i="28"/>
  <c r="AA385" i="28"/>
  <c r="AQ392" i="28"/>
  <c r="AC392" i="28"/>
  <c r="BA392" i="28"/>
  <c r="X392" i="28"/>
  <c r="AA392" i="28"/>
  <c r="AO392" i="28"/>
  <c r="AD392" i="28"/>
  <c r="AQ399" i="28"/>
  <c r="AD399" i="28"/>
  <c r="BA399" i="28"/>
  <c r="AO399" i="28"/>
  <c r="AC399" i="28"/>
  <c r="AA399" i="28"/>
  <c r="X399" i="28"/>
  <c r="AQ406" i="28"/>
  <c r="X406" i="28"/>
  <c r="AA406" i="28"/>
  <c r="BA406" i="28"/>
  <c r="AO406" i="28"/>
  <c r="AD406" i="28"/>
  <c r="AC406" i="28"/>
  <c r="AQ413" i="28"/>
  <c r="AD413" i="28"/>
  <c r="BA413" i="28"/>
  <c r="AO413" i="28"/>
  <c r="AA413" i="28"/>
  <c r="AC413" i="28"/>
  <c r="X413" i="28"/>
  <c r="AQ420" i="28"/>
  <c r="X420" i="28"/>
  <c r="AC420" i="28"/>
  <c r="BA420" i="28"/>
  <c r="AD420" i="28"/>
  <c r="AA420" i="28"/>
  <c r="AO420" i="28"/>
  <c r="AQ427" i="28"/>
  <c r="AD427" i="28"/>
  <c r="BA427" i="28"/>
  <c r="AO427" i="28"/>
  <c r="AC427" i="28"/>
  <c r="X427" i="28"/>
  <c r="AA427" i="28"/>
  <c r="AQ434" i="28"/>
  <c r="AD434" i="28"/>
  <c r="AC434" i="28"/>
  <c r="BA434" i="28"/>
  <c r="X434" i="28"/>
  <c r="AA434" i="28"/>
  <c r="AO434" i="28"/>
  <c r="AQ441" i="28"/>
  <c r="AD441" i="28"/>
  <c r="BA441" i="28"/>
  <c r="AO441" i="28"/>
  <c r="AA441" i="28"/>
  <c r="X441" i="28"/>
  <c r="AC441" i="28"/>
  <c r="AQ448" i="28"/>
  <c r="AD448" i="28"/>
  <c r="X448" i="28"/>
  <c r="BA448" i="28"/>
  <c r="AA448" i="28"/>
  <c r="AO448" i="28"/>
  <c r="AC448" i="28"/>
  <c r="AQ455" i="28"/>
  <c r="AD455" i="28"/>
  <c r="BA455" i="28"/>
  <c r="AO455" i="28"/>
  <c r="AA455" i="28"/>
  <c r="X455" i="28"/>
  <c r="AC455" i="28"/>
  <c r="AQ462" i="28"/>
  <c r="X462" i="28"/>
  <c r="AD462" i="28"/>
  <c r="AC462" i="28"/>
  <c r="AA462" i="28"/>
  <c r="BA462" i="28"/>
  <c r="AO462" i="28"/>
  <c r="AQ469" i="28"/>
  <c r="AD469" i="28"/>
  <c r="BA469" i="28"/>
  <c r="AO469" i="28"/>
  <c r="AC469" i="28"/>
  <c r="X469" i="28"/>
  <c r="AA469" i="28"/>
  <c r="AQ476" i="28"/>
  <c r="AD476" i="28"/>
  <c r="X476" i="28"/>
  <c r="AC476" i="28"/>
  <c r="AO476" i="28"/>
  <c r="BA476" i="28"/>
  <c r="AA476" i="28"/>
  <c r="AQ483" i="28"/>
  <c r="AD483" i="28"/>
  <c r="BA483" i="28"/>
  <c r="AC483" i="28"/>
  <c r="AO483" i="28"/>
  <c r="X483" i="28"/>
  <c r="AA483" i="28"/>
  <c r="AQ490" i="28"/>
  <c r="X490" i="28"/>
  <c r="AD490" i="28"/>
  <c r="BA490" i="28"/>
  <c r="AA490" i="28"/>
  <c r="AC490" i="28"/>
  <c r="AO490" i="28"/>
  <c r="AQ497" i="28"/>
  <c r="AD497" i="28"/>
  <c r="BA497" i="28"/>
  <c r="AO497" i="28"/>
  <c r="AC497" i="28"/>
  <c r="X497" i="28"/>
  <c r="AA497" i="28"/>
  <c r="AQ504" i="28"/>
  <c r="AC504" i="28"/>
  <c r="X504" i="28"/>
  <c r="AD504" i="28"/>
  <c r="AO504" i="28"/>
  <c r="BA504" i="28"/>
  <c r="AA504" i="28"/>
  <c r="AO32" i="28"/>
  <c r="AG32" i="28" s="1"/>
  <c r="BA39" i="28"/>
  <c r="AD39" i="28"/>
  <c r="AC39" i="28"/>
  <c r="AO39" i="28"/>
  <c r="AG39" i="28" s="1"/>
  <c r="AQ46" i="28"/>
  <c r="AC46" i="28"/>
  <c r="X46" i="28"/>
  <c r="BA46" i="28"/>
  <c r="AD46" i="28"/>
  <c r="AO46" i="28"/>
  <c r="AA46" i="28"/>
  <c r="AQ53" i="28"/>
  <c r="BA53" i="28"/>
  <c r="AC53" i="28"/>
  <c r="AA53" i="28"/>
  <c r="X53" i="28"/>
  <c r="AO53" i="28"/>
  <c r="AD53" i="28"/>
  <c r="AQ60" i="28"/>
  <c r="AC60" i="28"/>
  <c r="AA60" i="28"/>
  <c r="BA60" i="28"/>
  <c r="X60" i="28"/>
  <c r="AO60" i="28"/>
  <c r="AD60" i="28"/>
  <c r="AQ67" i="28"/>
  <c r="BA67" i="28"/>
  <c r="AC67" i="28"/>
  <c r="X67" i="28"/>
  <c r="AO67" i="28"/>
  <c r="AD67" i="28"/>
  <c r="AA67" i="28"/>
  <c r="AQ74" i="28"/>
  <c r="AC74" i="28"/>
  <c r="AA74" i="28"/>
  <c r="AD74" i="28"/>
  <c r="BA74" i="28"/>
  <c r="AO74" i="28"/>
  <c r="X74" i="28"/>
  <c r="AQ81" i="28"/>
  <c r="BA81" i="28"/>
  <c r="AC81" i="28"/>
  <c r="AA81" i="28"/>
  <c r="AD81" i="28"/>
  <c r="X81" i="28"/>
  <c r="AO81" i="28"/>
  <c r="AQ88" i="28"/>
  <c r="BA88" i="28"/>
  <c r="AC88" i="28"/>
  <c r="AA88" i="28"/>
  <c r="AD88" i="28"/>
  <c r="X88" i="28"/>
  <c r="AO88" i="28"/>
  <c r="AQ95" i="28"/>
  <c r="BA95" i="28"/>
  <c r="AC95" i="28"/>
  <c r="AA95" i="28"/>
  <c r="AO95" i="28"/>
  <c r="AD95" i="28"/>
  <c r="X95" i="28"/>
  <c r="AQ102" i="28"/>
  <c r="BA102" i="28"/>
  <c r="AC102" i="28"/>
  <c r="AD102" i="28"/>
  <c r="AA102" i="28"/>
  <c r="X102" i="28"/>
  <c r="AO102" i="28"/>
  <c r="AQ109" i="28"/>
  <c r="BA109" i="28"/>
  <c r="AC109" i="28"/>
  <c r="AD109" i="28"/>
  <c r="AA109" i="28"/>
  <c r="X109" i="28"/>
  <c r="AO109" i="28"/>
  <c r="AQ116" i="28"/>
  <c r="BA116" i="28"/>
  <c r="AC116" i="28"/>
  <c r="X116" i="28"/>
  <c r="AO116" i="28"/>
  <c r="AA116" i="28"/>
  <c r="AD116" i="28"/>
  <c r="AQ123" i="28"/>
  <c r="BA123" i="28"/>
  <c r="AC123" i="28"/>
  <c r="AD123" i="28"/>
  <c r="AA123" i="28"/>
  <c r="X123" i="28"/>
  <c r="AO123" i="28"/>
  <c r="AQ130" i="28"/>
  <c r="BA130" i="28"/>
  <c r="AD130" i="28"/>
  <c r="AA130" i="28"/>
  <c r="AO130" i="28"/>
  <c r="X130" i="28"/>
  <c r="AC130" i="28"/>
  <c r="AQ137" i="28"/>
  <c r="BA137" i="28"/>
  <c r="AC137" i="28"/>
  <c r="AD137" i="28"/>
  <c r="X137" i="28"/>
  <c r="AA137" i="28"/>
  <c r="AO137" i="28"/>
  <c r="AQ144" i="28"/>
  <c r="BA144" i="28"/>
  <c r="AA144" i="28"/>
  <c r="AC144" i="28"/>
  <c r="X144" i="28"/>
  <c r="AO144" i="28"/>
  <c r="AD144" i="28"/>
  <c r="AQ151" i="28"/>
  <c r="BA151" i="28"/>
  <c r="AC151" i="28"/>
  <c r="AA151" i="28"/>
  <c r="X151" i="28"/>
  <c r="AD151" i="28"/>
  <c r="AO151" i="28"/>
  <c r="AQ158" i="28"/>
  <c r="BA158" i="28"/>
  <c r="AC158" i="28"/>
  <c r="AA158" i="28"/>
  <c r="AD158" i="28"/>
  <c r="X158" i="28"/>
  <c r="AO158" i="28"/>
  <c r="AQ165" i="28"/>
  <c r="BA165" i="28"/>
  <c r="AD165" i="28"/>
  <c r="AA165" i="28"/>
  <c r="AC165" i="28"/>
  <c r="X165" i="28"/>
  <c r="AO165" i="28"/>
  <c r="AQ172" i="28"/>
  <c r="BA172" i="28"/>
  <c r="AD172" i="28"/>
  <c r="AC172" i="28"/>
  <c r="X172" i="28"/>
  <c r="AO172" i="28"/>
  <c r="AA172" i="28"/>
  <c r="AQ179" i="28"/>
  <c r="BA179" i="28"/>
  <c r="AA179" i="28"/>
  <c r="AD179" i="28"/>
  <c r="AC179" i="28"/>
  <c r="AO179" i="28"/>
  <c r="X179" i="28"/>
  <c r="AQ186" i="28"/>
  <c r="BA186" i="28"/>
  <c r="AD186" i="28"/>
  <c r="AC186" i="28"/>
  <c r="AA186" i="28"/>
  <c r="X186" i="28"/>
  <c r="AO186" i="28"/>
  <c r="AQ193" i="28"/>
  <c r="BA193" i="28"/>
  <c r="AC193" i="28"/>
  <c r="X193" i="28"/>
  <c r="AD193" i="28"/>
  <c r="AO193" i="28"/>
  <c r="AA193" i="28"/>
  <c r="AQ200" i="28"/>
  <c r="AC200" i="28"/>
  <c r="AD200" i="28"/>
  <c r="AA200" i="28"/>
  <c r="BA200" i="28"/>
  <c r="AO200" i="28"/>
  <c r="X200" i="28"/>
  <c r="AQ207" i="28"/>
  <c r="BA207" i="28"/>
  <c r="AD207" i="28"/>
  <c r="X207" i="28"/>
  <c r="AA207" i="28"/>
  <c r="AC207" i="28"/>
  <c r="AO207" i="28"/>
  <c r="AQ214" i="28"/>
  <c r="AC214" i="28"/>
  <c r="BA214" i="28"/>
  <c r="X214" i="28"/>
  <c r="AO214" i="28"/>
  <c r="AA214" i="28"/>
  <c r="AD214" i="28"/>
  <c r="AQ221" i="28"/>
  <c r="BA221" i="28"/>
  <c r="AA221" i="28"/>
  <c r="AC221" i="28"/>
  <c r="X221" i="28"/>
  <c r="AO221" i="28"/>
  <c r="AD221" i="28"/>
  <c r="AQ228" i="28"/>
  <c r="AC228" i="28"/>
  <c r="BA228" i="28"/>
  <c r="AD228" i="28"/>
  <c r="AA228" i="28"/>
  <c r="AO228" i="28"/>
  <c r="X228" i="28"/>
  <c r="AQ235" i="28"/>
  <c r="BA235" i="28"/>
  <c r="X235" i="28"/>
  <c r="AC235" i="28"/>
  <c r="AD235" i="28"/>
  <c r="AA235" i="28"/>
  <c r="AO235" i="28"/>
  <c r="AQ242" i="28"/>
  <c r="AC242" i="28"/>
  <c r="X242" i="28"/>
  <c r="AA242" i="28"/>
  <c r="AO242" i="28"/>
  <c r="AD242" i="28"/>
  <c r="BA242" i="28"/>
  <c r="AQ249" i="28"/>
  <c r="BA249" i="28"/>
  <c r="AC249" i="28"/>
  <c r="AA249" i="28"/>
  <c r="AO249" i="28"/>
  <c r="AD249" i="28"/>
  <c r="X249" i="28"/>
  <c r="AQ256" i="28"/>
  <c r="AA256" i="28"/>
  <c r="AC256" i="28"/>
  <c r="AD256" i="28"/>
  <c r="X256" i="28"/>
  <c r="BA256" i="28"/>
  <c r="AO256" i="28"/>
  <c r="AQ263" i="28"/>
  <c r="BA263" i="28"/>
  <c r="AC263" i="28"/>
  <c r="AD263" i="28"/>
  <c r="AO263" i="28"/>
  <c r="X263" i="28"/>
  <c r="AA263" i="28"/>
  <c r="AQ270" i="28"/>
  <c r="AC270" i="28"/>
  <c r="AA270" i="28"/>
  <c r="X270" i="28"/>
  <c r="AD270" i="28"/>
  <c r="AO270" i="28"/>
  <c r="BA270" i="28"/>
  <c r="AQ277" i="28"/>
  <c r="BA277" i="28"/>
  <c r="AC277" i="28"/>
  <c r="AD277" i="28"/>
  <c r="AA277" i="28"/>
  <c r="AO277" i="28"/>
  <c r="X277" i="28"/>
  <c r="AQ284" i="28"/>
  <c r="BA284" i="28"/>
  <c r="AC284" i="28"/>
  <c r="AD284" i="28"/>
  <c r="AA284" i="28"/>
  <c r="X284" i="28"/>
  <c r="AO284" i="28"/>
  <c r="AQ291" i="28"/>
  <c r="BA291" i="28"/>
  <c r="AC291" i="28"/>
  <c r="X291" i="28"/>
  <c r="AD291" i="28"/>
  <c r="AO291" i="28"/>
  <c r="AA291" i="28"/>
  <c r="AQ298" i="28"/>
  <c r="BA298" i="28"/>
  <c r="AC298" i="28"/>
  <c r="AA298" i="28"/>
  <c r="AD298" i="28"/>
  <c r="X298" i="28"/>
  <c r="AO298" i="28"/>
  <c r="AQ305" i="28"/>
  <c r="BA305" i="28"/>
  <c r="AC305" i="28"/>
  <c r="X305" i="28"/>
  <c r="AD305" i="28"/>
  <c r="AA305" i="28"/>
  <c r="AO305" i="28"/>
  <c r="AQ312" i="28"/>
  <c r="BA312" i="28"/>
  <c r="AD312" i="28"/>
  <c r="AC312" i="28"/>
  <c r="AO312" i="28"/>
  <c r="X312" i="28"/>
  <c r="AA312" i="28"/>
  <c r="AQ319" i="28"/>
  <c r="BA319" i="28"/>
  <c r="X319" i="28"/>
  <c r="AA319" i="28"/>
  <c r="AD319" i="28"/>
  <c r="AO319" i="28"/>
  <c r="AC319" i="28"/>
  <c r="AQ326" i="28"/>
  <c r="BA326" i="28"/>
  <c r="AD326" i="28"/>
  <c r="AC326" i="28"/>
  <c r="AA326" i="28"/>
  <c r="AO326" i="28"/>
  <c r="X326" i="28"/>
  <c r="AQ333" i="28"/>
  <c r="BA333" i="28"/>
  <c r="AC333" i="28"/>
  <c r="AO333" i="28"/>
  <c r="AD333" i="28"/>
  <c r="AA333" i="28"/>
  <c r="X333" i="28"/>
  <c r="AQ340" i="28"/>
  <c r="AD340" i="28"/>
  <c r="AA340" i="28"/>
  <c r="AC340" i="28"/>
  <c r="X340" i="28"/>
  <c r="AO340" i="28"/>
  <c r="BA340" i="28"/>
  <c r="AQ347" i="28"/>
  <c r="BA347" i="28"/>
  <c r="AC347" i="28"/>
  <c r="AA347" i="28"/>
  <c r="X347" i="28"/>
  <c r="AO347" i="28"/>
  <c r="AD347" i="28"/>
  <c r="AQ354" i="28"/>
  <c r="BA354" i="28"/>
  <c r="AC354" i="28"/>
  <c r="X354" i="28"/>
  <c r="AD354" i="28"/>
  <c r="AO354" i="28"/>
  <c r="AA354" i="28"/>
  <c r="AQ361" i="28"/>
  <c r="BA361" i="28"/>
  <c r="AC361" i="28"/>
  <c r="AA361" i="28"/>
  <c r="AO361" i="28"/>
  <c r="X361" i="28"/>
  <c r="AD361" i="28"/>
  <c r="AQ368" i="28"/>
  <c r="AD368" i="28"/>
  <c r="BA368" i="28"/>
  <c r="X368" i="28"/>
  <c r="AO368" i="28"/>
  <c r="AC368" i="28"/>
  <c r="AA368" i="28"/>
  <c r="AQ375" i="28"/>
  <c r="BA375" i="28"/>
  <c r="AD375" i="28"/>
  <c r="AA375" i="28"/>
  <c r="AO375" i="28"/>
  <c r="AC375" i="28"/>
  <c r="X375" i="28"/>
  <c r="AQ382" i="28"/>
  <c r="AD382" i="28"/>
  <c r="BA382" i="28"/>
  <c r="AA382" i="28"/>
  <c r="X382" i="28"/>
  <c r="AC382" i="28"/>
  <c r="AO382" i="28"/>
  <c r="AQ389" i="28"/>
  <c r="BA389" i="28"/>
  <c r="AC389" i="28"/>
  <c r="AD389" i="28"/>
  <c r="AO389" i="28"/>
  <c r="X389" i="28"/>
  <c r="AA389" i="28"/>
  <c r="AQ396" i="28"/>
  <c r="AC396" i="28"/>
  <c r="AD396" i="28"/>
  <c r="AA396" i="28"/>
  <c r="BA396" i="28"/>
  <c r="X396" i="28"/>
  <c r="AO396" i="28"/>
  <c r="AQ403" i="28"/>
  <c r="BA403" i="28"/>
  <c r="AC403" i="28"/>
  <c r="AD403" i="28"/>
  <c r="AA403" i="28"/>
  <c r="AO403" i="28"/>
  <c r="X403" i="28"/>
  <c r="AQ410" i="28"/>
  <c r="AD410" i="28"/>
  <c r="AC410" i="28"/>
  <c r="BA410" i="28"/>
  <c r="AO410" i="28"/>
  <c r="AA410" i="28"/>
  <c r="X410" i="28"/>
  <c r="AQ417" i="28"/>
  <c r="BA417" i="28"/>
  <c r="AA417" i="28"/>
  <c r="AC417" i="28"/>
  <c r="AD417" i="28"/>
  <c r="X417" i="28"/>
  <c r="AO417" i="28"/>
  <c r="AQ424" i="28"/>
  <c r="BA424" i="28"/>
  <c r="AA424" i="28"/>
  <c r="AO424" i="28"/>
  <c r="AD424" i="28"/>
  <c r="X424" i="28"/>
  <c r="AC424" i="28"/>
  <c r="AQ431" i="28"/>
  <c r="BA431" i="28"/>
  <c r="AC431" i="28"/>
  <c r="AD431" i="28"/>
  <c r="X431" i="28"/>
  <c r="AO431" i="28"/>
  <c r="AA431" i="28"/>
  <c r="AQ438" i="28"/>
  <c r="AC438" i="28"/>
  <c r="AD438" i="28"/>
  <c r="X438" i="28"/>
  <c r="AA438" i="28"/>
  <c r="AO438" i="28"/>
  <c r="BA438" i="28"/>
  <c r="AQ445" i="28"/>
  <c r="BA445" i="28"/>
  <c r="X445" i="28"/>
  <c r="AA445" i="28"/>
  <c r="AC445" i="28"/>
  <c r="AD445" i="28"/>
  <c r="AO445" i="28"/>
  <c r="AQ452" i="28"/>
  <c r="BA452" i="28"/>
  <c r="AA452" i="28"/>
  <c r="AO452" i="28"/>
  <c r="X452" i="28"/>
  <c r="AC452" i="28"/>
  <c r="AD452" i="28"/>
  <c r="AQ459" i="28"/>
  <c r="BA459" i="28"/>
  <c r="AC459" i="28"/>
  <c r="AD459" i="28"/>
  <c r="AA459" i="28"/>
  <c r="X459" i="28"/>
  <c r="AO459" i="28"/>
  <c r="AQ466" i="28"/>
  <c r="AC466" i="28"/>
  <c r="BA466" i="28"/>
  <c r="AD466" i="28"/>
  <c r="AA466" i="28"/>
  <c r="X466" i="28"/>
  <c r="AO466" i="28"/>
  <c r="AQ473" i="28"/>
  <c r="BA473" i="28"/>
  <c r="AC473" i="28"/>
  <c r="AA473" i="28"/>
  <c r="AO473" i="28"/>
  <c r="AD473" i="28"/>
  <c r="X473" i="28"/>
  <c r="AQ480" i="28"/>
  <c r="BA480" i="28"/>
  <c r="AC480" i="28"/>
  <c r="AA480" i="28"/>
  <c r="X480" i="28"/>
  <c r="AD480" i="28"/>
  <c r="AO480" i="28"/>
  <c r="AQ487" i="28"/>
  <c r="BA487" i="28"/>
  <c r="AC487" i="28"/>
  <c r="X487" i="28"/>
  <c r="AA487" i="28"/>
  <c r="AO487" i="28"/>
  <c r="AD487" i="28"/>
  <c r="AQ494" i="28"/>
  <c r="BA494" i="28"/>
  <c r="AC494" i="28"/>
  <c r="AA494" i="28"/>
  <c r="AO494" i="28"/>
  <c r="X494" i="28"/>
  <c r="AD494" i="28"/>
  <c r="AQ501" i="28"/>
  <c r="BA501" i="28"/>
  <c r="AD501" i="28"/>
  <c r="AC501" i="28"/>
  <c r="X501" i="28"/>
  <c r="AA501" i="28"/>
  <c r="AO501" i="28"/>
  <c r="AS313" i="28"/>
  <c r="K313" i="58"/>
  <c r="K320" i="58"/>
  <c r="AS320" i="28"/>
  <c r="AS341" i="28"/>
  <c r="K341" i="58"/>
  <c r="K418" i="58"/>
  <c r="AS418" i="28"/>
  <c r="K474" i="58"/>
  <c r="AS474" i="28"/>
  <c r="AS495" i="28"/>
  <c r="K495" i="58"/>
  <c r="AS37" i="28"/>
  <c r="K37" i="58" s="1"/>
  <c r="AS352" i="28"/>
  <c r="K352" i="58"/>
  <c r="AS457" i="28"/>
  <c r="K457" i="58"/>
  <c r="AS83" i="28"/>
  <c r="K83" i="58"/>
  <c r="K132" i="58"/>
  <c r="AS132" i="28"/>
  <c r="AS188" i="28"/>
  <c r="K188" i="58"/>
  <c r="AS195" i="28"/>
  <c r="K195" i="58"/>
  <c r="K209" i="58"/>
  <c r="AS209" i="28"/>
  <c r="K265" i="58"/>
  <c r="AS265" i="28"/>
  <c r="K286" i="58"/>
  <c r="AS286" i="28"/>
  <c r="AS40" i="28"/>
  <c r="K40" i="58" s="1"/>
  <c r="AS61" i="28"/>
  <c r="K61" i="58"/>
  <c r="AS131" i="28"/>
  <c r="K131" i="58"/>
  <c r="AS187" i="28"/>
  <c r="K187" i="58"/>
  <c r="K194" i="58"/>
  <c r="AS194" i="28"/>
  <c r="AS215" i="28"/>
  <c r="K215" i="58"/>
  <c r="AS271" i="28"/>
  <c r="K271" i="58"/>
  <c r="K285" i="58"/>
  <c r="AS285" i="28"/>
  <c r="AS51" i="28"/>
  <c r="K51" i="58"/>
  <c r="AS233" i="28"/>
  <c r="K233" i="58"/>
  <c r="AS240" i="28"/>
  <c r="K240" i="58"/>
  <c r="AS247" i="28"/>
  <c r="K247" i="58"/>
  <c r="K125" i="58"/>
  <c r="AS125" i="28"/>
  <c r="K167" i="58"/>
  <c r="AS167" i="28"/>
  <c r="AS174" i="28"/>
  <c r="K174" i="58"/>
  <c r="K223" i="58"/>
  <c r="AS223" i="28"/>
  <c r="AS230" i="28"/>
  <c r="K230" i="58"/>
  <c r="K244" i="58"/>
  <c r="AS244" i="28"/>
  <c r="AS36" i="28"/>
  <c r="K36" i="58" s="1"/>
  <c r="AS43" i="28"/>
  <c r="K43" i="58"/>
  <c r="K50" i="58"/>
  <c r="AS50" i="28"/>
  <c r="AS57" i="28"/>
  <c r="K57" i="58"/>
  <c r="AS64" i="28"/>
  <c r="K64" i="58"/>
  <c r="AS71" i="28"/>
  <c r="K71" i="58"/>
  <c r="AS78" i="28"/>
  <c r="K78" i="58"/>
  <c r="AS85" i="28"/>
  <c r="K85" i="58"/>
  <c r="AS92" i="28"/>
  <c r="K92" i="58"/>
  <c r="AS99" i="28"/>
  <c r="K99" i="58"/>
  <c r="K106" i="58"/>
  <c r="AS106" i="28"/>
  <c r="AS113" i="28"/>
  <c r="K113" i="58"/>
  <c r="AS120" i="28"/>
  <c r="K120" i="58"/>
  <c r="AS127" i="28"/>
  <c r="K127" i="58"/>
  <c r="AS134" i="28"/>
  <c r="K134" i="58"/>
  <c r="AS141" i="28"/>
  <c r="K141" i="58"/>
  <c r="AS148" i="28"/>
  <c r="K148" i="58"/>
  <c r="AS155" i="28"/>
  <c r="K155" i="58"/>
  <c r="K162" i="58"/>
  <c r="AS162" i="28"/>
  <c r="AS169" i="28"/>
  <c r="K169" i="58"/>
  <c r="K176" i="58"/>
  <c r="AS176" i="28"/>
  <c r="AS183" i="28"/>
  <c r="K183" i="58"/>
  <c r="K190" i="58"/>
  <c r="AS190" i="28"/>
  <c r="AS197" i="28"/>
  <c r="K197" i="58"/>
  <c r="AS204" i="28"/>
  <c r="K204" i="58"/>
  <c r="AS211" i="28"/>
  <c r="K211" i="58"/>
  <c r="K218" i="58"/>
  <c r="AS218" i="28"/>
  <c r="AS225" i="28"/>
  <c r="K225" i="58"/>
  <c r="AS232" i="28"/>
  <c r="K232" i="58"/>
  <c r="AS239" i="28"/>
  <c r="K239" i="58"/>
  <c r="AS246" i="28"/>
  <c r="K246" i="58"/>
  <c r="AS253" i="28"/>
  <c r="K253" i="58"/>
  <c r="AS260" i="28"/>
  <c r="K260" i="58"/>
  <c r="AS267" i="28"/>
  <c r="K267" i="58"/>
  <c r="AS274" i="28"/>
  <c r="K274" i="58"/>
  <c r="AS281" i="28"/>
  <c r="K281" i="58"/>
  <c r="AS288" i="28"/>
  <c r="K288" i="58"/>
  <c r="AS295" i="28"/>
  <c r="K295" i="58"/>
  <c r="AS302" i="28"/>
  <c r="K302" i="58"/>
  <c r="AS309" i="28"/>
  <c r="K309" i="58"/>
  <c r="AS316" i="28"/>
  <c r="K316" i="58"/>
  <c r="AS323" i="28"/>
  <c r="K323" i="58"/>
  <c r="K330" i="58"/>
  <c r="AS330" i="28"/>
  <c r="AS337" i="28"/>
  <c r="K337" i="58"/>
  <c r="AS344" i="28"/>
  <c r="K344" i="58"/>
  <c r="AS351" i="28"/>
  <c r="K351" i="58"/>
  <c r="K358" i="58"/>
  <c r="AS358" i="28"/>
  <c r="AS365" i="28"/>
  <c r="K365" i="58"/>
  <c r="K372" i="58"/>
  <c r="AS372" i="28"/>
  <c r="AS379" i="28"/>
  <c r="K379" i="58"/>
  <c r="K386" i="58"/>
  <c r="AS386" i="28"/>
  <c r="AS393" i="28"/>
  <c r="K393" i="58"/>
  <c r="AS400" i="28"/>
  <c r="K400" i="58"/>
  <c r="AS407" i="28"/>
  <c r="K407" i="58"/>
  <c r="K414" i="58"/>
  <c r="AS414" i="28"/>
  <c r="AS421" i="28"/>
  <c r="K421" i="58"/>
  <c r="AS428" i="28"/>
  <c r="K428" i="58"/>
  <c r="AS435" i="28"/>
  <c r="K435" i="58"/>
  <c r="AS442" i="28"/>
  <c r="K442" i="58"/>
  <c r="AS449" i="28"/>
  <c r="K449" i="58"/>
  <c r="AS456" i="28"/>
  <c r="K456" i="58"/>
  <c r="AS463" i="28"/>
  <c r="K463" i="58"/>
  <c r="AS470" i="28"/>
  <c r="K470" i="58"/>
  <c r="AS477" i="28"/>
  <c r="K477" i="58"/>
  <c r="AS484" i="28"/>
  <c r="K484" i="58"/>
  <c r="AS491" i="28"/>
  <c r="K491" i="58"/>
  <c r="AS498" i="28"/>
  <c r="K498" i="58"/>
  <c r="AS505" i="28"/>
  <c r="K505" i="58"/>
  <c r="AS68" i="28"/>
  <c r="K68" i="58"/>
  <c r="AS145" i="28"/>
  <c r="K145" i="58"/>
  <c r="AS208" i="28"/>
  <c r="K208" i="58"/>
  <c r="AS222" i="28"/>
  <c r="K222" i="58"/>
  <c r="AS432" i="28"/>
  <c r="K432" i="58"/>
  <c r="AS33" i="28"/>
  <c r="K33" i="58" s="1"/>
  <c r="K47" i="58"/>
  <c r="AS47" i="28"/>
  <c r="AS103" i="28"/>
  <c r="K103" i="58"/>
  <c r="K110" i="58"/>
  <c r="AS110" i="28"/>
  <c r="K117" i="58"/>
  <c r="AS117" i="28"/>
  <c r="AS138" i="28"/>
  <c r="K138" i="58"/>
  <c r="AS327" i="28"/>
  <c r="K327" i="58"/>
  <c r="K348" i="58"/>
  <c r="AS348" i="28"/>
  <c r="K467" i="58"/>
  <c r="AS467" i="28"/>
  <c r="AS488" i="28"/>
  <c r="K488" i="58"/>
  <c r="K65" i="58"/>
  <c r="AS65" i="28"/>
  <c r="AS72" i="28"/>
  <c r="K72" i="58"/>
  <c r="AS142" i="28"/>
  <c r="K142" i="58"/>
  <c r="AS149" i="28"/>
  <c r="K149" i="58"/>
  <c r="AS198" i="28"/>
  <c r="K198" i="58"/>
  <c r="K205" i="58"/>
  <c r="AS205" i="28"/>
  <c r="AS212" i="28"/>
  <c r="K212" i="58"/>
  <c r="AS282" i="28"/>
  <c r="K282" i="58"/>
  <c r="AS345" i="28"/>
  <c r="K345" i="58"/>
  <c r="AS401" i="28"/>
  <c r="K401" i="58"/>
  <c r="AS408" i="28"/>
  <c r="K408" i="58"/>
  <c r="AS499" i="28"/>
  <c r="K499" i="58"/>
  <c r="AS180" i="28"/>
  <c r="K180" i="58"/>
  <c r="AS383" i="28"/>
  <c r="K383" i="58"/>
  <c r="K439" i="58"/>
  <c r="AS439" i="28"/>
  <c r="K219" i="58"/>
  <c r="AS219" i="28"/>
  <c r="AS226" i="28"/>
  <c r="K226" i="58"/>
  <c r="AS450" i="28"/>
  <c r="K450" i="58"/>
  <c r="AS478" i="28"/>
  <c r="K478" i="58"/>
  <c r="K111" i="58"/>
  <c r="AS111" i="28"/>
  <c r="AS153" i="28"/>
  <c r="K153" i="58"/>
  <c r="K160" i="58"/>
  <c r="AS160" i="28"/>
  <c r="AS237" i="28"/>
  <c r="K237" i="58"/>
  <c r="AS307" i="28"/>
  <c r="K307" i="58"/>
  <c r="AS321" i="28"/>
  <c r="K321" i="58"/>
  <c r="AS349" i="28"/>
  <c r="K349" i="58"/>
  <c r="K356" i="58"/>
  <c r="AS356" i="28"/>
  <c r="AS391" i="28"/>
  <c r="K391" i="58"/>
  <c r="AS475" i="28"/>
  <c r="K475" i="58"/>
  <c r="AS38" i="28"/>
  <c r="K38" i="58" s="1"/>
  <c r="AS45" i="28"/>
  <c r="K45" i="58"/>
  <c r="AS52" i="28"/>
  <c r="K52" i="58"/>
  <c r="AS59" i="28"/>
  <c r="K59" i="58"/>
  <c r="K66" i="58"/>
  <c r="AS66" i="28"/>
  <c r="AS73" i="28"/>
  <c r="K73" i="58"/>
  <c r="K80" i="58"/>
  <c r="AS80" i="28"/>
  <c r="AS87" i="28"/>
  <c r="K87" i="58"/>
  <c r="AS94" i="28"/>
  <c r="K94" i="58"/>
  <c r="AS101" i="28"/>
  <c r="K101" i="58"/>
  <c r="K108" i="58"/>
  <c r="AS108" i="28"/>
  <c r="AS115" i="28"/>
  <c r="K115" i="58"/>
  <c r="AS122" i="28"/>
  <c r="K122" i="58"/>
  <c r="AS129" i="28"/>
  <c r="K129" i="58"/>
  <c r="AS136" i="28"/>
  <c r="K136" i="58"/>
  <c r="AS143" i="28"/>
  <c r="K143" i="58"/>
  <c r="AS150" i="28"/>
  <c r="K150" i="58"/>
  <c r="AS157" i="28"/>
  <c r="K157" i="58"/>
  <c r="AS164" i="28"/>
  <c r="K164" i="58"/>
  <c r="AS171" i="28"/>
  <c r="K171" i="58"/>
  <c r="AS178" i="28"/>
  <c r="K178" i="58"/>
  <c r="AS185" i="28"/>
  <c r="K185" i="58"/>
  <c r="AS192" i="28"/>
  <c r="K192" i="58"/>
  <c r="AS199" i="28"/>
  <c r="K199" i="58"/>
  <c r="AS206" i="28"/>
  <c r="K206" i="58"/>
  <c r="AS213" i="28"/>
  <c r="K213" i="58"/>
  <c r="AS220" i="28"/>
  <c r="K220" i="58"/>
  <c r="AS227" i="28"/>
  <c r="K227" i="58"/>
  <c r="K234" i="58"/>
  <c r="AS234" i="28"/>
  <c r="AS241" i="28"/>
  <c r="K241" i="58"/>
  <c r="AS248" i="28"/>
  <c r="K248" i="58"/>
  <c r="AS255" i="28"/>
  <c r="K255" i="58"/>
  <c r="K262" i="58"/>
  <c r="AS262" i="28"/>
  <c r="AS269" i="28"/>
  <c r="K269" i="58"/>
  <c r="AS276" i="28"/>
  <c r="K276" i="58"/>
  <c r="AS283" i="28"/>
  <c r="K283" i="58"/>
  <c r="AS290" i="28"/>
  <c r="K290" i="58"/>
  <c r="AS297" i="28"/>
  <c r="K297" i="58"/>
  <c r="K304" i="58"/>
  <c r="AS304" i="28"/>
  <c r="AS311" i="28"/>
  <c r="K311" i="58"/>
  <c r="AS318" i="28"/>
  <c r="K318" i="58"/>
  <c r="AS325" i="28"/>
  <c r="K325" i="58"/>
  <c r="AS332" i="28"/>
  <c r="K332" i="58"/>
  <c r="AS339" i="28"/>
  <c r="K339" i="58"/>
  <c r="AS346" i="28"/>
  <c r="K346" i="58"/>
  <c r="AS353" i="28"/>
  <c r="K353" i="58"/>
  <c r="AS360" i="28"/>
  <c r="K360" i="58"/>
  <c r="AS367" i="28"/>
  <c r="K367" i="58"/>
  <c r="AS374" i="28"/>
  <c r="K374" i="58"/>
  <c r="AS381" i="28"/>
  <c r="K381" i="58"/>
  <c r="K388" i="58"/>
  <c r="AS388" i="28"/>
  <c r="AS395" i="28"/>
  <c r="K395" i="58"/>
  <c r="AS402" i="28"/>
  <c r="K402" i="58"/>
  <c r="AS409" i="28"/>
  <c r="K409" i="58"/>
  <c r="K416" i="58"/>
  <c r="AS416" i="28"/>
  <c r="AS423" i="28"/>
  <c r="K423" i="58"/>
  <c r="K430" i="58"/>
  <c r="AS430" i="28"/>
  <c r="AS437" i="28"/>
  <c r="K437" i="58"/>
  <c r="AS444" i="28"/>
  <c r="K444" i="58"/>
  <c r="AS451" i="28"/>
  <c r="K451" i="58"/>
  <c r="K458" i="58"/>
  <c r="AS458" i="28"/>
  <c r="AS465" i="28"/>
  <c r="K465" i="58"/>
  <c r="AS472" i="28"/>
  <c r="K472" i="58"/>
  <c r="AS479" i="28"/>
  <c r="K479" i="58"/>
  <c r="AS486" i="28"/>
  <c r="K486" i="58"/>
  <c r="AS493" i="28"/>
  <c r="K493" i="58"/>
  <c r="AS500" i="28"/>
  <c r="K500" i="58"/>
  <c r="AS507" i="28"/>
  <c r="K507" i="58"/>
  <c r="AS82" i="28"/>
  <c r="K82" i="58"/>
  <c r="K89" i="58"/>
  <c r="AS89" i="28"/>
  <c r="K166" i="58"/>
  <c r="AS166" i="28"/>
  <c r="K173" i="58"/>
  <c r="AS173" i="28"/>
  <c r="AS229" i="28"/>
  <c r="K229" i="58"/>
  <c r="AS236" i="28"/>
  <c r="K236" i="58"/>
  <c r="K306" i="58"/>
  <c r="AS306" i="28"/>
  <c r="AS334" i="28"/>
  <c r="K334" i="58"/>
  <c r="K355" i="58"/>
  <c r="AS355" i="28"/>
  <c r="K390" i="58"/>
  <c r="AS390" i="28"/>
  <c r="AS446" i="28"/>
  <c r="K446" i="58"/>
  <c r="K453" i="58"/>
  <c r="AS453" i="28"/>
  <c r="AS44" i="28"/>
  <c r="K44" i="58"/>
  <c r="AS86" i="28"/>
  <c r="K86" i="58"/>
  <c r="AS121" i="28"/>
  <c r="K121" i="58"/>
  <c r="AS128" i="28"/>
  <c r="K128" i="58"/>
  <c r="AS135" i="28"/>
  <c r="K135" i="58"/>
  <c r="K191" i="58"/>
  <c r="AS191" i="28"/>
  <c r="AS268" i="28"/>
  <c r="K268" i="58"/>
  <c r="AS317" i="28"/>
  <c r="K317" i="58"/>
  <c r="AS324" i="28"/>
  <c r="K324" i="58"/>
  <c r="AS359" i="28"/>
  <c r="K359" i="58"/>
  <c r="AS366" i="28"/>
  <c r="K366" i="58"/>
  <c r="AS373" i="28"/>
  <c r="K373" i="58"/>
  <c r="AS380" i="28"/>
  <c r="K380" i="58"/>
  <c r="AS506" i="28"/>
  <c r="K506" i="58"/>
  <c r="AS118" i="28"/>
  <c r="K118" i="58"/>
  <c r="K202" i="58"/>
  <c r="AS202" i="28"/>
  <c r="K272" i="58"/>
  <c r="AS272" i="28"/>
  <c r="AS279" i="28"/>
  <c r="K279" i="58"/>
  <c r="AS342" i="28"/>
  <c r="K342" i="58"/>
  <c r="AS412" i="28"/>
  <c r="K412" i="58"/>
  <c r="AS440" i="28"/>
  <c r="K440" i="58"/>
  <c r="AS468" i="28"/>
  <c r="K468" i="58"/>
  <c r="K496" i="58"/>
  <c r="AS496" i="28"/>
  <c r="AS75" i="28"/>
  <c r="K75" i="58"/>
  <c r="K152" i="58"/>
  <c r="AS152" i="28"/>
  <c r="AS292" i="28"/>
  <c r="K292" i="58"/>
  <c r="K362" i="58"/>
  <c r="AS362" i="28"/>
  <c r="AS369" i="28"/>
  <c r="K369" i="58"/>
  <c r="K460" i="58"/>
  <c r="AS460" i="28"/>
  <c r="AS100" i="28"/>
  <c r="K100" i="58"/>
  <c r="AS107" i="28"/>
  <c r="K107" i="58"/>
  <c r="AS114" i="28"/>
  <c r="K114" i="58"/>
  <c r="AS184" i="28"/>
  <c r="K184" i="58"/>
  <c r="AS303" i="28"/>
  <c r="K303" i="58"/>
  <c r="AS310" i="28"/>
  <c r="K310" i="58"/>
  <c r="AS436" i="28"/>
  <c r="K436" i="58"/>
  <c r="K443" i="58"/>
  <c r="AS443" i="28"/>
  <c r="AS48" i="28"/>
  <c r="K48" i="58"/>
  <c r="K55" i="58"/>
  <c r="AS55" i="28"/>
  <c r="K335" i="58"/>
  <c r="AS335" i="28"/>
  <c r="AS370" i="28"/>
  <c r="K370" i="58"/>
  <c r="AS377" i="28"/>
  <c r="K377" i="58"/>
  <c r="AS419" i="28"/>
  <c r="K419" i="58"/>
  <c r="AS426" i="28"/>
  <c r="K426" i="58"/>
  <c r="AS35" i="28"/>
  <c r="K35" i="58" s="1"/>
  <c r="AS42" i="28"/>
  <c r="K42" i="58"/>
  <c r="AS49" i="28"/>
  <c r="K49" i="58"/>
  <c r="AS56" i="28"/>
  <c r="K56" i="58"/>
  <c r="AS63" i="28"/>
  <c r="K63" i="58"/>
  <c r="AS70" i="28"/>
  <c r="K70" i="58"/>
  <c r="AS77" i="28"/>
  <c r="K77" i="58"/>
  <c r="AS84" i="28"/>
  <c r="K84" i="58"/>
  <c r="AS91" i="28"/>
  <c r="K91" i="58"/>
  <c r="AS98" i="28"/>
  <c r="K98" i="58"/>
  <c r="AS105" i="28"/>
  <c r="K105" i="58"/>
  <c r="AS112" i="28"/>
  <c r="K112" i="58"/>
  <c r="K119" i="58"/>
  <c r="AS119" i="28"/>
  <c r="AS126" i="28"/>
  <c r="K126" i="58"/>
  <c r="K133" i="58"/>
  <c r="AS133" i="28"/>
  <c r="AS140" i="28"/>
  <c r="K140" i="58"/>
  <c r="AS147" i="28"/>
  <c r="K147" i="58"/>
  <c r="AS154" i="28"/>
  <c r="K154" i="58"/>
  <c r="AS161" i="28"/>
  <c r="K161" i="58"/>
  <c r="AS168" i="28"/>
  <c r="K168" i="58"/>
  <c r="K175" i="58"/>
  <c r="AS175" i="28"/>
  <c r="AS182" i="28"/>
  <c r="K182" i="58"/>
  <c r="AS189" i="28"/>
  <c r="K189" i="58"/>
  <c r="AS196" i="28"/>
  <c r="K196" i="58"/>
  <c r="K203" i="58"/>
  <c r="AS203" i="28"/>
  <c r="AS210" i="28"/>
  <c r="K210" i="58"/>
  <c r="AS217" i="28"/>
  <c r="K217" i="58"/>
  <c r="AS224" i="28"/>
  <c r="K224" i="58"/>
  <c r="AS231" i="28"/>
  <c r="K231" i="58"/>
  <c r="AS238" i="28"/>
  <c r="K238" i="58"/>
  <c r="K245" i="58"/>
  <c r="AS245" i="28"/>
  <c r="AS252" i="28"/>
  <c r="K252" i="58"/>
  <c r="K259" i="58"/>
  <c r="AS259" i="28"/>
  <c r="AS266" i="28"/>
  <c r="K266" i="58"/>
  <c r="AS273" i="28"/>
  <c r="K273" i="58"/>
  <c r="AS280" i="28"/>
  <c r="K280" i="58"/>
  <c r="AS287" i="28"/>
  <c r="K287" i="58"/>
  <c r="AS294" i="28"/>
  <c r="K294" i="58"/>
  <c r="AS301" i="28"/>
  <c r="K301" i="58"/>
  <c r="AS308" i="28"/>
  <c r="K308" i="58"/>
  <c r="K315" i="58"/>
  <c r="AS315" i="28"/>
  <c r="AS322" i="28"/>
  <c r="K322" i="58"/>
  <c r="K329" i="58"/>
  <c r="AS329" i="28"/>
  <c r="AS336" i="28"/>
  <c r="K336" i="58"/>
  <c r="AS343" i="28"/>
  <c r="K343" i="58"/>
  <c r="AS350" i="28"/>
  <c r="K350" i="58"/>
  <c r="AS357" i="28"/>
  <c r="K357" i="58"/>
  <c r="AS364" i="28"/>
  <c r="K364" i="58"/>
  <c r="K371" i="58"/>
  <c r="AS371" i="28"/>
  <c r="AS378" i="28"/>
  <c r="K378" i="58"/>
  <c r="AS385" i="28"/>
  <c r="K385" i="58"/>
  <c r="AS392" i="28"/>
  <c r="K392" i="58"/>
  <c r="K399" i="58"/>
  <c r="AS399" i="28"/>
  <c r="AS406" i="28"/>
  <c r="K406" i="58"/>
  <c r="AS413" i="28"/>
  <c r="K413" i="58"/>
  <c r="AS420" i="28"/>
  <c r="K420" i="58"/>
  <c r="AS427" i="28"/>
  <c r="K427" i="58"/>
  <c r="AS434" i="28"/>
  <c r="K434" i="58"/>
  <c r="K441" i="58"/>
  <c r="AS441" i="28"/>
  <c r="AS448" i="28"/>
  <c r="K448" i="58"/>
  <c r="AS455" i="28"/>
  <c r="K455" i="58"/>
  <c r="AS462" i="28"/>
  <c r="K462" i="58"/>
  <c r="K469" i="58"/>
  <c r="AS469" i="28"/>
  <c r="AS476" i="28"/>
  <c r="K476" i="58"/>
  <c r="K483" i="58"/>
  <c r="AS483" i="28"/>
  <c r="AS490" i="28"/>
  <c r="K490" i="58"/>
  <c r="AS497" i="28"/>
  <c r="K497" i="58"/>
  <c r="AS504" i="28"/>
  <c r="K504" i="58"/>
  <c r="AS54" i="28"/>
  <c r="K54" i="58"/>
  <c r="AS124" i="28"/>
  <c r="K124" i="58"/>
  <c r="AS201" i="28"/>
  <c r="K201" i="58"/>
  <c r="AS250" i="28"/>
  <c r="K250" i="58"/>
  <c r="K257" i="58"/>
  <c r="AS257" i="28"/>
  <c r="AS264" i="28"/>
  <c r="K264" i="58"/>
  <c r="AS278" i="28"/>
  <c r="K278" i="58"/>
  <c r="K397" i="58"/>
  <c r="AS397" i="28"/>
  <c r="AS404" i="28"/>
  <c r="K404" i="58"/>
  <c r="AS411" i="28"/>
  <c r="K411" i="58"/>
  <c r="K425" i="58"/>
  <c r="AS425" i="28"/>
  <c r="AS79" i="28"/>
  <c r="K79" i="58"/>
  <c r="K261" i="58"/>
  <c r="AS261" i="28"/>
  <c r="AS275" i="28"/>
  <c r="K275" i="58"/>
  <c r="AS394" i="28"/>
  <c r="K394" i="58"/>
  <c r="AS464" i="28"/>
  <c r="K464" i="58"/>
  <c r="AS471" i="28"/>
  <c r="K471" i="58"/>
  <c r="AS485" i="28"/>
  <c r="K485" i="58"/>
  <c r="K90" i="58"/>
  <c r="AS90" i="28"/>
  <c r="K251" i="58"/>
  <c r="AS251" i="28"/>
  <c r="AS258" i="28"/>
  <c r="K258" i="58"/>
  <c r="K300" i="58"/>
  <c r="AS300" i="28"/>
  <c r="AS314" i="28"/>
  <c r="K314" i="58"/>
  <c r="AS363" i="28"/>
  <c r="K363" i="58"/>
  <c r="K398" i="58"/>
  <c r="AS398" i="28"/>
  <c r="AS447" i="28"/>
  <c r="K447" i="58"/>
  <c r="K454" i="58"/>
  <c r="AS454" i="28"/>
  <c r="K96" i="58"/>
  <c r="AS96" i="28"/>
  <c r="K159" i="58"/>
  <c r="AS159" i="28"/>
  <c r="K243" i="58"/>
  <c r="AS243" i="28"/>
  <c r="AS299" i="28"/>
  <c r="K299" i="58"/>
  <c r="AS376" i="28"/>
  <c r="K376" i="58"/>
  <c r="AS481" i="28"/>
  <c r="K481" i="58"/>
  <c r="AS502" i="28"/>
  <c r="K502" i="58"/>
  <c r="AS58" i="28"/>
  <c r="K58" i="58"/>
  <c r="AS93" i="28"/>
  <c r="K93" i="58"/>
  <c r="AS156" i="28"/>
  <c r="K156" i="58"/>
  <c r="AS163" i="28"/>
  <c r="K163" i="58"/>
  <c r="AS170" i="28"/>
  <c r="K170" i="58"/>
  <c r="AS177" i="28"/>
  <c r="K177" i="58"/>
  <c r="AS254" i="28"/>
  <c r="K254" i="58"/>
  <c r="K289" i="58"/>
  <c r="AS289" i="28"/>
  <c r="AS296" i="28"/>
  <c r="K296" i="58"/>
  <c r="AS331" i="28"/>
  <c r="K331" i="58"/>
  <c r="AS338" i="28"/>
  <c r="K338" i="58"/>
  <c r="AS387" i="28"/>
  <c r="K387" i="58"/>
  <c r="K415" i="58"/>
  <c r="AS415" i="28"/>
  <c r="AS422" i="28"/>
  <c r="K422" i="58"/>
  <c r="AS429" i="28"/>
  <c r="K429" i="58"/>
  <c r="AS492" i="28"/>
  <c r="K492" i="58"/>
  <c r="AS34" i="28"/>
  <c r="K34" i="58" s="1"/>
  <c r="AS41" i="28"/>
  <c r="K41" i="58"/>
  <c r="K62" i="58"/>
  <c r="AS62" i="28"/>
  <c r="K69" i="58"/>
  <c r="AS69" i="28"/>
  <c r="AS76" i="28"/>
  <c r="K76" i="58"/>
  <c r="K97" i="58"/>
  <c r="AS97" i="28"/>
  <c r="AS104" i="28"/>
  <c r="K104" i="58"/>
  <c r="K139" i="58"/>
  <c r="AS139" i="28"/>
  <c r="AS146" i="28"/>
  <c r="K146" i="58"/>
  <c r="K181" i="58"/>
  <c r="AS181" i="28"/>
  <c r="AS216" i="28"/>
  <c r="K216" i="58"/>
  <c r="K293" i="58"/>
  <c r="AS293" i="28"/>
  <c r="K328" i="58"/>
  <c r="AS328" i="28"/>
  <c r="AS384" i="28"/>
  <c r="K384" i="58"/>
  <c r="K405" i="58"/>
  <c r="AS405" i="28"/>
  <c r="AS433" i="28"/>
  <c r="K433" i="58"/>
  <c r="AS461" i="28"/>
  <c r="K461" i="58"/>
  <c r="K482" i="58"/>
  <c r="AS482" i="28"/>
  <c r="AS489" i="28"/>
  <c r="K489" i="58"/>
  <c r="AS503" i="28"/>
  <c r="K503" i="58"/>
  <c r="AS32" i="28"/>
  <c r="K32" i="58" s="1"/>
  <c r="AS39" i="28"/>
  <c r="K39" i="58" s="1"/>
  <c r="K46" i="58"/>
  <c r="AS46" i="28"/>
  <c r="AS53" i="28"/>
  <c r="K53" i="58"/>
  <c r="AS60" i="28"/>
  <c r="K60" i="58"/>
  <c r="AS67" i="28"/>
  <c r="K67" i="58"/>
  <c r="K74" i="58"/>
  <c r="AS74" i="28"/>
  <c r="AS81" i="28"/>
  <c r="K81" i="58"/>
  <c r="AS88" i="28"/>
  <c r="K88" i="58"/>
  <c r="K95" i="58"/>
  <c r="AS95" i="28"/>
  <c r="AS102" i="28"/>
  <c r="K102" i="58"/>
  <c r="K109" i="58"/>
  <c r="AS109" i="28"/>
  <c r="K116" i="58"/>
  <c r="AS116" i="28"/>
  <c r="AS123" i="28"/>
  <c r="K123" i="58"/>
  <c r="AS130" i="28"/>
  <c r="K130" i="58"/>
  <c r="AS137" i="28"/>
  <c r="K137" i="58"/>
  <c r="AS144" i="28"/>
  <c r="K144" i="58"/>
  <c r="K151" i="58"/>
  <c r="AS151" i="28"/>
  <c r="K158" i="58"/>
  <c r="AS158" i="28"/>
  <c r="AS165" i="28"/>
  <c r="K165" i="58"/>
  <c r="AS172" i="28"/>
  <c r="K172" i="58"/>
  <c r="AS179" i="28"/>
  <c r="K179" i="58"/>
  <c r="AS186" i="28"/>
  <c r="K186" i="58"/>
  <c r="AS193" i="28"/>
  <c r="K193" i="58"/>
  <c r="K200" i="58"/>
  <c r="AS200" i="28"/>
  <c r="AS207" i="28"/>
  <c r="K207" i="58"/>
  <c r="K214" i="58"/>
  <c r="AS214" i="28"/>
  <c r="AS221" i="28"/>
  <c r="K221" i="58"/>
  <c r="AS228" i="28"/>
  <c r="K228" i="58"/>
  <c r="AS235" i="28"/>
  <c r="K235" i="58"/>
  <c r="K242" i="58"/>
  <c r="AS242" i="28"/>
  <c r="AS249" i="28"/>
  <c r="K249" i="58"/>
  <c r="AS256" i="28"/>
  <c r="K256" i="58"/>
  <c r="AS263" i="28"/>
  <c r="K263" i="58"/>
  <c r="AS270" i="28"/>
  <c r="K270" i="58"/>
  <c r="K277" i="58"/>
  <c r="AS277" i="28"/>
  <c r="AS284" i="28"/>
  <c r="K284" i="58"/>
  <c r="AS291" i="28"/>
  <c r="K291" i="58"/>
  <c r="AS298" i="28"/>
  <c r="K298" i="58"/>
  <c r="K305" i="58"/>
  <c r="AS305" i="28"/>
  <c r="K312" i="58"/>
  <c r="AS312" i="28"/>
  <c r="K319" i="58"/>
  <c r="AS319" i="28"/>
  <c r="K326" i="58"/>
  <c r="AS326" i="28"/>
  <c r="AS333" i="28"/>
  <c r="K333" i="58"/>
  <c r="AS340" i="28"/>
  <c r="K340" i="58"/>
  <c r="K347" i="58"/>
  <c r="AS347" i="28"/>
  <c r="AS354" i="28"/>
  <c r="K354" i="58"/>
  <c r="AS361" i="28"/>
  <c r="K361" i="58"/>
  <c r="AS368" i="28"/>
  <c r="K368" i="58"/>
  <c r="AS375" i="28"/>
  <c r="K375" i="58"/>
  <c r="K382" i="58"/>
  <c r="AS382" i="28"/>
  <c r="AS389" i="28"/>
  <c r="K389" i="58"/>
  <c r="K396" i="58"/>
  <c r="AS396" i="28"/>
  <c r="AS403" i="28"/>
  <c r="K403" i="58"/>
  <c r="K410" i="58"/>
  <c r="AS410" i="28"/>
  <c r="K417" i="58"/>
  <c r="AS417" i="28"/>
  <c r="AS424" i="28"/>
  <c r="K424" i="58"/>
  <c r="AS431" i="28"/>
  <c r="K431" i="58"/>
  <c r="AS438" i="28"/>
  <c r="K438" i="58"/>
  <c r="K445" i="58"/>
  <c r="AS445" i="28"/>
  <c r="AS452" i="28"/>
  <c r="K452" i="58"/>
  <c r="K459" i="58"/>
  <c r="AS459" i="28"/>
  <c r="K466" i="58"/>
  <c r="AS466" i="28"/>
  <c r="K473" i="58"/>
  <c r="AS473" i="28"/>
  <c r="K480" i="58"/>
  <c r="AS480" i="28"/>
  <c r="AS487" i="28"/>
  <c r="K487" i="58"/>
  <c r="AS494" i="28"/>
  <c r="K494" i="58"/>
  <c r="K501" i="58"/>
  <c r="AS501" i="28"/>
  <c r="O32" i="58"/>
  <c r="I32" i="58"/>
  <c r="M32" i="58"/>
  <c r="C32" i="58"/>
  <c r="F32" i="58"/>
  <c r="E32" i="58"/>
  <c r="D32" i="58"/>
  <c r="H32" i="58"/>
  <c r="J32" i="58"/>
  <c r="G32" i="58"/>
  <c r="N151" i="58"/>
  <c r="O151" i="58"/>
  <c r="I151" i="58"/>
  <c r="H151" i="58"/>
  <c r="M151" i="58"/>
  <c r="P151" i="58"/>
  <c r="J151" i="58"/>
  <c r="F151" i="58"/>
  <c r="E151" i="58"/>
  <c r="D151" i="58"/>
  <c r="C151" i="58"/>
  <c r="G151" i="58"/>
  <c r="N179" i="58"/>
  <c r="O179" i="58"/>
  <c r="G179" i="58"/>
  <c r="M179" i="58"/>
  <c r="H179" i="58"/>
  <c r="D179" i="58"/>
  <c r="C179" i="58"/>
  <c r="J179" i="58"/>
  <c r="F179" i="58"/>
  <c r="I179" i="58"/>
  <c r="P179" i="58"/>
  <c r="E179" i="58"/>
  <c r="N78" i="58"/>
  <c r="O78" i="58"/>
  <c r="M78" i="58"/>
  <c r="J78" i="58"/>
  <c r="G78" i="58"/>
  <c r="I78" i="58"/>
  <c r="H78" i="58"/>
  <c r="F78" i="58"/>
  <c r="E78" i="58"/>
  <c r="D78" i="58"/>
  <c r="P78" i="58"/>
  <c r="C78" i="58"/>
  <c r="N85" i="58"/>
  <c r="M85" i="58"/>
  <c r="G85" i="58"/>
  <c r="I85" i="58"/>
  <c r="H85" i="58"/>
  <c r="J85" i="58"/>
  <c r="O85" i="58"/>
  <c r="F85" i="58"/>
  <c r="E85" i="58"/>
  <c r="C85" i="58"/>
  <c r="D85" i="58"/>
  <c r="P85" i="58"/>
  <c r="N120" i="58"/>
  <c r="O120" i="58"/>
  <c r="G120" i="58"/>
  <c r="F120" i="58"/>
  <c r="P120" i="58"/>
  <c r="I120" i="58"/>
  <c r="E120" i="58"/>
  <c r="H120" i="58"/>
  <c r="J120" i="58"/>
  <c r="M120" i="58"/>
  <c r="C120" i="58"/>
  <c r="D120" i="58"/>
  <c r="N127" i="58"/>
  <c r="O127" i="58"/>
  <c r="I127" i="58"/>
  <c r="H127" i="58"/>
  <c r="M127" i="58"/>
  <c r="J127" i="58"/>
  <c r="F127" i="58"/>
  <c r="D127" i="58"/>
  <c r="G127" i="58"/>
  <c r="C127" i="58"/>
  <c r="P127" i="58"/>
  <c r="E127" i="58"/>
  <c r="N134" i="58"/>
  <c r="O134" i="58"/>
  <c r="M134" i="58"/>
  <c r="G134" i="58"/>
  <c r="H134" i="58"/>
  <c r="C134" i="58"/>
  <c r="F134" i="58"/>
  <c r="P134" i="58"/>
  <c r="J134" i="58"/>
  <c r="D134" i="58"/>
  <c r="I134" i="58"/>
  <c r="E134" i="58"/>
  <c r="N141" i="58"/>
  <c r="O141" i="58"/>
  <c r="M141" i="58"/>
  <c r="I141" i="58"/>
  <c r="H141" i="58"/>
  <c r="E141" i="58"/>
  <c r="C141" i="58"/>
  <c r="J141" i="58"/>
  <c r="G141" i="58"/>
  <c r="D141" i="58"/>
  <c r="P141" i="58"/>
  <c r="F141" i="58"/>
  <c r="N148" i="58"/>
  <c r="O148" i="58"/>
  <c r="H148" i="58"/>
  <c r="I148" i="58"/>
  <c r="G148" i="58"/>
  <c r="M148" i="58"/>
  <c r="J148" i="58"/>
  <c r="C148" i="58"/>
  <c r="F148" i="58"/>
  <c r="E148" i="58"/>
  <c r="P148" i="58"/>
  <c r="D148" i="58"/>
  <c r="N155" i="58"/>
  <c r="O155" i="58"/>
  <c r="M155" i="58"/>
  <c r="I155" i="58"/>
  <c r="H155" i="58"/>
  <c r="G155" i="58"/>
  <c r="E155" i="58"/>
  <c r="D155" i="58"/>
  <c r="F155" i="58"/>
  <c r="J155" i="58"/>
  <c r="P155" i="58"/>
  <c r="C155" i="58"/>
  <c r="N162" i="58"/>
  <c r="M162" i="58"/>
  <c r="O162" i="58"/>
  <c r="J162" i="58"/>
  <c r="F162" i="58"/>
  <c r="E162" i="58"/>
  <c r="C162" i="58"/>
  <c r="H162" i="58"/>
  <c r="D162" i="58"/>
  <c r="P162" i="58"/>
  <c r="I162" i="58"/>
  <c r="G162" i="58"/>
  <c r="N169" i="58"/>
  <c r="O169" i="58"/>
  <c r="M169" i="58"/>
  <c r="I169" i="58"/>
  <c r="H169" i="58"/>
  <c r="G169" i="58"/>
  <c r="F169" i="58"/>
  <c r="E169" i="58"/>
  <c r="D169" i="58"/>
  <c r="J169" i="58"/>
  <c r="P169" i="58"/>
  <c r="C169" i="58"/>
  <c r="N176" i="58"/>
  <c r="O176" i="58"/>
  <c r="M176" i="58"/>
  <c r="J176" i="58"/>
  <c r="I176" i="58"/>
  <c r="F176" i="58"/>
  <c r="H176" i="58"/>
  <c r="E176" i="58"/>
  <c r="G176" i="58"/>
  <c r="D176" i="58"/>
  <c r="P176" i="58"/>
  <c r="C176" i="58"/>
  <c r="N183" i="58"/>
  <c r="O183" i="58"/>
  <c r="M183" i="58"/>
  <c r="J183" i="58"/>
  <c r="D183" i="58"/>
  <c r="F183" i="58"/>
  <c r="C183" i="58"/>
  <c r="E183" i="58"/>
  <c r="P183" i="58"/>
  <c r="I183" i="58"/>
  <c r="H183" i="58"/>
  <c r="G183" i="58"/>
  <c r="N190" i="58"/>
  <c r="H190" i="58"/>
  <c r="M190" i="58"/>
  <c r="I190" i="58"/>
  <c r="G190" i="58"/>
  <c r="J190" i="58"/>
  <c r="E190" i="58"/>
  <c r="D190" i="58"/>
  <c r="O190" i="58"/>
  <c r="P190" i="58"/>
  <c r="F190" i="58"/>
  <c r="C190" i="58"/>
  <c r="N197" i="58"/>
  <c r="O197" i="58"/>
  <c r="H197" i="58"/>
  <c r="I197" i="58"/>
  <c r="G197" i="58"/>
  <c r="F197" i="58"/>
  <c r="M197" i="58"/>
  <c r="P197" i="58"/>
  <c r="J197" i="58"/>
  <c r="E197" i="58"/>
  <c r="D197" i="58"/>
  <c r="C197" i="58"/>
  <c r="N204" i="58"/>
  <c r="O204" i="58"/>
  <c r="H204" i="58"/>
  <c r="M204" i="58"/>
  <c r="J204" i="58"/>
  <c r="G204" i="58"/>
  <c r="P204" i="58"/>
  <c r="C204" i="58"/>
  <c r="I204" i="58"/>
  <c r="F204" i="58"/>
  <c r="E204" i="58"/>
  <c r="D204" i="58"/>
  <c r="N211" i="58"/>
  <c r="O211" i="58"/>
  <c r="M211" i="58"/>
  <c r="G211" i="58"/>
  <c r="J211" i="58"/>
  <c r="P211" i="58"/>
  <c r="H211" i="58"/>
  <c r="I211" i="58"/>
  <c r="F211" i="58"/>
  <c r="E211" i="58"/>
  <c r="C211" i="58"/>
  <c r="D211" i="58"/>
  <c r="N218" i="58"/>
  <c r="O218" i="58"/>
  <c r="H218" i="58"/>
  <c r="M218" i="58"/>
  <c r="D218" i="58"/>
  <c r="J218" i="58"/>
  <c r="C218" i="58"/>
  <c r="F218" i="58"/>
  <c r="E218" i="58"/>
  <c r="G218" i="58"/>
  <c r="P218" i="58"/>
  <c r="I218" i="58"/>
  <c r="N225" i="58"/>
  <c r="O225" i="58"/>
  <c r="I225" i="58"/>
  <c r="F225" i="58"/>
  <c r="C225" i="58"/>
  <c r="E225" i="58"/>
  <c r="D225" i="58"/>
  <c r="P225" i="58"/>
  <c r="G225" i="58"/>
  <c r="J225" i="58"/>
  <c r="H225" i="58"/>
  <c r="M225" i="58"/>
  <c r="N232" i="58"/>
  <c r="O232" i="58"/>
  <c r="H232" i="58"/>
  <c r="G232" i="58"/>
  <c r="M232" i="58"/>
  <c r="I232" i="58"/>
  <c r="J232" i="58"/>
  <c r="F232" i="58"/>
  <c r="D232" i="58"/>
  <c r="C232" i="58"/>
  <c r="E232" i="58"/>
  <c r="P232" i="58"/>
  <c r="O239" i="58"/>
  <c r="N239" i="58"/>
  <c r="M239" i="58"/>
  <c r="J239" i="58"/>
  <c r="I239" i="58"/>
  <c r="G239" i="58"/>
  <c r="H239" i="58"/>
  <c r="C239" i="58"/>
  <c r="P239" i="58"/>
  <c r="E239" i="58"/>
  <c r="F239" i="58"/>
  <c r="D239" i="58"/>
  <c r="O246" i="58"/>
  <c r="N246" i="58"/>
  <c r="M246" i="58"/>
  <c r="H246" i="58"/>
  <c r="G246" i="58"/>
  <c r="I246" i="58"/>
  <c r="J246" i="58"/>
  <c r="D246" i="58"/>
  <c r="C246" i="58"/>
  <c r="E246" i="58"/>
  <c r="F246" i="58"/>
  <c r="P246" i="58"/>
  <c r="O253" i="58"/>
  <c r="N253" i="58"/>
  <c r="M253" i="58"/>
  <c r="G253" i="58"/>
  <c r="H253" i="58"/>
  <c r="I253" i="58"/>
  <c r="E253" i="58"/>
  <c r="D253" i="58"/>
  <c r="C253" i="58"/>
  <c r="F253" i="58"/>
  <c r="P253" i="58"/>
  <c r="J253" i="58"/>
  <c r="O260" i="58"/>
  <c r="N260" i="58"/>
  <c r="M260" i="58"/>
  <c r="H260" i="58"/>
  <c r="G260" i="58"/>
  <c r="J260" i="58"/>
  <c r="I260" i="58"/>
  <c r="F260" i="58"/>
  <c r="E260" i="58"/>
  <c r="D260" i="58"/>
  <c r="C260" i="58"/>
  <c r="P260" i="58"/>
  <c r="O267" i="58"/>
  <c r="N267" i="58"/>
  <c r="M267" i="58"/>
  <c r="H267" i="58"/>
  <c r="J267" i="58"/>
  <c r="E267" i="58"/>
  <c r="D267" i="58"/>
  <c r="I267" i="58"/>
  <c r="G267" i="58"/>
  <c r="P267" i="58"/>
  <c r="C267" i="58"/>
  <c r="F267" i="58"/>
  <c r="O274" i="58"/>
  <c r="N274" i="58"/>
  <c r="M274" i="58"/>
  <c r="H274" i="58"/>
  <c r="G274" i="58"/>
  <c r="I274" i="58"/>
  <c r="F274" i="58"/>
  <c r="E274" i="58"/>
  <c r="D274" i="58"/>
  <c r="J274" i="58"/>
  <c r="P274" i="58"/>
  <c r="C274" i="58"/>
  <c r="O281" i="58"/>
  <c r="N281" i="58"/>
  <c r="I281" i="58"/>
  <c r="J281" i="58"/>
  <c r="H281" i="58"/>
  <c r="M281" i="58"/>
  <c r="G281" i="58"/>
  <c r="F281" i="58"/>
  <c r="P281" i="58"/>
  <c r="E281" i="58"/>
  <c r="D281" i="58"/>
  <c r="C281" i="58"/>
  <c r="O288" i="58"/>
  <c r="N288" i="58"/>
  <c r="M288" i="58"/>
  <c r="H288" i="58"/>
  <c r="G288" i="58"/>
  <c r="J288" i="58"/>
  <c r="F288" i="58"/>
  <c r="E288" i="58"/>
  <c r="P288" i="58"/>
  <c r="I288" i="58"/>
  <c r="D288" i="58"/>
  <c r="C288" i="58"/>
  <c r="O295" i="58"/>
  <c r="N295" i="58"/>
  <c r="H295" i="58"/>
  <c r="G295" i="58"/>
  <c r="M295" i="58"/>
  <c r="I295" i="58"/>
  <c r="J295" i="58"/>
  <c r="F295" i="58"/>
  <c r="C295" i="58"/>
  <c r="P295" i="58"/>
  <c r="E295" i="58"/>
  <c r="D295" i="58"/>
  <c r="O302" i="58"/>
  <c r="N302" i="58"/>
  <c r="M302" i="58"/>
  <c r="H302" i="58"/>
  <c r="G302" i="58"/>
  <c r="I302" i="58"/>
  <c r="J302" i="58"/>
  <c r="E302" i="58"/>
  <c r="F302" i="58"/>
  <c r="P302" i="58"/>
  <c r="D302" i="58"/>
  <c r="C302" i="58"/>
  <c r="O309" i="58"/>
  <c r="N309" i="58"/>
  <c r="M309" i="58"/>
  <c r="J309" i="58"/>
  <c r="G309" i="58"/>
  <c r="E309" i="58"/>
  <c r="D309" i="58"/>
  <c r="I309" i="58"/>
  <c r="H309" i="58"/>
  <c r="P309" i="58"/>
  <c r="F309" i="58"/>
  <c r="C309" i="58"/>
  <c r="O316" i="58"/>
  <c r="N316" i="58"/>
  <c r="H316" i="58"/>
  <c r="M316" i="58"/>
  <c r="G316" i="58"/>
  <c r="D316" i="58"/>
  <c r="I316" i="58"/>
  <c r="J316" i="58"/>
  <c r="P316" i="58"/>
  <c r="C316" i="58"/>
  <c r="E316" i="58"/>
  <c r="F316" i="58"/>
  <c r="O323" i="58"/>
  <c r="N323" i="58"/>
  <c r="M323" i="58"/>
  <c r="G323" i="58"/>
  <c r="H323" i="58"/>
  <c r="J323" i="58"/>
  <c r="I323" i="58"/>
  <c r="D323" i="58"/>
  <c r="C323" i="58"/>
  <c r="E323" i="58"/>
  <c r="F323" i="58"/>
  <c r="P323" i="58"/>
  <c r="O330" i="58"/>
  <c r="N330" i="58"/>
  <c r="M330" i="58"/>
  <c r="H330" i="58"/>
  <c r="G330" i="58"/>
  <c r="J330" i="58"/>
  <c r="I330" i="58"/>
  <c r="C330" i="58"/>
  <c r="D330" i="58"/>
  <c r="F330" i="58"/>
  <c r="P330" i="58"/>
  <c r="E330" i="58"/>
  <c r="O337" i="58"/>
  <c r="N337" i="58"/>
  <c r="J337" i="58"/>
  <c r="I337" i="58"/>
  <c r="F337" i="58"/>
  <c r="E337" i="58"/>
  <c r="H337" i="58"/>
  <c r="G337" i="58"/>
  <c r="M337" i="58"/>
  <c r="C337" i="58"/>
  <c r="D337" i="58"/>
  <c r="P337" i="58"/>
  <c r="O344" i="58"/>
  <c r="N344" i="58"/>
  <c r="M344" i="58"/>
  <c r="H344" i="58"/>
  <c r="G344" i="58"/>
  <c r="I344" i="58"/>
  <c r="D344" i="58"/>
  <c r="C344" i="58"/>
  <c r="J344" i="58"/>
  <c r="P344" i="58"/>
  <c r="F344" i="58"/>
  <c r="E344" i="58"/>
  <c r="O351" i="58"/>
  <c r="N351" i="58"/>
  <c r="M351" i="58"/>
  <c r="H351" i="58"/>
  <c r="I351" i="58"/>
  <c r="J351" i="58"/>
  <c r="G351" i="58"/>
  <c r="C351" i="58"/>
  <c r="E351" i="58"/>
  <c r="D351" i="58"/>
  <c r="F351" i="58"/>
  <c r="P351" i="58"/>
  <c r="O358" i="58"/>
  <c r="N358" i="58"/>
  <c r="M358" i="58"/>
  <c r="H358" i="58"/>
  <c r="G358" i="58"/>
  <c r="J358" i="58"/>
  <c r="I358" i="58"/>
  <c r="C358" i="58"/>
  <c r="P358" i="58"/>
  <c r="D358" i="58"/>
  <c r="E358" i="58"/>
  <c r="F358" i="58"/>
  <c r="O365" i="58"/>
  <c r="N365" i="58"/>
  <c r="M365" i="58"/>
  <c r="G365" i="58"/>
  <c r="I365" i="58"/>
  <c r="H365" i="58"/>
  <c r="E365" i="58"/>
  <c r="J365" i="58"/>
  <c r="F365" i="58"/>
  <c r="C365" i="58"/>
  <c r="P365" i="58"/>
  <c r="D365" i="58"/>
  <c r="O372" i="58"/>
  <c r="N372" i="58"/>
  <c r="H372" i="58"/>
  <c r="G372" i="58"/>
  <c r="J372" i="58"/>
  <c r="M372" i="58"/>
  <c r="I372" i="58"/>
  <c r="F372" i="58"/>
  <c r="E372" i="58"/>
  <c r="D372" i="58"/>
  <c r="C372" i="58"/>
  <c r="P372" i="58"/>
  <c r="O379" i="58"/>
  <c r="N379" i="58"/>
  <c r="I379" i="58"/>
  <c r="H379" i="58"/>
  <c r="E379" i="58"/>
  <c r="M379" i="58"/>
  <c r="P379" i="58"/>
  <c r="J379" i="58"/>
  <c r="C379" i="58"/>
  <c r="G379" i="58"/>
  <c r="F379" i="58"/>
  <c r="D379" i="58"/>
  <c r="O386" i="58"/>
  <c r="N386" i="58"/>
  <c r="H386" i="58"/>
  <c r="G386" i="58"/>
  <c r="J386" i="58"/>
  <c r="F386" i="58"/>
  <c r="M386" i="58"/>
  <c r="E386" i="58"/>
  <c r="D386" i="58"/>
  <c r="C386" i="58"/>
  <c r="I386" i="58"/>
  <c r="P386" i="58"/>
  <c r="O393" i="58"/>
  <c r="N393" i="58"/>
  <c r="M393" i="58"/>
  <c r="H393" i="58"/>
  <c r="G393" i="58"/>
  <c r="P393" i="58"/>
  <c r="J393" i="58"/>
  <c r="I393" i="58"/>
  <c r="C393" i="58"/>
  <c r="F393" i="58"/>
  <c r="E393" i="58"/>
  <c r="D393" i="58"/>
  <c r="O400" i="58"/>
  <c r="N400" i="58"/>
  <c r="M400" i="58"/>
  <c r="H400" i="58"/>
  <c r="G400" i="58"/>
  <c r="J400" i="58"/>
  <c r="E400" i="58"/>
  <c r="D400" i="58"/>
  <c r="F400" i="58"/>
  <c r="C400" i="58"/>
  <c r="P400" i="58"/>
  <c r="I400" i="58"/>
  <c r="O407" i="58"/>
  <c r="N407" i="58"/>
  <c r="M407" i="58"/>
  <c r="G407" i="58"/>
  <c r="H407" i="58"/>
  <c r="I407" i="58"/>
  <c r="F407" i="58"/>
  <c r="E407" i="58"/>
  <c r="P407" i="58"/>
  <c r="J407" i="58"/>
  <c r="D407" i="58"/>
  <c r="C407" i="58"/>
  <c r="O414" i="58"/>
  <c r="N414" i="58"/>
  <c r="M414" i="58"/>
  <c r="H414" i="58"/>
  <c r="G414" i="58"/>
  <c r="J414" i="58"/>
  <c r="E414" i="58"/>
  <c r="I414" i="58"/>
  <c r="C414" i="58"/>
  <c r="P414" i="58"/>
  <c r="D414" i="58"/>
  <c r="F414" i="58"/>
  <c r="O421" i="58"/>
  <c r="N421" i="58"/>
  <c r="M421" i="58"/>
  <c r="I421" i="58"/>
  <c r="H421" i="58"/>
  <c r="C421" i="58"/>
  <c r="J421" i="58"/>
  <c r="P421" i="58"/>
  <c r="D421" i="58"/>
  <c r="G421" i="58"/>
  <c r="E421" i="58"/>
  <c r="F421" i="58"/>
  <c r="O428" i="58"/>
  <c r="N428" i="58"/>
  <c r="M428" i="58"/>
  <c r="H428" i="58"/>
  <c r="G428" i="58"/>
  <c r="I428" i="58"/>
  <c r="J428" i="58"/>
  <c r="F428" i="58"/>
  <c r="E428" i="58"/>
  <c r="D428" i="58"/>
  <c r="C428" i="58"/>
  <c r="P428" i="58"/>
  <c r="O435" i="58"/>
  <c r="N435" i="58"/>
  <c r="M435" i="58"/>
  <c r="J435" i="58"/>
  <c r="I435" i="58"/>
  <c r="F435" i="58"/>
  <c r="C435" i="58"/>
  <c r="G435" i="58"/>
  <c r="E435" i="58"/>
  <c r="D435" i="58"/>
  <c r="H435" i="58"/>
  <c r="P435" i="58"/>
  <c r="O442" i="58"/>
  <c r="N442" i="58"/>
  <c r="M442" i="58"/>
  <c r="H442" i="58"/>
  <c r="G442" i="58"/>
  <c r="I442" i="58"/>
  <c r="J442" i="58"/>
  <c r="F442" i="58"/>
  <c r="E442" i="58"/>
  <c r="C442" i="58"/>
  <c r="D442" i="58"/>
  <c r="P442" i="58"/>
  <c r="O449" i="58"/>
  <c r="N449" i="58"/>
  <c r="G449" i="58"/>
  <c r="M449" i="58"/>
  <c r="H449" i="58"/>
  <c r="I449" i="58"/>
  <c r="F449" i="58"/>
  <c r="C449" i="58"/>
  <c r="P449" i="58"/>
  <c r="D449" i="58"/>
  <c r="E449" i="58"/>
  <c r="J449" i="58"/>
  <c r="O456" i="58"/>
  <c r="N456" i="58"/>
  <c r="M456" i="58"/>
  <c r="I456" i="58"/>
  <c r="H456" i="58"/>
  <c r="G456" i="58"/>
  <c r="F456" i="58"/>
  <c r="E456" i="58"/>
  <c r="P456" i="58"/>
  <c r="J456" i="58"/>
  <c r="D456" i="58"/>
  <c r="C456" i="58"/>
  <c r="O463" i="58"/>
  <c r="N463" i="58"/>
  <c r="M463" i="58"/>
  <c r="H463" i="58"/>
  <c r="G463" i="58"/>
  <c r="I463" i="58"/>
  <c r="J463" i="58"/>
  <c r="F463" i="58"/>
  <c r="E463" i="58"/>
  <c r="D463" i="58"/>
  <c r="P463" i="58"/>
  <c r="C463" i="58"/>
  <c r="O470" i="58"/>
  <c r="N470" i="58"/>
  <c r="M470" i="58"/>
  <c r="J470" i="58"/>
  <c r="I470" i="58"/>
  <c r="H470" i="58"/>
  <c r="F470" i="58"/>
  <c r="E470" i="58"/>
  <c r="D470" i="58"/>
  <c r="G470" i="58"/>
  <c r="C470" i="58"/>
  <c r="P470" i="58"/>
  <c r="O477" i="58"/>
  <c r="N477" i="58"/>
  <c r="I477" i="58"/>
  <c r="M477" i="58"/>
  <c r="F477" i="58"/>
  <c r="J477" i="58"/>
  <c r="E477" i="58"/>
  <c r="D477" i="58"/>
  <c r="H477" i="58"/>
  <c r="P477" i="58"/>
  <c r="C477" i="58"/>
  <c r="G477" i="58"/>
  <c r="O484" i="58"/>
  <c r="N484" i="58"/>
  <c r="M484" i="58"/>
  <c r="H484" i="58"/>
  <c r="I484" i="58"/>
  <c r="E484" i="58"/>
  <c r="J484" i="58"/>
  <c r="P484" i="58"/>
  <c r="F484" i="58"/>
  <c r="G484" i="58"/>
  <c r="D484" i="58"/>
  <c r="C484" i="58"/>
  <c r="O491" i="58"/>
  <c r="N491" i="58"/>
  <c r="J491" i="58"/>
  <c r="I491" i="58"/>
  <c r="M491" i="58"/>
  <c r="F491" i="58"/>
  <c r="D491" i="58"/>
  <c r="H491" i="58"/>
  <c r="C491" i="58"/>
  <c r="P491" i="58"/>
  <c r="E491" i="58"/>
  <c r="G491" i="58"/>
  <c r="O498" i="58"/>
  <c r="N498" i="58"/>
  <c r="M498" i="58"/>
  <c r="G498" i="58"/>
  <c r="H498" i="58"/>
  <c r="J498" i="58"/>
  <c r="P498" i="58"/>
  <c r="I498" i="58"/>
  <c r="F498" i="58"/>
  <c r="E498" i="58"/>
  <c r="D498" i="58"/>
  <c r="C498" i="58"/>
  <c r="O505" i="58"/>
  <c r="N505" i="58"/>
  <c r="H505" i="58"/>
  <c r="G505" i="58"/>
  <c r="F505" i="58"/>
  <c r="E505" i="58"/>
  <c r="M505" i="58"/>
  <c r="D505" i="58"/>
  <c r="J505" i="58"/>
  <c r="I505" i="58"/>
  <c r="P505" i="58"/>
  <c r="C505" i="58"/>
  <c r="N42" i="58"/>
  <c r="O42" i="58"/>
  <c r="E42" i="58"/>
  <c r="J42" i="58"/>
  <c r="H42" i="58"/>
  <c r="G42" i="58"/>
  <c r="I42" i="58"/>
  <c r="C42" i="58"/>
  <c r="M42" i="58"/>
  <c r="D42" i="58"/>
  <c r="P42" i="58"/>
  <c r="F42" i="58"/>
  <c r="O74" i="58"/>
  <c r="N74" i="58"/>
  <c r="M74" i="58"/>
  <c r="J74" i="58"/>
  <c r="I74" i="58"/>
  <c r="G74" i="58"/>
  <c r="E74" i="58"/>
  <c r="C74" i="58"/>
  <c r="D74" i="58"/>
  <c r="P74" i="58"/>
  <c r="F74" i="58"/>
  <c r="H74" i="58"/>
  <c r="O130" i="58"/>
  <c r="N130" i="58"/>
  <c r="H130" i="58"/>
  <c r="G130" i="58"/>
  <c r="M130" i="58"/>
  <c r="J130" i="58"/>
  <c r="I130" i="58"/>
  <c r="C130" i="58"/>
  <c r="F130" i="58"/>
  <c r="E130" i="58"/>
  <c r="D130" i="58"/>
  <c r="P130" i="58"/>
  <c r="N137" i="58"/>
  <c r="O137" i="58"/>
  <c r="F137" i="58"/>
  <c r="M137" i="58"/>
  <c r="P137" i="58"/>
  <c r="E137" i="58"/>
  <c r="D137" i="58"/>
  <c r="I137" i="58"/>
  <c r="J137" i="58"/>
  <c r="H137" i="58"/>
  <c r="G137" i="58"/>
  <c r="C137" i="58"/>
  <c r="N92" i="58"/>
  <c r="O92" i="58"/>
  <c r="M92" i="58"/>
  <c r="H92" i="58"/>
  <c r="G92" i="58"/>
  <c r="P92" i="58"/>
  <c r="J92" i="58"/>
  <c r="I92" i="58"/>
  <c r="D92" i="58"/>
  <c r="F92" i="58"/>
  <c r="E92" i="58"/>
  <c r="C92" i="58"/>
  <c r="O88" i="58"/>
  <c r="M88" i="58"/>
  <c r="I88" i="58"/>
  <c r="J88" i="58"/>
  <c r="H88" i="58"/>
  <c r="C88" i="58"/>
  <c r="F88" i="58"/>
  <c r="N88" i="58"/>
  <c r="P88" i="58"/>
  <c r="D88" i="58"/>
  <c r="G88" i="58"/>
  <c r="E88" i="58"/>
  <c r="O186" i="58"/>
  <c r="N186" i="58"/>
  <c r="J186" i="58"/>
  <c r="M186" i="58"/>
  <c r="G186" i="58"/>
  <c r="I186" i="58"/>
  <c r="H186" i="58"/>
  <c r="P186" i="58"/>
  <c r="E186" i="58"/>
  <c r="D186" i="58"/>
  <c r="C186" i="58"/>
  <c r="F186" i="58"/>
  <c r="N193" i="58"/>
  <c r="M193" i="58"/>
  <c r="O193" i="58"/>
  <c r="G193" i="58"/>
  <c r="J193" i="58"/>
  <c r="D193" i="58"/>
  <c r="H193" i="58"/>
  <c r="C193" i="58"/>
  <c r="P193" i="58"/>
  <c r="I193" i="58"/>
  <c r="F193" i="58"/>
  <c r="E193" i="58"/>
  <c r="N110" i="58"/>
  <c r="M110" i="58"/>
  <c r="J110" i="58"/>
  <c r="I110" i="58"/>
  <c r="O110" i="58"/>
  <c r="G110" i="58"/>
  <c r="F110" i="58"/>
  <c r="E110" i="58"/>
  <c r="D110" i="58"/>
  <c r="P110" i="58"/>
  <c r="H110" i="58"/>
  <c r="C110" i="58"/>
  <c r="N187" i="58"/>
  <c r="O187" i="58"/>
  <c r="I187" i="58"/>
  <c r="M187" i="58"/>
  <c r="D187" i="58"/>
  <c r="P187" i="58"/>
  <c r="G187" i="58"/>
  <c r="F187" i="58"/>
  <c r="J187" i="58"/>
  <c r="H187" i="58"/>
  <c r="E187" i="58"/>
  <c r="C187" i="58"/>
  <c r="O229" i="58"/>
  <c r="N229" i="58"/>
  <c r="I229" i="58"/>
  <c r="H229" i="58"/>
  <c r="D229" i="58"/>
  <c r="P229" i="58"/>
  <c r="M229" i="58"/>
  <c r="G229" i="58"/>
  <c r="F229" i="58"/>
  <c r="E229" i="58"/>
  <c r="C229" i="58"/>
  <c r="J229" i="58"/>
  <c r="O271" i="58"/>
  <c r="N271" i="58"/>
  <c r="M271" i="58"/>
  <c r="I271" i="58"/>
  <c r="H271" i="58"/>
  <c r="D271" i="58"/>
  <c r="P271" i="58"/>
  <c r="J271" i="58"/>
  <c r="G271" i="58"/>
  <c r="F271" i="58"/>
  <c r="E271" i="58"/>
  <c r="C271" i="58"/>
  <c r="M278" i="58"/>
  <c r="O278" i="58"/>
  <c r="N278" i="58"/>
  <c r="J278" i="58"/>
  <c r="I278" i="58"/>
  <c r="H278" i="58"/>
  <c r="E278" i="58"/>
  <c r="D278" i="58"/>
  <c r="F278" i="58"/>
  <c r="G278" i="58"/>
  <c r="C278" i="58"/>
  <c r="P278" i="58"/>
  <c r="O425" i="58"/>
  <c r="N425" i="58"/>
  <c r="M425" i="58"/>
  <c r="I425" i="58"/>
  <c r="H425" i="58"/>
  <c r="D425" i="58"/>
  <c r="P425" i="58"/>
  <c r="G425" i="58"/>
  <c r="F425" i="58"/>
  <c r="E425" i="58"/>
  <c r="J425" i="58"/>
  <c r="C425" i="58"/>
  <c r="O460" i="58"/>
  <c r="N460" i="58"/>
  <c r="M460" i="58"/>
  <c r="I460" i="58"/>
  <c r="H460" i="58"/>
  <c r="E460" i="58"/>
  <c r="G460" i="58"/>
  <c r="D460" i="58"/>
  <c r="J460" i="58"/>
  <c r="F460" i="58"/>
  <c r="P460" i="58"/>
  <c r="C460" i="58"/>
  <c r="N488" i="58"/>
  <c r="M488" i="58"/>
  <c r="J488" i="58"/>
  <c r="I488" i="58"/>
  <c r="O488" i="58"/>
  <c r="H488" i="58"/>
  <c r="E488" i="58"/>
  <c r="G488" i="58"/>
  <c r="C488" i="58"/>
  <c r="D488" i="58"/>
  <c r="P488" i="58"/>
  <c r="F488" i="58"/>
  <c r="N81" i="58"/>
  <c r="O81" i="58"/>
  <c r="M81" i="58"/>
  <c r="I81" i="58"/>
  <c r="H81" i="58"/>
  <c r="G81" i="58"/>
  <c r="D81" i="58"/>
  <c r="C81" i="58"/>
  <c r="J81" i="58"/>
  <c r="P81" i="58"/>
  <c r="E81" i="58"/>
  <c r="F81" i="58"/>
  <c r="N144" i="58"/>
  <c r="H144" i="58"/>
  <c r="G144" i="58"/>
  <c r="I144" i="58"/>
  <c r="O144" i="58"/>
  <c r="M144" i="58"/>
  <c r="C144" i="58"/>
  <c r="P144" i="58"/>
  <c r="J144" i="58"/>
  <c r="F144" i="58"/>
  <c r="D144" i="58"/>
  <c r="E144" i="58"/>
  <c r="O200" i="58"/>
  <c r="N200" i="58"/>
  <c r="M200" i="58"/>
  <c r="H200" i="58"/>
  <c r="G200" i="58"/>
  <c r="C200" i="58"/>
  <c r="F200" i="58"/>
  <c r="J200" i="58"/>
  <c r="D200" i="58"/>
  <c r="I200" i="58"/>
  <c r="E200" i="58"/>
  <c r="P200" i="58"/>
  <c r="O36" i="58"/>
  <c r="M36" i="58"/>
  <c r="I36" i="58"/>
  <c r="G36" i="58"/>
  <c r="J36" i="58"/>
  <c r="D36" i="58"/>
  <c r="H36" i="58"/>
  <c r="E36" i="58"/>
  <c r="F36" i="58"/>
  <c r="P36" i="58"/>
  <c r="C36" i="58"/>
  <c r="M103" i="58"/>
  <c r="N103" i="58"/>
  <c r="O103" i="58"/>
  <c r="D103" i="58"/>
  <c r="P103" i="58"/>
  <c r="I103" i="58"/>
  <c r="H103" i="58"/>
  <c r="C103" i="58"/>
  <c r="J103" i="58"/>
  <c r="F103" i="58"/>
  <c r="G103" i="58"/>
  <c r="E103" i="58"/>
  <c r="N145" i="58"/>
  <c r="M145" i="58"/>
  <c r="G145" i="58"/>
  <c r="D145" i="58"/>
  <c r="P145" i="58"/>
  <c r="I145" i="58"/>
  <c r="H145" i="58"/>
  <c r="C145" i="58"/>
  <c r="J145" i="58"/>
  <c r="O145" i="58"/>
  <c r="F145" i="58"/>
  <c r="E145" i="58"/>
  <c r="O152" i="58"/>
  <c r="M152" i="58"/>
  <c r="J152" i="58"/>
  <c r="I152" i="58"/>
  <c r="H152" i="58"/>
  <c r="G152" i="58"/>
  <c r="F152" i="58"/>
  <c r="E152" i="58"/>
  <c r="P152" i="58"/>
  <c r="C152" i="58"/>
  <c r="N152" i="58"/>
  <c r="D152" i="58"/>
  <c r="N194" i="58"/>
  <c r="H194" i="58"/>
  <c r="I194" i="58"/>
  <c r="O194" i="58"/>
  <c r="G194" i="58"/>
  <c r="J194" i="58"/>
  <c r="C194" i="58"/>
  <c r="M194" i="58"/>
  <c r="D194" i="58"/>
  <c r="P194" i="58"/>
  <c r="F194" i="58"/>
  <c r="E194" i="58"/>
  <c r="O201" i="58"/>
  <c r="N201" i="58"/>
  <c r="M201" i="58"/>
  <c r="I201" i="58"/>
  <c r="D201" i="58"/>
  <c r="P201" i="58"/>
  <c r="G201" i="58"/>
  <c r="F201" i="58"/>
  <c r="E201" i="58"/>
  <c r="H201" i="58"/>
  <c r="C201" i="58"/>
  <c r="J201" i="58"/>
  <c r="O208" i="58"/>
  <c r="G208" i="58"/>
  <c r="J208" i="58"/>
  <c r="M208" i="58"/>
  <c r="N208" i="58"/>
  <c r="H208" i="58"/>
  <c r="D208" i="58"/>
  <c r="E208" i="58"/>
  <c r="C208" i="58"/>
  <c r="P208" i="58"/>
  <c r="F208" i="58"/>
  <c r="I208" i="58"/>
  <c r="N250" i="58"/>
  <c r="M250" i="58"/>
  <c r="I250" i="58"/>
  <c r="O250" i="58"/>
  <c r="G250" i="58"/>
  <c r="H250" i="58"/>
  <c r="F250" i="58"/>
  <c r="P250" i="58"/>
  <c r="E250" i="58"/>
  <c r="D250" i="58"/>
  <c r="C250" i="58"/>
  <c r="J250" i="58"/>
  <c r="O292" i="58"/>
  <c r="M292" i="58"/>
  <c r="G292" i="58"/>
  <c r="H292" i="58"/>
  <c r="E292" i="58"/>
  <c r="I292" i="58"/>
  <c r="J292" i="58"/>
  <c r="N292" i="58"/>
  <c r="C292" i="58"/>
  <c r="P292" i="58"/>
  <c r="D292" i="58"/>
  <c r="F292" i="58"/>
  <c r="M299" i="58"/>
  <c r="O299" i="58"/>
  <c r="N299" i="58"/>
  <c r="I299" i="58"/>
  <c r="H299" i="58"/>
  <c r="J299" i="58"/>
  <c r="D299" i="58"/>
  <c r="P299" i="58"/>
  <c r="F299" i="58"/>
  <c r="E299" i="58"/>
  <c r="C299" i="58"/>
  <c r="G299" i="58"/>
  <c r="O341" i="58"/>
  <c r="N341" i="58"/>
  <c r="I341" i="58"/>
  <c r="H341" i="58"/>
  <c r="M341" i="58"/>
  <c r="D341" i="58"/>
  <c r="P341" i="58"/>
  <c r="J341" i="58"/>
  <c r="G341" i="58"/>
  <c r="F341" i="58"/>
  <c r="E341" i="58"/>
  <c r="C341" i="58"/>
  <c r="O383" i="58"/>
  <c r="N383" i="58"/>
  <c r="M383" i="58"/>
  <c r="I383" i="58"/>
  <c r="H383" i="58"/>
  <c r="J383" i="58"/>
  <c r="G383" i="58"/>
  <c r="D383" i="58"/>
  <c r="P383" i="58"/>
  <c r="F383" i="58"/>
  <c r="E383" i="58"/>
  <c r="C383" i="58"/>
  <c r="N390" i="58"/>
  <c r="O390" i="58"/>
  <c r="G390" i="58"/>
  <c r="I390" i="58"/>
  <c r="E390" i="58"/>
  <c r="D390" i="58"/>
  <c r="M390" i="58"/>
  <c r="C390" i="58"/>
  <c r="J390" i="58"/>
  <c r="F390" i="58"/>
  <c r="H390" i="58"/>
  <c r="P390" i="58"/>
  <c r="M404" i="58"/>
  <c r="I404" i="58"/>
  <c r="E404" i="58"/>
  <c r="N404" i="58"/>
  <c r="H404" i="58"/>
  <c r="J404" i="58"/>
  <c r="G404" i="58"/>
  <c r="O404" i="58"/>
  <c r="C404" i="58"/>
  <c r="F404" i="58"/>
  <c r="P404" i="58"/>
  <c r="D404" i="58"/>
  <c r="O37" i="58"/>
  <c r="M37" i="58"/>
  <c r="I37" i="58"/>
  <c r="G37" i="58"/>
  <c r="F37" i="58"/>
  <c r="C37" i="58"/>
  <c r="J37" i="58"/>
  <c r="P37" i="58"/>
  <c r="E37" i="58"/>
  <c r="D37" i="58"/>
  <c r="H37" i="58"/>
  <c r="N44" i="58"/>
  <c r="M44" i="58"/>
  <c r="O44" i="58"/>
  <c r="E44" i="58"/>
  <c r="C44" i="58"/>
  <c r="D44" i="58"/>
  <c r="P44" i="58"/>
  <c r="J44" i="58"/>
  <c r="G44" i="58"/>
  <c r="H44" i="58"/>
  <c r="F44" i="58"/>
  <c r="I44" i="58"/>
  <c r="N65" i="58"/>
  <c r="M65" i="58"/>
  <c r="I65" i="58"/>
  <c r="F65" i="58"/>
  <c r="C65" i="58"/>
  <c r="G65" i="58"/>
  <c r="O65" i="58"/>
  <c r="J65" i="58"/>
  <c r="E65" i="58"/>
  <c r="D65" i="58"/>
  <c r="P65" i="58"/>
  <c r="H65" i="58"/>
  <c r="N93" i="58"/>
  <c r="M93" i="58"/>
  <c r="I93" i="58"/>
  <c r="F93" i="58"/>
  <c r="C93" i="58"/>
  <c r="J93" i="58"/>
  <c r="H93" i="58"/>
  <c r="O93" i="58"/>
  <c r="D93" i="58"/>
  <c r="G93" i="58"/>
  <c r="E93" i="58"/>
  <c r="P93" i="58"/>
  <c r="O114" i="58"/>
  <c r="N114" i="58"/>
  <c r="M114" i="58"/>
  <c r="J114" i="58"/>
  <c r="D114" i="58"/>
  <c r="C114" i="58"/>
  <c r="E114" i="58"/>
  <c r="F114" i="58"/>
  <c r="H114" i="58"/>
  <c r="G114" i="58"/>
  <c r="P114" i="58"/>
  <c r="I114" i="58"/>
  <c r="N121" i="58"/>
  <c r="J121" i="58"/>
  <c r="F121" i="58"/>
  <c r="C121" i="58"/>
  <c r="H121" i="58"/>
  <c r="G121" i="58"/>
  <c r="E121" i="58"/>
  <c r="D121" i="58"/>
  <c r="P121" i="58"/>
  <c r="I121" i="58"/>
  <c r="M121" i="58"/>
  <c r="O121" i="58"/>
  <c r="N128" i="58"/>
  <c r="O128" i="58"/>
  <c r="J128" i="58"/>
  <c r="I128" i="58"/>
  <c r="H128" i="58"/>
  <c r="G128" i="58"/>
  <c r="P128" i="58"/>
  <c r="E128" i="58"/>
  <c r="F128" i="58"/>
  <c r="D128" i="58"/>
  <c r="M128" i="58"/>
  <c r="C128" i="58"/>
  <c r="O135" i="58"/>
  <c r="J135" i="58"/>
  <c r="N135" i="58"/>
  <c r="G135" i="58"/>
  <c r="F135" i="58"/>
  <c r="C135" i="58"/>
  <c r="I135" i="58"/>
  <c r="H135" i="58"/>
  <c r="M135" i="58"/>
  <c r="P135" i="58"/>
  <c r="E135" i="58"/>
  <c r="D135" i="58"/>
  <c r="O142" i="58"/>
  <c r="N142" i="58"/>
  <c r="M142" i="58"/>
  <c r="F142" i="58"/>
  <c r="E142" i="58"/>
  <c r="G142" i="58"/>
  <c r="C142" i="58"/>
  <c r="H142" i="58"/>
  <c r="J142" i="58"/>
  <c r="I142" i="58"/>
  <c r="D142" i="58"/>
  <c r="P142" i="58"/>
  <c r="O149" i="58"/>
  <c r="N149" i="58"/>
  <c r="M149" i="58"/>
  <c r="J149" i="58"/>
  <c r="F149" i="58"/>
  <c r="C149" i="58"/>
  <c r="I149" i="58"/>
  <c r="E149" i="58"/>
  <c r="D149" i="58"/>
  <c r="H149" i="58"/>
  <c r="G149" i="58"/>
  <c r="P149" i="58"/>
  <c r="N156" i="58"/>
  <c r="O156" i="58"/>
  <c r="M156" i="58"/>
  <c r="I156" i="58"/>
  <c r="H156" i="58"/>
  <c r="J156" i="58"/>
  <c r="G156" i="58"/>
  <c r="F156" i="58"/>
  <c r="D156" i="58"/>
  <c r="E156" i="58"/>
  <c r="P156" i="58"/>
  <c r="C156" i="58"/>
  <c r="N163" i="58"/>
  <c r="O163" i="58"/>
  <c r="J163" i="58"/>
  <c r="M163" i="58"/>
  <c r="F163" i="58"/>
  <c r="C163" i="58"/>
  <c r="G163" i="58"/>
  <c r="D163" i="58"/>
  <c r="P163" i="58"/>
  <c r="I163" i="58"/>
  <c r="H163" i="58"/>
  <c r="E163" i="58"/>
  <c r="O170" i="58"/>
  <c r="N170" i="58"/>
  <c r="M170" i="58"/>
  <c r="H170" i="58"/>
  <c r="I170" i="58"/>
  <c r="G170" i="58"/>
  <c r="D170" i="58"/>
  <c r="C170" i="58"/>
  <c r="F170" i="58"/>
  <c r="J170" i="58"/>
  <c r="E170" i="58"/>
  <c r="P170" i="58"/>
  <c r="O177" i="58"/>
  <c r="N177" i="58"/>
  <c r="M177" i="58"/>
  <c r="J177" i="58"/>
  <c r="I177" i="58"/>
  <c r="F177" i="58"/>
  <c r="C177" i="58"/>
  <c r="E177" i="58"/>
  <c r="G177" i="58"/>
  <c r="P177" i="58"/>
  <c r="H177" i="58"/>
  <c r="D177" i="58"/>
  <c r="O184" i="58"/>
  <c r="J184" i="58"/>
  <c r="M184" i="58"/>
  <c r="H184" i="58"/>
  <c r="F184" i="58"/>
  <c r="E184" i="58"/>
  <c r="N184" i="58"/>
  <c r="I184" i="58"/>
  <c r="D184" i="58"/>
  <c r="C184" i="58"/>
  <c r="P184" i="58"/>
  <c r="G184" i="58"/>
  <c r="O191" i="58"/>
  <c r="N191" i="58"/>
  <c r="M191" i="58"/>
  <c r="J191" i="58"/>
  <c r="F191" i="58"/>
  <c r="C191" i="58"/>
  <c r="E191" i="58"/>
  <c r="D191" i="58"/>
  <c r="G191" i="58"/>
  <c r="H191" i="58"/>
  <c r="P191" i="58"/>
  <c r="I191" i="58"/>
  <c r="O198" i="58"/>
  <c r="N198" i="58"/>
  <c r="M198" i="58"/>
  <c r="J198" i="58"/>
  <c r="I198" i="58"/>
  <c r="G198" i="58"/>
  <c r="H198" i="58"/>
  <c r="D198" i="58"/>
  <c r="F198" i="58"/>
  <c r="C198" i="58"/>
  <c r="E198" i="58"/>
  <c r="P198" i="58"/>
  <c r="N205" i="58"/>
  <c r="O205" i="58"/>
  <c r="G205" i="58"/>
  <c r="M205" i="58"/>
  <c r="F205" i="58"/>
  <c r="C205" i="58"/>
  <c r="P205" i="58"/>
  <c r="E205" i="58"/>
  <c r="D205" i="58"/>
  <c r="J205" i="58"/>
  <c r="I205" i="58"/>
  <c r="H205" i="58"/>
  <c r="O212" i="58"/>
  <c r="M212" i="58"/>
  <c r="J212" i="58"/>
  <c r="N212" i="58"/>
  <c r="H212" i="58"/>
  <c r="I212" i="58"/>
  <c r="G212" i="58"/>
  <c r="F212" i="58"/>
  <c r="P212" i="58"/>
  <c r="E212" i="58"/>
  <c r="D212" i="58"/>
  <c r="C212" i="58"/>
  <c r="O219" i="58"/>
  <c r="N219" i="58"/>
  <c r="J219" i="58"/>
  <c r="F219" i="58"/>
  <c r="C219" i="58"/>
  <c r="I219" i="58"/>
  <c r="H219" i="58"/>
  <c r="M219" i="58"/>
  <c r="E219" i="58"/>
  <c r="D219" i="58"/>
  <c r="P219" i="58"/>
  <c r="G219" i="58"/>
  <c r="O226" i="58"/>
  <c r="N226" i="58"/>
  <c r="M226" i="58"/>
  <c r="J226" i="58"/>
  <c r="I226" i="58"/>
  <c r="H226" i="58"/>
  <c r="P226" i="58"/>
  <c r="G226" i="58"/>
  <c r="F226" i="58"/>
  <c r="E226" i="58"/>
  <c r="C226" i="58"/>
  <c r="D226" i="58"/>
  <c r="O233" i="58"/>
  <c r="N233" i="58"/>
  <c r="M233" i="58"/>
  <c r="H233" i="58"/>
  <c r="G233" i="58"/>
  <c r="F233" i="58"/>
  <c r="C233" i="58"/>
  <c r="I233" i="58"/>
  <c r="D233" i="58"/>
  <c r="J233" i="58"/>
  <c r="E233" i="58"/>
  <c r="P233" i="58"/>
  <c r="O240" i="58"/>
  <c r="N240" i="58"/>
  <c r="J240" i="58"/>
  <c r="I240" i="58"/>
  <c r="M240" i="58"/>
  <c r="H240" i="58"/>
  <c r="C240" i="58"/>
  <c r="P240" i="58"/>
  <c r="G240" i="58"/>
  <c r="F240" i="58"/>
  <c r="E240" i="58"/>
  <c r="D240" i="58"/>
  <c r="O247" i="58"/>
  <c r="M247" i="58"/>
  <c r="N247" i="58"/>
  <c r="F247" i="58"/>
  <c r="C247" i="58"/>
  <c r="J247" i="58"/>
  <c r="I247" i="58"/>
  <c r="H247" i="58"/>
  <c r="G247" i="58"/>
  <c r="P247" i="58"/>
  <c r="E247" i="58"/>
  <c r="D247" i="58"/>
  <c r="N254" i="58"/>
  <c r="O254" i="58"/>
  <c r="J254" i="58"/>
  <c r="I254" i="58"/>
  <c r="G254" i="58"/>
  <c r="H254" i="58"/>
  <c r="F254" i="58"/>
  <c r="C254" i="58"/>
  <c r="M254" i="58"/>
  <c r="E254" i="58"/>
  <c r="D254" i="58"/>
  <c r="P254" i="58"/>
  <c r="O261" i="58"/>
  <c r="N261" i="58"/>
  <c r="M261" i="58"/>
  <c r="J261" i="58"/>
  <c r="G261" i="58"/>
  <c r="F261" i="58"/>
  <c r="C261" i="58"/>
  <c r="I261" i="58"/>
  <c r="P261" i="58"/>
  <c r="H261" i="58"/>
  <c r="E261" i="58"/>
  <c r="D261" i="58"/>
  <c r="M268" i="58"/>
  <c r="J268" i="58"/>
  <c r="I268" i="58"/>
  <c r="O268" i="58"/>
  <c r="N268" i="58"/>
  <c r="G268" i="58"/>
  <c r="H268" i="58"/>
  <c r="E268" i="58"/>
  <c r="D268" i="58"/>
  <c r="C268" i="58"/>
  <c r="P268" i="58"/>
  <c r="F268" i="58"/>
  <c r="N275" i="58"/>
  <c r="O275" i="58"/>
  <c r="M275" i="58"/>
  <c r="J275" i="58"/>
  <c r="I275" i="58"/>
  <c r="F275" i="58"/>
  <c r="C275" i="58"/>
  <c r="G275" i="58"/>
  <c r="H275" i="58"/>
  <c r="D275" i="58"/>
  <c r="E275" i="58"/>
  <c r="P275" i="58"/>
  <c r="N282" i="58"/>
  <c r="O282" i="58"/>
  <c r="M282" i="58"/>
  <c r="J282" i="58"/>
  <c r="I282" i="58"/>
  <c r="G282" i="58"/>
  <c r="F282" i="58"/>
  <c r="H282" i="58"/>
  <c r="P282" i="58"/>
  <c r="C282" i="58"/>
  <c r="D282" i="58"/>
  <c r="E282" i="58"/>
  <c r="N289" i="58"/>
  <c r="O289" i="58"/>
  <c r="M289" i="58"/>
  <c r="H289" i="58"/>
  <c r="F289" i="58"/>
  <c r="C289" i="58"/>
  <c r="I289" i="58"/>
  <c r="G289" i="58"/>
  <c r="J289" i="58"/>
  <c r="E289" i="58"/>
  <c r="D289" i="58"/>
  <c r="P289" i="58"/>
  <c r="N296" i="58"/>
  <c r="O296" i="58"/>
  <c r="J296" i="58"/>
  <c r="I296" i="58"/>
  <c r="M296" i="58"/>
  <c r="G296" i="58"/>
  <c r="F296" i="58"/>
  <c r="E296" i="58"/>
  <c r="D296" i="58"/>
  <c r="C296" i="58"/>
  <c r="P296" i="58"/>
  <c r="H296" i="58"/>
  <c r="N303" i="58"/>
  <c r="O303" i="58"/>
  <c r="M303" i="58"/>
  <c r="J303" i="58"/>
  <c r="F303" i="58"/>
  <c r="C303" i="58"/>
  <c r="D303" i="58"/>
  <c r="P303" i="58"/>
  <c r="I303" i="58"/>
  <c r="H303" i="58"/>
  <c r="E303" i="58"/>
  <c r="G303" i="58"/>
  <c r="N310" i="58"/>
  <c r="J310" i="58"/>
  <c r="I310" i="58"/>
  <c r="M310" i="58"/>
  <c r="O310" i="58"/>
  <c r="E310" i="58"/>
  <c r="D310" i="58"/>
  <c r="G310" i="58"/>
  <c r="H310" i="58"/>
  <c r="P310" i="58"/>
  <c r="C310" i="58"/>
  <c r="F310" i="58"/>
  <c r="N317" i="58"/>
  <c r="O317" i="58"/>
  <c r="M317" i="58"/>
  <c r="I317" i="58"/>
  <c r="F317" i="58"/>
  <c r="C317" i="58"/>
  <c r="H317" i="58"/>
  <c r="G317" i="58"/>
  <c r="E317" i="58"/>
  <c r="J317" i="58"/>
  <c r="P317" i="58"/>
  <c r="D317" i="58"/>
  <c r="N324" i="58"/>
  <c r="O324" i="58"/>
  <c r="M324" i="58"/>
  <c r="J324" i="58"/>
  <c r="I324" i="58"/>
  <c r="H324" i="58"/>
  <c r="G324" i="58"/>
  <c r="D324" i="58"/>
  <c r="P324" i="58"/>
  <c r="C324" i="58"/>
  <c r="F324" i="58"/>
  <c r="E324" i="58"/>
  <c r="N331" i="58"/>
  <c r="M331" i="58"/>
  <c r="O331" i="58"/>
  <c r="H331" i="58"/>
  <c r="G331" i="58"/>
  <c r="F331" i="58"/>
  <c r="C331" i="58"/>
  <c r="I331" i="58"/>
  <c r="J331" i="58"/>
  <c r="E331" i="58"/>
  <c r="P331" i="58"/>
  <c r="D331" i="58"/>
  <c r="N338" i="58"/>
  <c r="O338" i="58"/>
  <c r="J338" i="58"/>
  <c r="I338" i="58"/>
  <c r="H338" i="58"/>
  <c r="M338" i="58"/>
  <c r="D338" i="58"/>
  <c r="G338" i="58"/>
  <c r="F338" i="58"/>
  <c r="C338" i="58"/>
  <c r="E338" i="58"/>
  <c r="P338" i="58"/>
  <c r="N345" i="58"/>
  <c r="O345" i="58"/>
  <c r="H345" i="58"/>
  <c r="F345" i="58"/>
  <c r="C345" i="58"/>
  <c r="J345" i="58"/>
  <c r="I345" i="58"/>
  <c r="G345" i="58"/>
  <c r="M345" i="58"/>
  <c r="E345" i="58"/>
  <c r="P345" i="58"/>
  <c r="D345" i="58"/>
  <c r="N352" i="58"/>
  <c r="O352" i="58"/>
  <c r="J352" i="58"/>
  <c r="I352" i="58"/>
  <c r="M352" i="58"/>
  <c r="F352" i="58"/>
  <c r="E352" i="58"/>
  <c r="D352" i="58"/>
  <c r="G352" i="58"/>
  <c r="P352" i="58"/>
  <c r="C352" i="58"/>
  <c r="H352" i="58"/>
  <c r="N359" i="58"/>
  <c r="M359" i="58"/>
  <c r="O359" i="58"/>
  <c r="H359" i="58"/>
  <c r="F359" i="58"/>
  <c r="C359" i="58"/>
  <c r="D359" i="58"/>
  <c r="I359" i="58"/>
  <c r="G359" i="58"/>
  <c r="J359" i="58"/>
  <c r="E359" i="58"/>
  <c r="P359" i="58"/>
  <c r="N366" i="58"/>
  <c r="M366" i="58"/>
  <c r="O366" i="58"/>
  <c r="J366" i="58"/>
  <c r="I366" i="58"/>
  <c r="F366" i="58"/>
  <c r="G366" i="58"/>
  <c r="D366" i="58"/>
  <c r="P366" i="58"/>
  <c r="E366" i="58"/>
  <c r="C366" i="58"/>
  <c r="H366" i="58"/>
  <c r="N373" i="58"/>
  <c r="O373" i="58"/>
  <c r="M373" i="58"/>
  <c r="J373" i="58"/>
  <c r="I373" i="58"/>
  <c r="F373" i="58"/>
  <c r="C373" i="58"/>
  <c r="H373" i="58"/>
  <c r="D373" i="58"/>
  <c r="G373" i="58"/>
  <c r="P373" i="58"/>
  <c r="E373" i="58"/>
  <c r="N380" i="58"/>
  <c r="O380" i="58"/>
  <c r="J380" i="58"/>
  <c r="M380" i="58"/>
  <c r="I380" i="58"/>
  <c r="G380" i="58"/>
  <c r="H380" i="58"/>
  <c r="F380" i="58"/>
  <c r="E380" i="58"/>
  <c r="D380" i="58"/>
  <c r="C380" i="58"/>
  <c r="P380" i="58"/>
  <c r="N387" i="58"/>
  <c r="O387" i="58"/>
  <c r="M387" i="58"/>
  <c r="F387" i="58"/>
  <c r="C387" i="58"/>
  <c r="I387" i="58"/>
  <c r="G387" i="58"/>
  <c r="H387" i="58"/>
  <c r="J387" i="58"/>
  <c r="D387" i="58"/>
  <c r="E387" i="58"/>
  <c r="P387" i="58"/>
  <c r="N394" i="58"/>
  <c r="J394" i="58"/>
  <c r="I394" i="58"/>
  <c r="G394" i="58"/>
  <c r="E394" i="58"/>
  <c r="M394" i="58"/>
  <c r="H394" i="58"/>
  <c r="O394" i="58"/>
  <c r="C394" i="58"/>
  <c r="P394" i="58"/>
  <c r="D394" i="58"/>
  <c r="F394" i="58"/>
  <c r="N401" i="58"/>
  <c r="M401" i="58"/>
  <c r="O401" i="58"/>
  <c r="F401" i="58"/>
  <c r="C401" i="58"/>
  <c r="H401" i="58"/>
  <c r="G401" i="58"/>
  <c r="I401" i="58"/>
  <c r="E401" i="58"/>
  <c r="P401" i="58"/>
  <c r="D401" i="58"/>
  <c r="J401" i="58"/>
  <c r="N408" i="58"/>
  <c r="M408" i="58"/>
  <c r="J408" i="58"/>
  <c r="I408" i="58"/>
  <c r="H408" i="58"/>
  <c r="G408" i="58"/>
  <c r="E408" i="58"/>
  <c r="P408" i="58"/>
  <c r="O408" i="58"/>
  <c r="D408" i="58"/>
  <c r="C408" i="58"/>
  <c r="F408" i="58"/>
  <c r="N415" i="58"/>
  <c r="O415" i="58"/>
  <c r="M415" i="58"/>
  <c r="J415" i="58"/>
  <c r="F415" i="58"/>
  <c r="C415" i="58"/>
  <c r="G415" i="58"/>
  <c r="P415" i="58"/>
  <c r="E415" i="58"/>
  <c r="I415" i="58"/>
  <c r="H415" i="58"/>
  <c r="D415" i="58"/>
  <c r="N422" i="58"/>
  <c r="O422" i="58"/>
  <c r="J422" i="58"/>
  <c r="I422" i="58"/>
  <c r="H422" i="58"/>
  <c r="M422" i="58"/>
  <c r="F422" i="58"/>
  <c r="P422" i="58"/>
  <c r="G422" i="58"/>
  <c r="E422" i="58"/>
  <c r="D422" i="58"/>
  <c r="C422" i="58"/>
  <c r="N429" i="58"/>
  <c r="O429" i="58"/>
  <c r="M429" i="58"/>
  <c r="H429" i="58"/>
  <c r="G429" i="58"/>
  <c r="I429" i="58"/>
  <c r="F429" i="58"/>
  <c r="C429" i="58"/>
  <c r="E429" i="58"/>
  <c r="J429" i="58"/>
  <c r="D429" i="58"/>
  <c r="P429" i="58"/>
  <c r="N436" i="58"/>
  <c r="M436" i="58"/>
  <c r="O436" i="58"/>
  <c r="J436" i="58"/>
  <c r="I436" i="58"/>
  <c r="H436" i="58"/>
  <c r="G436" i="58"/>
  <c r="F436" i="58"/>
  <c r="C436" i="58"/>
  <c r="E436" i="58"/>
  <c r="D436" i="58"/>
  <c r="P436" i="58"/>
  <c r="N443" i="58"/>
  <c r="M443" i="58"/>
  <c r="O443" i="58"/>
  <c r="F443" i="58"/>
  <c r="C443" i="58"/>
  <c r="G443" i="58"/>
  <c r="H443" i="58"/>
  <c r="I443" i="58"/>
  <c r="E443" i="58"/>
  <c r="D443" i="58"/>
  <c r="J443" i="58"/>
  <c r="P443" i="58"/>
  <c r="N450" i="58"/>
  <c r="J450" i="58"/>
  <c r="I450" i="58"/>
  <c r="O450" i="58"/>
  <c r="M450" i="58"/>
  <c r="G450" i="58"/>
  <c r="F450" i="58"/>
  <c r="E450" i="58"/>
  <c r="C450" i="58"/>
  <c r="D450" i="58"/>
  <c r="P450" i="58"/>
  <c r="H450" i="58"/>
  <c r="N457" i="58"/>
  <c r="O457" i="58"/>
  <c r="I457" i="58"/>
  <c r="M457" i="58"/>
  <c r="G457" i="58"/>
  <c r="F457" i="58"/>
  <c r="C457" i="58"/>
  <c r="J457" i="58"/>
  <c r="D457" i="58"/>
  <c r="E457" i="58"/>
  <c r="H457" i="58"/>
  <c r="P457" i="58"/>
  <c r="N464" i="58"/>
  <c r="J464" i="58"/>
  <c r="I464" i="58"/>
  <c r="O464" i="58"/>
  <c r="M464" i="58"/>
  <c r="F464" i="58"/>
  <c r="G464" i="58"/>
  <c r="D464" i="58"/>
  <c r="C464" i="58"/>
  <c r="H464" i="58"/>
  <c r="E464" i="58"/>
  <c r="P464" i="58"/>
  <c r="N471" i="58"/>
  <c r="O471" i="58"/>
  <c r="G471" i="58"/>
  <c r="J471" i="58"/>
  <c r="F471" i="58"/>
  <c r="C471" i="58"/>
  <c r="M471" i="58"/>
  <c r="E471" i="58"/>
  <c r="P471" i="58"/>
  <c r="H471" i="58"/>
  <c r="D471" i="58"/>
  <c r="I471" i="58"/>
  <c r="N478" i="58"/>
  <c r="O478" i="58"/>
  <c r="M478" i="58"/>
  <c r="G478" i="58"/>
  <c r="I478" i="58"/>
  <c r="H478" i="58"/>
  <c r="J478" i="58"/>
  <c r="F478" i="58"/>
  <c r="D478" i="58"/>
  <c r="C478" i="58"/>
  <c r="E478" i="58"/>
  <c r="P478" i="58"/>
  <c r="N485" i="58"/>
  <c r="O485" i="58"/>
  <c r="M485" i="58"/>
  <c r="J485" i="58"/>
  <c r="I485" i="58"/>
  <c r="C485" i="58"/>
  <c r="D485" i="58"/>
  <c r="H485" i="58"/>
  <c r="E485" i="58"/>
  <c r="G485" i="58"/>
  <c r="F485" i="58"/>
  <c r="P485" i="58"/>
  <c r="N492" i="58"/>
  <c r="M492" i="58"/>
  <c r="O492" i="58"/>
  <c r="G492" i="58"/>
  <c r="J492" i="58"/>
  <c r="H492" i="58"/>
  <c r="I492" i="58"/>
  <c r="F492" i="58"/>
  <c r="E492" i="58"/>
  <c r="D492" i="58"/>
  <c r="P492" i="58"/>
  <c r="C492" i="58"/>
  <c r="N499" i="58"/>
  <c r="O499" i="58"/>
  <c r="C499" i="58"/>
  <c r="E499" i="58"/>
  <c r="P499" i="58"/>
  <c r="D499" i="58"/>
  <c r="I499" i="58"/>
  <c r="J499" i="58"/>
  <c r="H499" i="58"/>
  <c r="G499" i="58"/>
  <c r="M499" i="58"/>
  <c r="F499" i="58"/>
  <c r="N506" i="58"/>
  <c r="O506" i="58"/>
  <c r="M506" i="58"/>
  <c r="G506" i="58"/>
  <c r="J506" i="58"/>
  <c r="I506" i="58"/>
  <c r="H506" i="58"/>
  <c r="E506" i="58"/>
  <c r="F506" i="58"/>
  <c r="D506" i="58"/>
  <c r="C506" i="58"/>
  <c r="P506" i="58"/>
  <c r="N95" i="58"/>
  <c r="M95" i="58"/>
  <c r="O95" i="58"/>
  <c r="G95" i="58"/>
  <c r="J95" i="58"/>
  <c r="I95" i="58"/>
  <c r="H95" i="58"/>
  <c r="P95" i="58"/>
  <c r="F95" i="58"/>
  <c r="E95" i="58"/>
  <c r="D95" i="58"/>
  <c r="C95" i="58"/>
  <c r="O102" i="58"/>
  <c r="N102" i="58"/>
  <c r="H102" i="58"/>
  <c r="G102" i="58"/>
  <c r="J102" i="58"/>
  <c r="I102" i="58"/>
  <c r="E102" i="58"/>
  <c r="M102" i="58"/>
  <c r="C102" i="58"/>
  <c r="P102" i="58"/>
  <c r="F102" i="58"/>
  <c r="D102" i="58"/>
  <c r="N109" i="58"/>
  <c r="O109" i="58"/>
  <c r="M109" i="58"/>
  <c r="G109" i="58"/>
  <c r="J109" i="58"/>
  <c r="I109" i="58"/>
  <c r="H109" i="58"/>
  <c r="C109" i="58"/>
  <c r="P109" i="58"/>
  <c r="F109" i="58"/>
  <c r="E109" i="58"/>
  <c r="D109" i="58"/>
  <c r="O158" i="58"/>
  <c r="N158" i="58"/>
  <c r="M158" i="58"/>
  <c r="H158" i="58"/>
  <c r="G158" i="58"/>
  <c r="I158" i="58"/>
  <c r="J158" i="58"/>
  <c r="P158" i="58"/>
  <c r="C158" i="58"/>
  <c r="E158" i="58"/>
  <c r="D158" i="58"/>
  <c r="F158" i="58"/>
  <c r="N165" i="58"/>
  <c r="O165" i="58"/>
  <c r="G165" i="58"/>
  <c r="I165" i="58"/>
  <c r="H165" i="58"/>
  <c r="C165" i="58"/>
  <c r="J165" i="58"/>
  <c r="M165" i="58"/>
  <c r="P165" i="58"/>
  <c r="F165" i="58"/>
  <c r="E165" i="58"/>
  <c r="D165" i="58"/>
  <c r="N113" i="58"/>
  <c r="O113" i="58"/>
  <c r="I113" i="58"/>
  <c r="H113" i="58"/>
  <c r="M113" i="58"/>
  <c r="J113" i="58"/>
  <c r="G113" i="58"/>
  <c r="D113" i="58"/>
  <c r="P113" i="58"/>
  <c r="C113" i="58"/>
  <c r="E113" i="58"/>
  <c r="F113" i="58"/>
  <c r="O82" i="58"/>
  <c r="N82" i="58"/>
  <c r="M82" i="58"/>
  <c r="H82" i="58"/>
  <c r="I82" i="58"/>
  <c r="C82" i="58"/>
  <c r="J82" i="58"/>
  <c r="G82" i="58"/>
  <c r="F82" i="58"/>
  <c r="P82" i="58"/>
  <c r="E82" i="58"/>
  <c r="D82" i="58"/>
  <c r="O89" i="58"/>
  <c r="N89" i="58"/>
  <c r="M89" i="58"/>
  <c r="D89" i="58"/>
  <c r="P89" i="58"/>
  <c r="J89" i="58"/>
  <c r="I89" i="58"/>
  <c r="F89" i="58"/>
  <c r="C89" i="58"/>
  <c r="E89" i="58"/>
  <c r="H89" i="58"/>
  <c r="G89" i="58"/>
  <c r="N131" i="58"/>
  <c r="M131" i="58"/>
  <c r="O131" i="58"/>
  <c r="D131" i="58"/>
  <c r="P131" i="58"/>
  <c r="J131" i="58"/>
  <c r="I131" i="58"/>
  <c r="F131" i="58"/>
  <c r="H131" i="58"/>
  <c r="E131" i="58"/>
  <c r="C131" i="58"/>
  <c r="G131" i="58"/>
  <c r="N236" i="58"/>
  <c r="O236" i="58"/>
  <c r="M236" i="58"/>
  <c r="I236" i="58"/>
  <c r="H236" i="58"/>
  <c r="J236" i="58"/>
  <c r="F236" i="58"/>
  <c r="E236" i="58"/>
  <c r="D236" i="58"/>
  <c r="G236" i="58"/>
  <c r="C236" i="58"/>
  <c r="P236" i="58"/>
  <c r="N243" i="58"/>
  <c r="O243" i="58"/>
  <c r="I243" i="58"/>
  <c r="H243" i="58"/>
  <c r="D243" i="58"/>
  <c r="P243" i="58"/>
  <c r="G243" i="58"/>
  <c r="E243" i="58"/>
  <c r="F243" i="58"/>
  <c r="M243" i="58"/>
  <c r="C243" i="58"/>
  <c r="J243" i="58"/>
  <c r="O313" i="58"/>
  <c r="M313" i="58"/>
  <c r="N313" i="58"/>
  <c r="I313" i="58"/>
  <c r="H313" i="58"/>
  <c r="D313" i="58"/>
  <c r="P313" i="58"/>
  <c r="J313" i="58"/>
  <c r="C313" i="58"/>
  <c r="G313" i="58"/>
  <c r="F313" i="58"/>
  <c r="E313" i="58"/>
  <c r="O320" i="58"/>
  <c r="N320" i="58"/>
  <c r="M320" i="58"/>
  <c r="J320" i="58"/>
  <c r="F320" i="58"/>
  <c r="I320" i="58"/>
  <c r="G320" i="58"/>
  <c r="C320" i="58"/>
  <c r="E320" i="58"/>
  <c r="P320" i="58"/>
  <c r="D320" i="58"/>
  <c r="H320" i="58"/>
  <c r="M348" i="58"/>
  <c r="N348" i="58"/>
  <c r="G348" i="58"/>
  <c r="F348" i="58"/>
  <c r="H348" i="58"/>
  <c r="D348" i="58"/>
  <c r="P348" i="58"/>
  <c r="O348" i="58"/>
  <c r="J348" i="58"/>
  <c r="I348" i="58"/>
  <c r="E348" i="58"/>
  <c r="C348" i="58"/>
  <c r="O355" i="58"/>
  <c r="N355" i="58"/>
  <c r="I355" i="58"/>
  <c r="H355" i="58"/>
  <c r="G355" i="58"/>
  <c r="D355" i="58"/>
  <c r="P355" i="58"/>
  <c r="F355" i="58"/>
  <c r="E355" i="58"/>
  <c r="J355" i="58"/>
  <c r="C355" i="58"/>
  <c r="M355" i="58"/>
  <c r="O362" i="58"/>
  <c r="N362" i="58"/>
  <c r="M362" i="58"/>
  <c r="J362" i="58"/>
  <c r="G362" i="58"/>
  <c r="I362" i="58"/>
  <c r="E362" i="58"/>
  <c r="D362" i="58"/>
  <c r="P362" i="58"/>
  <c r="C362" i="58"/>
  <c r="F362" i="58"/>
  <c r="H362" i="58"/>
  <c r="O397" i="58"/>
  <c r="N397" i="58"/>
  <c r="M397" i="58"/>
  <c r="I397" i="58"/>
  <c r="H397" i="58"/>
  <c r="D397" i="58"/>
  <c r="P397" i="58"/>
  <c r="F397" i="58"/>
  <c r="G397" i="58"/>
  <c r="J397" i="58"/>
  <c r="C397" i="58"/>
  <c r="E397" i="58"/>
  <c r="O432" i="58"/>
  <c r="N432" i="58"/>
  <c r="I432" i="58"/>
  <c r="M432" i="58"/>
  <c r="H432" i="58"/>
  <c r="J432" i="58"/>
  <c r="G432" i="58"/>
  <c r="D432" i="58"/>
  <c r="C432" i="58"/>
  <c r="P432" i="58"/>
  <c r="F432" i="58"/>
  <c r="E432" i="58"/>
  <c r="N439" i="58"/>
  <c r="I439" i="58"/>
  <c r="H439" i="58"/>
  <c r="O439" i="58"/>
  <c r="D439" i="58"/>
  <c r="P439" i="58"/>
  <c r="M439" i="58"/>
  <c r="G439" i="58"/>
  <c r="F439" i="58"/>
  <c r="E439" i="58"/>
  <c r="C439" i="58"/>
  <c r="J439" i="58"/>
  <c r="O502" i="58"/>
  <c r="N502" i="58"/>
  <c r="M502" i="58"/>
  <c r="G502" i="58"/>
  <c r="J502" i="58"/>
  <c r="I502" i="58"/>
  <c r="H502" i="58"/>
  <c r="E502" i="58"/>
  <c r="F502" i="58"/>
  <c r="C502" i="58"/>
  <c r="D502" i="58"/>
  <c r="P502" i="58"/>
  <c r="O51" i="58"/>
  <c r="N51" i="58"/>
  <c r="M51" i="58"/>
  <c r="I51" i="58"/>
  <c r="F51" i="58"/>
  <c r="C51" i="58"/>
  <c r="H51" i="58"/>
  <c r="G51" i="58"/>
  <c r="P51" i="58"/>
  <c r="J51" i="58"/>
  <c r="E51" i="58"/>
  <c r="D51" i="58"/>
  <c r="O72" i="58"/>
  <c r="H72" i="58"/>
  <c r="M72" i="58"/>
  <c r="N72" i="58"/>
  <c r="C72" i="58"/>
  <c r="F72" i="58"/>
  <c r="E72" i="58"/>
  <c r="D72" i="58"/>
  <c r="P72" i="58"/>
  <c r="J72" i="58"/>
  <c r="I72" i="58"/>
  <c r="G72" i="58"/>
  <c r="O86" i="58"/>
  <c r="N86" i="58"/>
  <c r="M86" i="58"/>
  <c r="H86" i="58"/>
  <c r="D86" i="58"/>
  <c r="C86" i="58"/>
  <c r="P86" i="58"/>
  <c r="I86" i="58"/>
  <c r="G86" i="58"/>
  <c r="E86" i="58"/>
  <c r="F86" i="58"/>
  <c r="J86" i="58"/>
  <c r="N107" i="58"/>
  <c r="O107" i="58"/>
  <c r="J107" i="58"/>
  <c r="F107" i="58"/>
  <c r="C107" i="58"/>
  <c r="H107" i="58"/>
  <c r="G107" i="58"/>
  <c r="E107" i="58"/>
  <c r="P107" i="58"/>
  <c r="I107" i="58"/>
  <c r="D107" i="58"/>
  <c r="M107" i="58"/>
  <c r="M53" i="58"/>
  <c r="N53" i="58"/>
  <c r="I53" i="58"/>
  <c r="O53" i="58"/>
  <c r="J53" i="58"/>
  <c r="F53" i="58"/>
  <c r="H53" i="58"/>
  <c r="E53" i="58"/>
  <c r="D53" i="58"/>
  <c r="G53" i="58"/>
  <c r="C53" i="58"/>
  <c r="P53" i="58"/>
  <c r="O60" i="58"/>
  <c r="N60" i="58"/>
  <c r="I60" i="58"/>
  <c r="M60" i="58"/>
  <c r="G60" i="58"/>
  <c r="P60" i="58"/>
  <c r="E60" i="58"/>
  <c r="D60" i="58"/>
  <c r="F60" i="58"/>
  <c r="C60" i="58"/>
  <c r="H60" i="58"/>
  <c r="J60" i="58"/>
  <c r="N67" i="58"/>
  <c r="O67" i="58"/>
  <c r="H67" i="58"/>
  <c r="J67" i="58"/>
  <c r="I67" i="58"/>
  <c r="M67" i="58"/>
  <c r="C67" i="58"/>
  <c r="P67" i="58"/>
  <c r="F67" i="58"/>
  <c r="G67" i="58"/>
  <c r="E67" i="58"/>
  <c r="D67" i="58"/>
  <c r="N50" i="58"/>
  <c r="O50" i="58"/>
  <c r="M50" i="58"/>
  <c r="G50" i="58"/>
  <c r="H50" i="58"/>
  <c r="C50" i="58"/>
  <c r="P50" i="58"/>
  <c r="I50" i="58"/>
  <c r="J50" i="58"/>
  <c r="E50" i="58"/>
  <c r="F50" i="58"/>
  <c r="D50" i="58"/>
  <c r="N99" i="58"/>
  <c r="O99" i="58"/>
  <c r="I99" i="58"/>
  <c r="H99" i="58"/>
  <c r="M99" i="58"/>
  <c r="G99" i="58"/>
  <c r="J99" i="58"/>
  <c r="F99" i="58"/>
  <c r="E99" i="58"/>
  <c r="P99" i="58"/>
  <c r="D99" i="58"/>
  <c r="C99" i="58"/>
  <c r="N106" i="58"/>
  <c r="O106" i="58"/>
  <c r="M106" i="58"/>
  <c r="G106" i="58"/>
  <c r="J106" i="58"/>
  <c r="P106" i="58"/>
  <c r="D106" i="58"/>
  <c r="C106" i="58"/>
  <c r="I106" i="58"/>
  <c r="F106" i="58"/>
  <c r="H106" i="58"/>
  <c r="E106" i="58"/>
  <c r="O33" i="58"/>
  <c r="M33" i="58"/>
  <c r="D33" i="58"/>
  <c r="P33" i="58"/>
  <c r="H33" i="58"/>
  <c r="J33" i="58"/>
  <c r="I33" i="58"/>
  <c r="G33" i="58"/>
  <c r="F33" i="58"/>
  <c r="E33" i="58"/>
  <c r="C33" i="58"/>
  <c r="O40" i="58"/>
  <c r="M40" i="58"/>
  <c r="H40" i="58"/>
  <c r="G40" i="58"/>
  <c r="J40" i="58"/>
  <c r="F40" i="58"/>
  <c r="E40" i="58"/>
  <c r="D40" i="58"/>
  <c r="I40" i="58"/>
  <c r="P40" i="58"/>
  <c r="C40" i="58"/>
  <c r="M47" i="58"/>
  <c r="O47" i="58"/>
  <c r="N47" i="58"/>
  <c r="D47" i="58"/>
  <c r="P47" i="58"/>
  <c r="H47" i="58"/>
  <c r="G47" i="58"/>
  <c r="E47" i="58"/>
  <c r="C47" i="58"/>
  <c r="J47" i="58"/>
  <c r="F47" i="58"/>
  <c r="I47" i="58"/>
  <c r="O117" i="58"/>
  <c r="N117" i="58"/>
  <c r="M117" i="58"/>
  <c r="D117" i="58"/>
  <c r="P117" i="58"/>
  <c r="H117" i="58"/>
  <c r="F117" i="58"/>
  <c r="C117" i="58"/>
  <c r="J117" i="58"/>
  <c r="I117" i="58"/>
  <c r="G117" i="58"/>
  <c r="E117" i="58"/>
  <c r="O124" i="58"/>
  <c r="N124" i="58"/>
  <c r="M124" i="58"/>
  <c r="J124" i="58"/>
  <c r="I124" i="58"/>
  <c r="H124" i="58"/>
  <c r="F124" i="58"/>
  <c r="C124" i="58"/>
  <c r="G124" i="58"/>
  <c r="E124" i="58"/>
  <c r="D124" i="58"/>
  <c r="P124" i="58"/>
  <c r="N159" i="58"/>
  <c r="O159" i="58"/>
  <c r="M159" i="58"/>
  <c r="D159" i="58"/>
  <c r="P159" i="58"/>
  <c r="G159" i="58"/>
  <c r="J159" i="58"/>
  <c r="I159" i="58"/>
  <c r="H159" i="58"/>
  <c r="F159" i="58"/>
  <c r="E159" i="58"/>
  <c r="C159" i="58"/>
  <c r="O166" i="58"/>
  <c r="J166" i="58"/>
  <c r="I166" i="58"/>
  <c r="H166" i="58"/>
  <c r="M166" i="58"/>
  <c r="F166" i="58"/>
  <c r="E166" i="58"/>
  <c r="P166" i="58"/>
  <c r="D166" i="58"/>
  <c r="C166" i="58"/>
  <c r="G166" i="58"/>
  <c r="N166" i="58"/>
  <c r="M285" i="58"/>
  <c r="O285" i="58"/>
  <c r="N285" i="58"/>
  <c r="I285" i="58"/>
  <c r="H285" i="58"/>
  <c r="J285" i="58"/>
  <c r="G285" i="58"/>
  <c r="D285" i="58"/>
  <c r="P285" i="58"/>
  <c r="C285" i="58"/>
  <c r="F285" i="58"/>
  <c r="E285" i="58"/>
  <c r="O327" i="58"/>
  <c r="N327" i="58"/>
  <c r="M327" i="58"/>
  <c r="I327" i="58"/>
  <c r="H327" i="58"/>
  <c r="J327" i="58"/>
  <c r="G327" i="58"/>
  <c r="D327" i="58"/>
  <c r="P327" i="58"/>
  <c r="F327" i="58"/>
  <c r="C327" i="58"/>
  <c r="E327" i="58"/>
  <c r="O467" i="58"/>
  <c r="M467" i="58"/>
  <c r="N467" i="58"/>
  <c r="J467" i="58"/>
  <c r="I467" i="58"/>
  <c r="H467" i="58"/>
  <c r="D467" i="58"/>
  <c r="P467" i="58"/>
  <c r="G467" i="58"/>
  <c r="F467" i="58"/>
  <c r="E467" i="58"/>
  <c r="C467" i="58"/>
  <c r="M474" i="58"/>
  <c r="O474" i="58"/>
  <c r="N474" i="58"/>
  <c r="J474" i="58"/>
  <c r="I474" i="58"/>
  <c r="F474" i="58"/>
  <c r="H474" i="58"/>
  <c r="G474" i="58"/>
  <c r="P474" i="58"/>
  <c r="E474" i="58"/>
  <c r="D474" i="58"/>
  <c r="C474" i="58"/>
  <c r="O58" i="58"/>
  <c r="N58" i="58"/>
  <c r="H58" i="58"/>
  <c r="C58" i="58"/>
  <c r="F58" i="58"/>
  <c r="G58" i="58"/>
  <c r="E58" i="58"/>
  <c r="M58" i="58"/>
  <c r="D58" i="58"/>
  <c r="J58" i="58"/>
  <c r="I58" i="58"/>
  <c r="P58" i="58"/>
  <c r="O79" i="58"/>
  <c r="N79" i="58"/>
  <c r="M79" i="58"/>
  <c r="I79" i="58"/>
  <c r="H79" i="58"/>
  <c r="F79" i="58"/>
  <c r="C79" i="58"/>
  <c r="E79" i="58"/>
  <c r="D79" i="58"/>
  <c r="G79" i="58"/>
  <c r="P79" i="58"/>
  <c r="J79" i="58"/>
  <c r="N100" i="58"/>
  <c r="O100" i="58"/>
  <c r="M100" i="58"/>
  <c r="J100" i="58"/>
  <c r="D100" i="58"/>
  <c r="H100" i="58"/>
  <c r="G100" i="58"/>
  <c r="F100" i="58"/>
  <c r="P100" i="58"/>
  <c r="I100" i="58"/>
  <c r="E100" i="58"/>
  <c r="C100" i="58"/>
  <c r="O34" i="58"/>
  <c r="J34" i="58"/>
  <c r="G34" i="58"/>
  <c r="E34" i="58"/>
  <c r="D34" i="58"/>
  <c r="M34" i="58"/>
  <c r="I34" i="58"/>
  <c r="P34" i="58"/>
  <c r="F34" i="58"/>
  <c r="H34" i="58"/>
  <c r="C34" i="58"/>
  <c r="O41" i="58"/>
  <c r="N41" i="58"/>
  <c r="J41" i="58"/>
  <c r="I41" i="58"/>
  <c r="D41" i="58"/>
  <c r="H41" i="58"/>
  <c r="M41" i="58"/>
  <c r="G41" i="58"/>
  <c r="F41" i="58"/>
  <c r="E41" i="58"/>
  <c r="P41" i="58"/>
  <c r="C41" i="58"/>
  <c r="O48" i="58"/>
  <c r="N48" i="58"/>
  <c r="M48" i="58"/>
  <c r="J48" i="58"/>
  <c r="F48" i="58"/>
  <c r="I48" i="58"/>
  <c r="H48" i="58"/>
  <c r="G48" i="58"/>
  <c r="C48" i="58"/>
  <c r="E48" i="58"/>
  <c r="D48" i="58"/>
  <c r="P48" i="58"/>
  <c r="N55" i="58"/>
  <c r="M55" i="58"/>
  <c r="O55" i="58"/>
  <c r="H55" i="58"/>
  <c r="J55" i="58"/>
  <c r="I55" i="58"/>
  <c r="G55" i="58"/>
  <c r="E55" i="58"/>
  <c r="P55" i="58"/>
  <c r="C55" i="58"/>
  <c r="F55" i="58"/>
  <c r="D55" i="58"/>
  <c r="O62" i="58"/>
  <c r="M62" i="58"/>
  <c r="J62" i="58"/>
  <c r="I62" i="58"/>
  <c r="P62" i="58"/>
  <c r="H62" i="58"/>
  <c r="N62" i="58"/>
  <c r="G62" i="58"/>
  <c r="E62" i="58"/>
  <c r="C62" i="58"/>
  <c r="F62" i="58"/>
  <c r="D62" i="58"/>
  <c r="O69" i="58"/>
  <c r="N69" i="58"/>
  <c r="G69" i="58"/>
  <c r="M69" i="58"/>
  <c r="H69" i="58"/>
  <c r="I69" i="58"/>
  <c r="E69" i="58"/>
  <c r="D69" i="58"/>
  <c r="C69" i="58"/>
  <c r="J69" i="58"/>
  <c r="P69" i="58"/>
  <c r="F69" i="58"/>
  <c r="O76" i="58"/>
  <c r="N76" i="58"/>
  <c r="M76" i="58"/>
  <c r="J76" i="58"/>
  <c r="H76" i="58"/>
  <c r="P76" i="58"/>
  <c r="G76" i="58"/>
  <c r="I76" i="58"/>
  <c r="D76" i="58"/>
  <c r="E76" i="58"/>
  <c r="C76" i="58"/>
  <c r="F76" i="58"/>
  <c r="O83" i="58"/>
  <c r="N83" i="58"/>
  <c r="M83" i="58"/>
  <c r="I83" i="58"/>
  <c r="H83" i="58"/>
  <c r="G83" i="58"/>
  <c r="F83" i="58"/>
  <c r="J83" i="58"/>
  <c r="E83" i="58"/>
  <c r="D83" i="58"/>
  <c r="C83" i="58"/>
  <c r="P83" i="58"/>
  <c r="O90" i="58"/>
  <c r="N90" i="58"/>
  <c r="M90" i="58"/>
  <c r="J90" i="58"/>
  <c r="P90" i="58"/>
  <c r="I90" i="58"/>
  <c r="C90" i="58"/>
  <c r="H90" i="58"/>
  <c r="G90" i="58"/>
  <c r="D90" i="58"/>
  <c r="F90" i="58"/>
  <c r="E90" i="58"/>
  <c r="O97" i="58"/>
  <c r="N97" i="58"/>
  <c r="M97" i="58"/>
  <c r="I97" i="58"/>
  <c r="J97" i="58"/>
  <c r="E97" i="58"/>
  <c r="H97" i="58"/>
  <c r="G97" i="58"/>
  <c r="F97" i="58"/>
  <c r="D97" i="58"/>
  <c r="C97" i="58"/>
  <c r="P97" i="58"/>
  <c r="M104" i="58"/>
  <c r="O104" i="58"/>
  <c r="N104" i="58"/>
  <c r="H104" i="58"/>
  <c r="G104" i="58"/>
  <c r="C104" i="58"/>
  <c r="F104" i="58"/>
  <c r="E104" i="58"/>
  <c r="D104" i="58"/>
  <c r="P104" i="58"/>
  <c r="J104" i="58"/>
  <c r="I104" i="58"/>
  <c r="N111" i="58"/>
  <c r="O111" i="58"/>
  <c r="M111" i="58"/>
  <c r="I111" i="58"/>
  <c r="J111" i="58"/>
  <c r="H111" i="58"/>
  <c r="G111" i="58"/>
  <c r="F111" i="58"/>
  <c r="E111" i="58"/>
  <c r="C111" i="58"/>
  <c r="D111" i="58"/>
  <c r="P111" i="58"/>
  <c r="O118" i="58"/>
  <c r="N118" i="58"/>
  <c r="M118" i="58"/>
  <c r="J118" i="58"/>
  <c r="H118" i="58"/>
  <c r="C118" i="58"/>
  <c r="I118" i="58"/>
  <c r="G118" i="58"/>
  <c r="F118" i="58"/>
  <c r="E118" i="58"/>
  <c r="P118" i="58"/>
  <c r="D118" i="58"/>
  <c r="N125" i="58"/>
  <c r="O125" i="58"/>
  <c r="I125" i="58"/>
  <c r="J125" i="58"/>
  <c r="H125" i="58"/>
  <c r="F125" i="58"/>
  <c r="E125" i="58"/>
  <c r="D125" i="58"/>
  <c r="C125" i="58"/>
  <c r="P125" i="58"/>
  <c r="M125" i="58"/>
  <c r="G125" i="58"/>
  <c r="O132" i="58"/>
  <c r="N132" i="58"/>
  <c r="M132" i="58"/>
  <c r="I132" i="58"/>
  <c r="H132" i="58"/>
  <c r="F132" i="58"/>
  <c r="E132" i="58"/>
  <c r="D132" i="58"/>
  <c r="C132" i="58"/>
  <c r="P132" i="58"/>
  <c r="G132" i="58"/>
  <c r="J132" i="58"/>
  <c r="N139" i="58"/>
  <c r="O139" i="58"/>
  <c r="J139" i="58"/>
  <c r="I139" i="58"/>
  <c r="H139" i="58"/>
  <c r="F139" i="58"/>
  <c r="E139" i="58"/>
  <c r="D139" i="58"/>
  <c r="G139" i="58"/>
  <c r="C139" i="58"/>
  <c r="M139" i="58"/>
  <c r="P139" i="58"/>
  <c r="O146" i="58"/>
  <c r="M146" i="58"/>
  <c r="I146" i="58"/>
  <c r="H146" i="58"/>
  <c r="G146" i="58"/>
  <c r="N146" i="58"/>
  <c r="J146" i="58"/>
  <c r="F146" i="58"/>
  <c r="P146" i="58"/>
  <c r="E146" i="58"/>
  <c r="D146" i="58"/>
  <c r="C146" i="58"/>
  <c r="N153" i="58"/>
  <c r="M153" i="58"/>
  <c r="O153" i="58"/>
  <c r="J153" i="58"/>
  <c r="H153" i="58"/>
  <c r="F153" i="58"/>
  <c r="E153" i="58"/>
  <c r="P153" i="58"/>
  <c r="D153" i="58"/>
  <c r="I153" i="58"/>
  <c r="G153" i="58"/>
  <c r="C153" i="58"/>
  <c r="O160" i="58"/>
  <c r="M160" i="58"/>
  <c r="N160" i="58"/>
  <c r="I160" i="58"/>
  <c r="H160" i="58"/>
  <c r="G160" i="58"/>
  <c r="J160" i="58"/>
  <c r="F160" i="58"/>
  <c r="E160" i="58"/>
  <c r="C160" i="58"/>
  <c r="D160" i="58"/>
  <c r="P160" i="58"/>
  <c r="M167" i="58"/>
  <c r="O167" i="58"/>
  <c r="N167" i="58"/>
  <c r="J167" i="58"/>
  <c r="F167" i="58"/>
  <c r="E167" i="58"/>
  <c r="P167" i="58"/>
  <c r="G167" i="58"/>
  <c r="H167" i="58"/>
  <c r="C167" i="58"/>
  <c r="D167" i="58"/>
  <c r="I167" i="58"/>
  <c r="M174" i="58"/>
  <c r="N174" i="58"/>
  <c r="O174" i="58"/>
  <c r="H174" i="58"/>
  <c r="J174" i="58"/>
  <c r="I174" i="58"/>
  <c r="D174" i="58"/>
  <c r="G174" i="58"/>
  <c r="C174" i="58"/>
  <c r="F174" i="58"/>
  <c r="P174" i="58"/>
  <c r="E174" i="58"/>
  <c r="N181" i="58"/>
  <c r="O181" i="58"/>
  <c r="M181" i="58"/>
  <c r="H181" i="58"/>
  <c r="G181" i="58"/>
  <c r="I181" i="58"/>
  <c r="P181" i="58"/>
  <c r="F181" i="58"/>
  <c r="E181" i="58"/>
  <c r="D181" i="58"/>
  <c r="C181" i="58"/>
  <c r="J181" i="58"/>
  <c r="O188" i="58"/>
  <c r="M188" i="58"/>
  <c r="N188" i="58"/>
  <c r="H188" i="58"/>
  <c r="D188" i="58"/>
  <c r="I188" i="58"/>
  <c r="G188" i="58"/>
  <c r="C188" i="58"/>
  <c r="F188" i="58"/>
  <c r="P188" i="58"/>
  <c r="J188" i="58"/>
  <c r="E188" i="58"/>
  <c r="N195" i="58"/>
  <c r="J195" i="58"/>
  <c r="O195" i="58"/>
  <c r="G195" i="58"/>
  <c r="C195" i="58"/>
  <c r="F195" i="58"/>
  <c r="E195" i="58"/>
  <c r="P195" i="58"/>
  <c r="H195" i="58"/>
  <c r="M195" i="58"/>
  <c r="D195" i="58"/>
  <c r="I195" i="58"/>
  <c r="O202" i="58"/>
  <c r="N202" i="58"/>
  <c r="M202" i="58"/>
  <c r="G202" i="58"/>
  <c r="I202" i="58"/>
  <c r="J202" i="58"/>
  <c r="F202" i="58"/>
  <c r="D202" i="58"/>
  <c r="C202" i="58"/>
  <c r="P202" i="58"/>
  <c r="E202" i="58"/>
  <c r="H202" i="58"/>
  <c r="O209" i="58"/>
  <c r="N209" i="58"/>
  <c r="H209" i="58"/>
  <c r="I209" i="58"/>
  <c r="G209" i="58"/>
  <c r="C209" i="58"/>
  <c r="M209" i="58"/>
  <c r="J209" i="58"/>
  <c r="E209" i="58"/>
  <c r="D209" i="58"/>
  <c r="P209" i="58"/>
  <c r="F209" i="58"/>
  <c r="N216" i="58"/>
  <c r="O216" i="58"/>
  <c r="H216" i="58"/>
  <c r="G216" i="58"/>
  <c r="M216" i="58"/>
  <c r="J216" i="58"/>
  <c r="E216" i="58"/>
  <c r="I216" i="58"/>
  <c r="P216" i="58"/>
  <c r="D216" i="58"/>
  <c r="F216" i="58"/>
  <c r="C216" i="58"/>
  <c r="O223" i="58"/>
  <c r="M223" i="58"/>
  <c r="N223" i="58"/>
  <c r="J223" i="58"/>
  <c r="H223" i="58"/>
  <c r="G223" i="58"/>
  <c r="D223" i="58"/>
  <c r="C223" i="58"/>
  <c r="I223" i="58"/>
  <c r="P223" i="58"/>
  <c r="F223" i="58"/>
  <c r="E223" i="58"/>
  <c r="N230" i="58"/>
  <c r="M230" i="58"/>
  <c r="G230" i="58"/>
  <c r="O230" i="58"/>
  <c r="J230" i="58"/>
  <c r="I230" i="58"/>
  <c r="F230" i="58"/>
  <c r="P230" i="58"/>
  <c r="E230" i="58"/>
  <c r="D230" i="58"/>
  <c r="C230" i="58"/>
  <c r="H230" i="58"/>
  <c r="O237" i="58"/>
  <c r="N237" i="58"/>
  <c r="J237" i="58"/>
  <c r="M237" i="58"/>
  <c r="I237" i="58"/>
  <c r="H237" i="58"/>
  <c r="G237" i="58"/>
  <c r="F237" i="58"/>
  <c r="D237" i="58"/>
  <c r="E237" i="58"/>
  <c r="C237" i="58"/>
  <c r="P237" i="58"/>
  <c r="O244" i="58"/>
  <c r="J244" i="58"/>
  <c r="H244" i="58"/>
  <c r="N244" i="58"/>
  <c r="F244" i="58"/>
  <c r="P244" i="58"/>
  <c r="M244" i="58"/>
  <c r="E244" i="58"/>
  <c r="D244" i="58"/>
  <c r="I244" i="58"/>
  <c r="G244" i="58"/>
  <c r="C244" i="58"/>
  <c r="O251" i="58"/>
  <c r="N251" i="58"/>
  <c r="J251" i="58"/>
  <c r="M251" i="58"/>
  <c r="H251" i="58"/>
  <c r="I251" i="58"/>
  <c r="F251" i="58"/>
  <c r="E251" i="58"/>
  <c r="D251" i="58"/>
  <c r="G251" i="58"/>
  <c r="P251" i="58"/>
  <c r="C251" i="58"/>
  <c r="O258" i="58"/>
  <c r="N258" i="58"/>
  <c r="M258" i="58"/>
  <c r="G258" i="58"/>
  <c r="H258" i="58"/>
  <c r="I258" i="58"/>
  <c r="E258" i="58"/>
  <c r="D258" i="58"/>
  <c r="J258" i="58"/>
  <c r="P258" i="58"/>
  <c r="F258" i="58"/>
  <c r="C258" i="58"/>
  <c r="O265" i="58"/>
  <c r="N265" i="58"/>
  <c r="J265" i="58"/>
  <c r="I265" i="58"/>
  <c r="H265" i="58"/>
  <c r="M265" i="58"/>
  <c r="F265" i="58"/>
  <c r="G265" i="58"/>
  <c r="E265" i="58"/>
  <c r="D265" i="58"/>
  <c r="C265" i="58"/>
  <c r="P265" i="58"/>
  <c r="N272" i="58"/>
  <c r="O272" i="58"/>
  <c r="I272" i="58"/>
  <c r="H272" i="58"/>
  <c r="J272" i="58"/>
  <c r="M272" i="58"/>
  <c r="G272" i="58"/>
  <c r="E272" i="58"/>
  <c r="D272" i="58"/>
  <c r="P272" i="58"/>
  <c r="F272" i="58"/>
  <c r="C272" i="58"/>
  <c r="N279" i="58"/>
  <c r="M279" i="58"/>
  <c r="J279" i="58"/>
  <c r="G279" i="58"/>
  <c r="I279" i="58"/>
  <c r="O279" i="58"/>
  <c r="C279" i="58"/>
  <c r="P279" i="58"/>
  <c r="E279" i="58"/>
  <c r="D279" i="58"/>
  <c r="H279" i="58"/>
  <c r="F279" i="58"/>
  <c r="O286" i="58"/>
  <c r="N286" i="58"/>
  <c r="M286" i="58"/>
  <c r="H286" i="58"/>
  <c r="J286" i="58"/>
  <c r="I286" i="58"/>
  <c r="P286" i="58"/>
  <c r="C286" i="58"/>
  <c r="G286" i="58"/>
  <c r="F286" i="58"/>
  <c r="E286" i="58"/>
  <c r="D286" i="58"/>
  <c r="N293" i="58"/>
  <c r="J293" i="58"/>
  <c r="G293" i="58"/>
  <c r="I293" i="58"/>
  <c r="M293" i="58"/>
  <c r="H293" i="58"/>
  <c r="F293" i="58"/>
  <c r="O293" i="58"/>
  <c r="P293" i="58"/>
  <c r="C293" i="58"/>
  <c r="D293" i="58"/>
  <c r="E293" i="58"/>
  <c r="O300" i="58"/>
  <c r="N300" i="58"/>
  <c r="M300" i="58"/>
  <c r="J300" i="58"/>
  <c r="H300" i="58"/>
  <c r="G300" i="58"/>
  <c r="I300" i="58"/>
  <c r="C300" i="58"/>
  <c r="P300" i="58"/>
  <c r="D300" i="58"/>
  <c r="F300" i="58"/>
  <c r="E300" i="58"/>
  <c r="O307" i="58"/>
  <c r="N307" i="58"/>
  <c r="J307" i="58"/>
  <c r="I307" i="58"/>
  <c r="G307" i="58"/>
  <c r="E307" i="58"/>
  <c r="H307" i="58"/>
  <c r="M307" i="58"/>
  <c r="D307" i="58"/>
  <c r="P307" i="58"/>
  <c r="F307" i="58"/>
  <c r="C307" i="58"/>
  <c r="N314" i="58"/>
  <c r="O314" i="58"/>
  <c r="J314" i="58"/>
  <c r="G314" i="58"/>
  <c r="H314" i="58"/>
  <c r="C314" i="58"/>
  <c r="F314" i="58"/>
  <c r="E314" i="58"/>
  <c r="D314" i="58"/>
  <c r="I314" i="58"/>
  <c r="M314" i="58"/>
  <c r="P314" i="58"/>
  <c r="M321" i="58"/>
  <c r="O321" i="58"/>
  <c r="N321" i="58"/>
  <c r="J321" i="58"/>
  <c r="H321" i="58"/>
  <c r="G321" i="58"/>
  <c r="D321" i="58"/>
  <c r="F321" i="58"/>
  <c r="E321" i="58"/>
  <c r="P321" i="58"/>
  <c r="C321" i="58"/>
  <c r="I321" i="58"/>
  <c r="M328" i="58"/>
  <c r="N328" i="58"/>
  <c r="G328" i="58"/>
  <c r="I328" i="58"/>
  <c r="F328" i="58"/>
  <c r="E328" i="58"/>
  <c r="D328" i="58"/>
  <c r="C328" i="58"/>
  <c r="O328" i="58"/>
  <c r="H328" i="58"/>
  <c r="P328" i="58"/>
  <c r="J328" i="58"/>
  <c r="N335" i="58"/>
  <c r="M335" i="58"/>
  <c r="J335" i="58"/>
  <c r="O335" i="58"/>
  <c r="G335" i="58"/>
  <c r="I335" i="58"/>
  <c r="H335" i="58"/>
  <c r="D335" i="58"/>
  <c r="C335" i="58"/>
  <c r="F335" i="58"/>
  <c r="E335" i="58"/>
  <c r="P335" i="58"/>
  <c r="O342" i="58"/>
  <c r="N342" i="58"/>
  <c r="M342" i="58"/>
  <c r="H342" i="58"/>
  <c r="G342" i="58"/>
  <c r="I342" i="58"/>
  <c r="J342" i="58"/>
  <c r="E342" i="58"/>
  <c r="D342" i="58"/>
  <c r="P342" i="58"/>
  <c r="C342" i="58"/>
  <c r="F342" i="58"/>
  <c r="O349" i="58"/>
  <c r="N349" i="58"/>
  <c r="M349" i="58"/>
  <c r="J349" i="58"/>
  <c r="I349" i="58"/>
  <c r="H349" i="58"/>
  <c r="D349" i="58"/>
  <c r="F349" i="58"/>
  <c r="E349" i="58"/>
  <c r="G349" i="58"/>
  <c r="C349" i="58"/>
  <c r="P349" i="58"/>
  <c r="O356" i="58"/>
  <c r="N356" i="58"/>
  <c r="M356" i="58"/>
  <c r="G356" i="58"/>
  <c r="J356" i="58"/>
  <c r="H356" i="58"/>
  <c r="D356" i="58"/>
  <c r="F356" i="58"/>
  <c r="C356" i="58"/>
  <c r="E356" i="58"/>
  <c r="P356" i="58"/>
  <c r="I356" i="58"/>
  <c r="N363" i="58"/>
  <c r="M363" i="58"/>
  <c r="O363" i="58"/>
  <c r="J363" i="58"/>
  <c r="I363" i="58"/>
  <c r="G363" i="58"/>
  <c r="P363" i="58"/>
  <c r="F363" i="58"/>
  <c r="E363" i="58"/>
  <c r="D363" i="58"/>
  <c r="H363" i="58"/>
  <c r="C363" i="58"/>
  <c r="N370" i="58"/>
  <c r="O370" i="58"/>
  <c r="I370" i="58"/>
  <c r="H370" i="58"/>
  <c r="G370" i="58"/>
  <c r="F370" i="58"/>
  <c r="J370" i="58"/>
  <c r="M370" i="58"/>
  <c r="E370" i="58"/>
  <c r="D370" i="58"/>
  <c r="P370" i="58"/>
  <c r="C370" i="58"/>
  <c r="M377" i="58"/>
  <c r="J377" i="58"/>
  <c r="O377" i="58"/>
  <c r="N377" i="58"/>
  <c r="I377" i="58"/>
  <c r="H377" i="58"/>
  <c r="G377" i="58"/>
  <c r="P377" i="58"/>
  <c r="C377" i="58"/>
  <c r="D377" i="58"/>
  <c r="F377" i="58"/>
  <c r="E377" i="58"/>
  <c r="O384" i="58"/>
  <c r="N384" i="58"/>
  <c r="M384" i="58"/>
  <c r="H384" i="58"/>
  <c r="G384" i="58"/>
  <c r="J384" i="58"/>
  <c r="E384" i="58"/>
  <c r="I384" i="58"/>
  <c r="F384" i="58"/>
  <c r="D384" i="58"/>
  <c r="C384" i="58"/>
  <c r="P384" i="58"/>
  <c r="O391" i="58"/>
  <c r="N391" i="58"/>
  <c r="M391" i="58"/>
  <c r="J391" i="58"/>
  <c r="I391" i="58"/>
  <c r="H391" i="58"/>
  <c r="G391" i="58"/>
  <c r="C391" i="58"/>
  <c r="P391" i="58"/>
  <c r="D391" i="58"/>
  <c r="F391" i="58"/>
  <c r="E391" i="58"/>
  <c r="O398" i="58"/>
  <c r="N398" i="58"/>
  <c r="M398" i="58"/>
  <c r="H398" i="58"/>
  <c r="J398" i="58"/>
  <c r="I398" i="58"/>
  <c r="P398" i="58"/>
  <c r="F398" i="58"/>
  <c r="E398" i="58"/>
  <c r="D398" i="58"/>
  <c r="G398" i="58"/>
  <c r="C398" i="58"/>
  <c r="O405" i="58"/>
  <c r="N405" i="58"/>
  <c r="J405" i="58"/>
  <c r="M405" i="58"/>
  <c r="I405" i="58"/>
  <c r="H405" i="58"/>
  <c r="C405" i="58"/>
  <c r="P405" i="58"/>
  <c r="G405" i="58"/>
  <c r="F405" i="58"/>
  <c r="E405" i="58"/>
  <c r="D405" i="58"/>
  <c r="O412" i="58"/>
  <c r="N412" i="58"/>
  <c r="M412" i="58"/>
  <c r="J412" i="58"/>
  <c r="I412" i="58"/>
  <c r="G412" i="58"/>
  <c r="H412" i="58"/>
  <c r="C412" i="58"/>
  <c r="F412" i="58"/>
  <c r="E412" i="58"/>
  <c r="P412" i="58"/>
  <c r="D412" i="58"/>
  <c r="N419" i="58"/>
  <c r="M419" i="58"/>
  <c r="O419" i="58"/>
  <c r="J419" i="58"/>
  <c r="H419" i="58"/>
  <c r="G419" i="58"/>
  <c r="E419" i="58"/>
  <c r="D419" i="58"/>
  <c r="I419" i="58"/>
  <c r="F419" i="58"/>
  <c r="C419" i="58"/>
  <c r="P419" i="58"/>
  <c r="O426" i="58"/>
  <c r="N426" i="58"/>
  <c r="M426" i="58"/>
  <c r="G426" i="58"/>
  <c r="H426" i="58"/>
  <c r="I426" i="58"/>
  <c r="J426" i="58"/>
  <c r="F426" i="58"/>
  <c r="E426" i="58"/>
  <c r="D426" i="58"/>
  <c r="C426" i="58"/>
  <c r="P426" i="58"/>
  <c r="O433" i="58"/>
  <c r="M433" i="58"/>
  <c r="J433" i="58"/>
  <c r="I433" i="58"/>
  <c r="G433" i="58"/>
  <c r="N433" i="58"/>
  <c r="C433" i="58"/>
  <c r="P433" i="58"/>
  <c r="F433" i="58"/>
  <c r="E433" i="58"/>
  <c r="H433" i="58"/>
  <c r="D433" i="58"/>
  <c r="O440" i="58"/>
  <c r="M440" i="58"/>
  <c r="G440" i="58"/>
  <c r="N440" i="58"/>
  <c r="I440" i="58"/>
  <c r="J440" i="58"/>
  <c r="H440" i="58"/>
  <c r="C440" i="58"/>
  <c r="D440" i="58"/>
  <c r="F440" i="58"/>
  <c r="E440" i="58"/>
  <c r="P440" i="58"/>
  <c r="O447" i="58"/>
  <c r="N447" i="58"/>
  <c r="J447" i="58"/>
  <c r="H447" i="58"/>
  <c r="I447" i="58"/>
  <c r="F447" i="58"/>
  <c r="G447" i="58"/>
  <c r="E447" i="58"/>
  <c r="P447" i="58"/>
  <c r="C447" i="58"/>
  <c r="M447" i="58"/>
  <c r="D447" i="58"/>
  <c r="O454" i="58"/>
  <c r="N454" i="58"/>
  <c r="M454" i="58"/>
  <c r="I454" i="58"/>
  <c r="F454" i="58"/>
  <c r="J454" i="58"/>
  <c r="E454" i="58"/>
  <c r="D454" i="58"/>
  <c r="P454" i="58"/>
  <c r="C454" i="58"/>
  <c r="H454" i="58"/>
  <c r="G454" i="58"/>
  <c r="N461" i="58"/>
  <c r="O461" i="58"/>
  <c r="J461" i="58"/>
  <c r="M461" i="58"/>
  <c r="H461" i="58"/>
  <c r="G461" i="58"/>
  <c r="I461" i="58"/>
  <c r="P461" i="58"/>
  <c r="D461" i="58"/>
  <c r="E461" i="58"/>
  <c r="F461" i="58"/>
  <c r="C461" i="58"/>
  <c r="N468" i="58"/>
  <c r="M468" i="58"/>
  <c r="O468" i="58"/>
  <c r="H468" i="58"/>
  <c r="J468" i="58"/>
  <c r="I468" i="58"/>
  <c r="D468" i="58"/>
  <c r="P468" i="58"/>
  <c r="G468" i="58"/>
  <c r="F468" i="58"/>
  <c r="C468" i="58"/>
  <c r="E468" i="58"/>
  <c r="O475" i="58"/>
  <c r="N475" i="58"/>
  <c r="H475" i="58"/>
  <c r="M475" i="58"/>
  <c r="I475" i="58"/>
  <c r="G475" i="58"/>
  <c r="J475" i="58"/>
  <c r="D475" i="58"/>
  <c r="F475" i="58"/>
  <c r="C475" i="58"/>
  <c r="P475" i="58"/>
  <c r="E475" i="58"/>
  <c r="O482" i="58"/>
  <c r="N482" i="58"/>
  <c r="M482" i="58"/>
  <c r="J482" i="58"/>
  <c r="I482" i="58"/>
  <c r="G482" i="58"/>
  <c r="H482" i="58"/>
  <c r="E482" i="58"/>
  <c r="P482" i="58"/>
  <c r="F482" i="58"/>
  <c r="D482" i="58"/>
  <c r="C482" i="58"/>
  <c r="M489" i="58"/>
  <c r="N489" i="58"/>
  <c r="H489" i="58"/>
  <c r="O489" i="58"/>
  <c r="J489" i="58"/>
  <c r="G489" i="58"/>
  <c r="I489" i="58"/>
  <c r="F489" i="58"/>
  <c r="E489" i="58"/>
  <c r="C489" i="58"/>
  <c r="P489" i="58"/>
  <c r="D489" i="58"/>
  <c r="O496" i="58"/>
  <c r="N496" i="58"/>
  <c r="J496" i="58"/>
  <c r="I496" i="58"/>
  <c r="E496" i="58"/>
  <c r="D496" i="58"/>
  <c r="M496" i="58"/>
  <c r="G496" i="58"/>
  <c r="H496" i="58"/>
  <c r="F496" i="58"/>
  <c r="C496" i="58"/>
  <c r="P496" i="58"/>
  <c r="O503" i="58"/>
  <c r="N503" i="58"/>
  <c r="M503" i="58"/>
  <c r="H503" i="58"/>
  <c r="J503" i="58"/>
  <c r="I503" i="58"/>
  <c r="G503" i="58"/>
  <c r="D503" i="58"/>
  <c r="F503" i="58"/>
  <c r="E503" i="58"/>
  <c r="C503" i="58"/>
  <c r="P503" i="58"/>
  <c r="M39" i="58"/>
  <c r="J39" i="58"/>
  <c r="H39" i="58"/>
  <c r="O39" i="58"/>
  <c r="E39" i="58"/>
  <c r="D39" i="58"/>
  <c r="G39" i="58"/>
  <c r="P39" i="58"/>
  <c r="I39" i="58"/>
  <c r="F39" i="58"/>
  <c r="C39" i="58"/>
  <c r="N46" i="58"/>
  <c r="H46" i="58"/>
  <c r="I46" i="58"/>
  <c r="O46" i="58"/>
  <c r="J46" i="58"/>
  <c r="G46" i="58"/>
  <c r="P46" i="58"/>
  <c r="M46" i="58"/>
  <c r="F46" i="58"/>
  <c r="E46" i="58"/>
  <c r="D46" i="58"/>
  <c r="C46" i="58"/>
  <c r="N43" i="58"/>
  <c r="O43" i="58"/>
  <c r="G43" i="58"/>
  <c r="H43" i="58"/>
  <c r="M43" i="58"/>
  <c r="C43" i="58"/>
  <c r="F43" i="58"/>
  <c r="J43" i="58"/>
  <c r="P43" i="58"/>
  <c r="I43" i="58"/>
  <c r="E43" i="58"/>
  <c r="D43" i="58"/>
  <c r="M68" i="58"/>
  <c r="N68" i="58"/>
  <c r="H68" i="58"/>
  <c r="O68" i="58"/>
  <c r="J68" i="58"/>
  <c r="I68" i="58"/>
  <c r="F68" i="58"/>
  <c r="C68" i="58"/>
  <c r="G68" i="58"/>
  <c r="P68" i="58"/>
  <c r="E68" i="58"/>
  <c r="D68" i="58"/>
  <c r="O75" i="58"/>
  <c r="N75" i="58"/>
  <c r="M75" i="58"/>
  <c r="D75" i="58"/>
  <c r="P75" i="58"/>
  <c r="I75" i="58"/>
  <c r="G75" i="58"/>
  <c r="J75" i="58"/>
  <c r="C75" i="58"/>
  <c r="F75" i="58"/>
  <c r="E75" i="58"/>
  <c r="H75" i="58"/>
  <c r="N173" i="58"/>
  <c r="O173" i="58"/>
  <c r="D173" i="58"/>
  <c r="P173" i="58"/>
  <c r="G173" i="58"/>
  <c r="J173" i="58"/>
  <c r="E173" i="58"/>
  <c r="I173" i="58"/>
  <c r="C173" i="58"/>
  <c r="F173" i="58"/>
  <c r="H173" i="58"/>
  <c r="M173" i="58"/>
  <c r="M264" i="58"/>
  <c r="O264" i="58"/>
  <c r="N264" i="58"/>
  <c r="G264" i="58"/>
  <c r="J264" i="58"/>
  <c r="I264" i="58"/>
  <c r="H264" i="58"/>
  <c r="F264" i="58"/>
  <c r="C264" i="58"/>
  <c r="E264" i="58"/>
  <c r="D264" i="58"/>
  <c r="P264" i="58"/>
  <c r="M306" i="58"/>
  <c r="N306" i="58"/>
  <c r="G306" i="58"/>
  <c r="H306" i="58"/>
  <c r="O306" i="58"/>
  <c r="I306" i="58"/>
  <c r="J306" i="58"/>
  <c r="D306" i="58"/>
  <c r="P306" i="58"/>
  <c r="F306" i="58"/>
  <c r="E306" i="58"/>
  <c r="C306" i="58"/>
  <c r="O369" i="58"/>
  <c r="N369" i="58"/>
  <c r="I369" i="58"/>
  <c r="H369" i="58"/>
  <c r="D369" i="58"/>
  <c r="P369" i="58"/>
  <c r="E369" i="58"/>
  <c r="M369" i="58"/>
  <c r="F369" i="58"/>
  <c r="J369" i="58"/>
  <c r="C369" i="58"/>
  <c r="G369" i="58"/>
  <c r="M411" i="58"/>
  <c r="O411" i="58"/>
  <c r="N411" i="58"/>
  <c r="I411" i="58"/>
  <c r="H411" i="58"/>
  <c r="J411" i="58"/>
  <c r="D411" i="58"/>
  <c r="P411" i="58"/>
  <c r="G411" i="58"/>
  <c r="E411" i="58"/>
  <c r="C411" i="58"/>
  <c r="F411" i="58"/>
  <c r="O418" i="58"/>
  <c r="N418" i="58"/>
  <c r="M418" i="58"/>
  <c r="H418" i="58"/>
  <c r="I418" i="58"/>
  <c r="J418" i="58"/>
  <c r="F418" i="58"/>
  <c r="G418" i="58"/>
  <c r="D418" i="58"/>
  <c r="C418" i="58"/>
  <c r="E418" i="58"/>
  <c r="P418" i="58"/>
  <c r="O35" i="58"/>
  <c r="M35" i="58"/>
  <c r="G35" i="58"/>
  <c r="I35" i="58"/>
  <c r="D35" i="58"/>
  <c r="H35" i="58"/>
  <c r="C35" i="58"/>
  <c r="F35" i="58"/>
  <c r="E35" i="58"/>
  <c r="P35" i="58"/>
  <c r="J35" i="58"/>
  <c r="H116" i="58"/>
  <c r="O116" i="58"/>
  <c r="G116" i="58"/>
  <c r="N116" i="58"/>
  <c r="J116" i="58"/>
  <c r="I116" i="58"/>
  <c r="D116" i="58"/>
  <c r="M116" i="58"/>
  <c r="F116" i="58"/>
  <c r="E116" i="58"/>
  <c r="C116" i="58"/>
  <c r="P116" i="58"/>
  <c r="N123" i="58"/>
  <c r="M123" i="58"/>
  <c r="O123" i="58"/>
  <c r="J123" i="58"/>
  <c r="I123" i="58"/>
  <c r="H123" i="58"/>
  <c r="G123" i="58"/>
  <c r="F123" i="58"/>
  <c r="C123" i="58"/>
  <c r="P123" i="58"/>
  <c r="E123" i="58"/>
  <c r="D123" i="58"/>
  <c r="O172" i="58"/>
  <c r="N172" i="58"/>
  <c r="H172" i="58"/>
  <c r="G172" i="58"/>
  <c r="J172" i="58"/>
  <c r="F172" i="58"/>
  <c r="E172" i="58"/>
  <c r="M172" i="58"/>
  <c r="D172" i="58"/>
  <c r="C172" i="58"/>
  <c r="P172" i="58"/>
  <c r="I172" i="58"/>
  <c r="N57" i="58"/>
  <c r="O57" i="58"/>
  <c r="G57" i="58"/>
  <c r="J57" i="58"/>
  <c r="I57" i="58"/>
  <c r="C57" i="58"/>
  <c r="M57" i="58"/>
  <c r="H57" i="58"/>
  <c r="F57" i="58"/>
  <c r="E57" i="58"/>
  <c r="D57" i="58"/>
  <c r="P57" i="58"/>
  <c r="N64" i="58"/>
  <c r="O64" i="58"/>
  <c r="M64" i="58"/>
  <c r="H64" i="58"/>
  <c r="I64" i="58"/>
  <c r="E64" i="58"/>
  <c r="G64" i="58"/>
  <c r="D64" i="58"/>
  <c r="F64" i="58"/>
  <c r="P64" i="58"/>
  <c r="J64" i="58"/>
  <c r="C64" i="58"/>
  <c r="N71" i="58"/>
  <c r="M71" i="58"/>
  <c r="O71" i="58"/>
  <c r="G71" i="58"/>
  <c r="H71" i="58"/>
  <c r="J71" i="58"/>
  <c r="F71" i="58"/>
  <c r="I71" i="58"/>
  <c r="E71" i="58"/>
  <c r="D71" i="58"/>
  <c r="P71" i="58"/>
  <c r="C71" i="58"/>
  <c r="M54" i="58"/>
  <c r="O54" i="58"/>
  <c r="H54" i="58"/>
  <c r="N54" i="58"/>
  <c r="E54" i="58"/>
  <c r="D54" i="58"/>
  <c r="J54" i="58"/>
  <c r="I54" i="58"/>
  <c r="C54" i="58"/>
  <c r="G54" i="58"/>
  <c r="F54" i="58"/>
  <c r="P54" i="58"/>
  <c r="O61" i="58"/>
  <c r="N61" i="58"/>
  <c r="M61" i="58"/>
  <c r="H61" i="58"/>
  <c r="D61" i="58"/>
  <c r="P61" i="58"/>
  <c r="I61" i="58"/>
  <c r="G61" i="58"/>
  <c r="J61" i="58"/>
  <c r="F61" i="58"/>
  <c r="E61" i="58"/>
  <c r="C61" i="58"/>
  <c r="M96" i="58"/>
  <c r="N96" i="58"/>
  <c r="H96" i="58"/>
  <c r="I96" i="58"/>
  <c r="O96" i="58"/>
  <c r="C96" i="58"/>
  <c r="J96" i="58"/>
  <c r="F96" i="58"/>
  <c r="E96" i="58"/>
  <c r="D96" i="58"/>
  <c r="G96" i="58"/>
  <c r="P96" i="58"/>
  <c r="O138" i="58"/>
  <c r="N138" i="58"/>
  <c r="M138" i="58"/>
  <c r="J138" i="58"/>
  <c r="I138" i="58"/>
  <c r="H138" i="58"/>
  <c r="D138" i="58"/>
  <c r="G138" i="58"/>
  <c r="E138" i="58"/>
  <c r="P138" i="58"/>
  <c r="F138" i="58"/>
  <c r="C138" i="58"/>
  <c r="O180" i="58"/>
  <c r="N180" i="58"/>
  <c r="J180" i="58"/>
  <c r="I180" i="58"/>
  <c r="H180" i="58"/>
  <c r="M180" i="58"/>
  <c r="G180" i="58"/>
  <c r="C180" i="58"/>
  <c r="P180" i="58"/>
  <c r="F180" i="58"/>
  <c r="E180" i="58"/>
  <c r="D180" i="58"/>
  <c r="O215" i="58"/>
  <c r="N215" i="58"/>
  <c r="I215" i="58"/>
  <c r="D215" i="58"/>
  <c r="P215" i="58"/>
  <c r="J215" i="58"/>
  <c r="G215" i="58"/>
  <c r="M215" i="58"/>
  <c r="H215" i="58"/>
  <c r="E215" i="58"/>
  <c r="C215" i="58"/>
  <c r="F215" i="58"/>
  <c r="O222" i="58"/>
  <c r="M222" i="58"/>
  <c r="G222" i="58"/>
  <c r="H222" i="58"/>
  <c r="F222" i="58"/>
  <c r="N222" i="58"/>
  <c r="J222" i="58"/>
  <c r="I222" i="58"/>
  <c r="D222" i="58"/>
  <c r="C222" i="58"/>
  <c r="P222" i="58"/>
  <c r="E222" i="58"/>
  <c r="O257" i="58"/>
  <c r="N257" i="58"/>
  <c r="I257" i="58"/>
  <c r="H257" i="58"/>
  <c r="D257" i="58"/>
  <c r="P257" i="58"/>
  <c r="J257" i="58"/>
  <c r="M257" i="58"/>
  <c r="G257" i="58"/>
  <c r="F257" i="58"/>
  <c r="C257" i="58"/>
  <c r="E257" i="58"/>
  <c r="O334" i="58"/>
  <c r="M334" i="58"/>
  <c r="I334" i="58"/>
  <c r="H334" i="58"/>
  <c r="J334" i="58"/>
  <c r="N334" i="58"/>
  <c r="D334" i="58"/>
  <c r="F334" i="58"/>
  <c r="G334" i="58"/>
  <c r="E334" i="58"/>
  <c r="P334" i="58"/>
  <c r="C334" i="58"/>
  <c r="O376" i="58"/>
  <c r="M376" i="58"/>
  <c r="J376" i="58"/>
  <c r="H376" i="58"/>
  <c r="N376" i="58"/>
  <c r="G376" i="58"/>
  <c r="D376" i="58"/>
  <c r="C376" i="58"/>
  <c r="P376" i="58"/>
  <c r="I376" i="58"/>
  <c r="F376" i="58"/>
  <c r="E376" i="58"/>
  <c r="N446" i="58"/>
  <c r="M446" i="58"/>
  <c r="I446" i="58"/>
  <c r="O446" i="58"/>
  <c r="E446" i="58"/>
  <c r="G446" i="58"/>
  <c r="H446" i="58"/>
  <c r="F446" i="58"/>
  <c r="D446" i="58"/>
  <c r="J446" i="58"/>
  <c r="C446" i="58"/>
  <c r="P446" i="58"/>
  <c r="N453" i="58"/>
  <c r="J453" i="58"/>
  <c r="I453" i="58"/>
  <c r="H453" i="58"/>
  <c r="G453" i="58"/>
  <c r="O453" i="58"/>
  <c r="D453" i="58"/>
  <c r="P453" i="58"/>
  <c r="C453" i="58"/>
  <c r="F453" i="58"/>
  <c r="E453" i="58"/>
  <c r="M453" i="58"/>
  <c r="M481" i="58"/>
  <c r="O481" i="58"/>
  <c r="I481" i="58"/>
  <c r="D481" i="58"/>
  <c r="P481" i="58"/>
  <c r="N481" i="58"/>
  <c r="J481" i="58"/>
  <c r="H481" i="58"/>
  <c r="C481" i="58"/>
  <c r="G481" i="58"/>
  <c r="F481" i="58"/>
  <c r="E481" i="58"/>
  <c r="M495" i="58"/>
  <c r="O495" i="58"/>
  <c r="N495" i="58"/>
  <c r="G495" i="58"/>
  <c r="I495" i="58"/>
  <c r="P495" i="58"/>
  <c r="J495" i="58"/>
  <c r="F495" i="58"/>
  <c r="H495" i="58"/>
  <c r="E495" i="58"/>
  <c r="C495" i="58"/>
  <c r="D495" i="58"/>
  <c r="O38" i="58"/>
  <c r="J38" i="58"/>
  <c r="I38" i="58"/>
  <c r="M38" i="58"/>
  <c r="G38" i="58"/>
  <c r="F38" i="58"/>
  <c r="H38" i="58"/>
  <c r="P38" i="58"/>
  <c r="E38" i="58"/>
  <c r="D38" i="58"/>
  <c r="C38" i="58"/>
  <c r="O45" i="58"/>
  <c r="N45" i="58"/>
  <c r="M45" i="58"/>
  <c r="J45" i="58"/>
  <c r="P45" i="58"/>
  <c r="E45" i="58"/>
  <c r="D45" i="58"/>
  <c r="G45" i="58"/>
  <c r="C45" i="58"/>
  <c r="I45" i="58"/>
  <c r="H45" i="58"/>
  <c r="F45" i="58"/>
  <c r="O52" i="58"/>
  <c r="N52" i="58"/>
  <c r="M52" i="58"/>
  <c r="H52" i="58"/>
  <c r="G52" i="58"/>
  <c r="P52" i="58"/>
  <c r="F52" i="58"/>
  <c r="E52" i="58"/>
  <c r="J52" i="58"/>
  <c r="C52" i="58"/>
  <c r="I52" i="58"/>
  <c r="D52" i="58"/>
  <c r="O59" i="58"/>
  <c r="N59" i="58"/>
  <c r="H59" i="58"/>
  <c r="E59" i="58"/>
  <c r="C59" i="58"/>
  <c r="J59" i="58"/>
  <c r="D59" i="58"/>
  <c r="I59" i="58"/>
  <c r="P59" i="58"/>
  <c r="F59" i="58"/>
  <c r="G59" i="58"/>
  <c r="M59" i="58"/>
  <c r="O66" i="58"/>
  <c r="N66" i="58"/>
  <c r="M66" i="58"/>
  <c r="J66" i="58"/>
  <c r="F66" i="58"/>
  <c r="E66" i="58"/>
  <c r="D66" i="58"/>
  <c r="C66" i="58"/>
  <c r="I66" i="58"/>
  <c r="H66" i="58"/>
  <c r="G66" i="58"/>
  <c r="P66" i="58"/>
  <c r="O73" i="58"/>
  <c r="N73" i="58"/>
  <c r="H73" i="58"/>
  <c r="M73" i="58"/>
  <c r="G73" i="58"/>
  <c r="J73" i="58"/>
  <c r="C73" i="58"/>
  <c r="I73" i="58"/>
  <c r="F73" i="58"/>
  <c r="P73" i="58"/>
  <c r="D73" i="58"/>
  <c r="E73" i="58"/>
  <c r="N80" i="58"/>
  <c r="O80" i="58"/>
  <c r="M80" i="58"/>
  <c r="J80" i="58"/>
  <c r="D80" i="58"/>
  <c r="H80" i="58"/>
  <c r="G80" i="58"/>
  <c r="C80" i="58"/>
  <c r="I80" i="58"/>
  <c r="P80" i="58"/>
  <c r="F80" i="58"/>
  <c r="E80" i="58"/>
  <c r="O87" i="58"/>
  <c r="M87" i="58"/>
  <c r="J87" i="58"/>
  <c r="I87" i="58"/>
  <c r="H87" i="58"/>
  <c r="C87" i="58"/>
  <c r="P87" i="58"/>
  <c r="D87" i="58"/>
  <c r="E87" i="58"/>
  <c r="N87" i="58"/>
  <c r="G87" i="58"/>
  <c r="F87" i="58"/>
  <c r="O94" i="58"/>
  <c r="I94" i="58"/>
  <c r="N94" i="58"/>
  <c r="F94" i="58"/>
  <c r="E94" i="58"/>
  <c r="D94" i="58"/>
  <c r="G94" i="58"/>
  <c r="M94" i="58"/>
  <c r="C94" i="58"/>
  <c r="H94" i="58"/>
  <c r="J94" i="58"/>
  <c r="P94" i="58"/>
  <c r="N101" i="58"/>
  <c r="O101" i="58"/>
  <c r="J101" i="58"/>
  <c r="M101" i="58"/>
  <c r="G101" i="58"/>
  <c r="I101" i="58"/>
  <c r="H101" i="58"/>
  <c r="P101" i="58"/>
  <c r="E101" i="58"/>
  <c r="D101" i="58"/>
  <c r="C101" i="58"/>
  <c r="F101" i="58"/>
  <c r="O108" i="58"/>
  <c r="N108" i="58"/>
  <c r="M108" i="58"/>
  <c r="G108" i="58"/>
  <c r="J108" i="58"/>
  <c r="C108" i="58"/>
  <c r="I108" i="58"/>
  <c r="P108" i="58"/>
  <c r="H108" i="58"/>
  <c r="F108" i="58"/>
  <c r="E108" i="58"/>
  <c r="D108" i="58"/>
  <c r="N115" i="58"/>
  <c r="O115" i="58"/>
  <c r="M115" i="58"/>
  <c r="I115" i="58"/>
  <c r="J115" i="58"/>
  <c r="H115" i="58"/>
  <c r="F115" i="58"/>
  <c r="G115" i="58"/>
  <c r="E115" i="58"/>
  <c r="D115" i="58"/>
  <c r="C115" i="58"/>
  <c r="P115" i="58"/>
  <c r="O122" i="58"/>
  <c r="H122" i="58"/>
  <c r="G122" i="58"/>
  <c r="M122" i="58"/>
  <c r="F122" i="58"/>
  <c r="J122" i="58"/>
  <c r="P122" i="58"/>
  <c r="I122" i="58"/>
  <c r="N122" i="58"/>
  <c r="C122" i="58"/>
  <c r="E122" i="58"/>
  <c r="D122" i="58"/>
  <c r="N129" i="58"/>
  <c r="O129" i="58"/>
  <c r="M129" i="58"/>
  <c r="G129" i="58"/>
  <c r="I129" i="58"/>
  <c r="J129" i="58"/>
  <c r="C129" i="58"/>
  <c r="E129" i="58"/>
  <c r="D129" i="58"/>
  <c r="F129" i="58"/>
  <c r="P129" i="58"/>
  <c r="H129" i="58"/>
  <c r="O136" i="58"/>
  <c r="N136" i="58"/>
  <c r="H136" i="58"/>
  <c r="M136" i="58"/>
  <c r="I136" i="58"/>
  <c r="G136" i="58"/>
  <c r="P136" i="58"/>
  <c r="J136" i="58"/>
  <c r="F136" i="58"/>
  <c r="E136" i="58"/>
  <c r="C136" i="58"/>
  <c r="D136" i="58"/>
  <c r="O143" i="58"/>
  <c r="N143" i="58"/>
  <c r="G143" i="58"/>
  <c r="J143" i="58"/>
  <c r="M143" i="58"/>
  <c r="H143" i="58"/>
  <c r="F143" i="58"/>
  <c r="E143" i="58"/>
  <c r="D143" i="58"/>
  <c r="C143" i="58"/>
  <c r="P143" i="58"/>
  <c r="I143" i="58"/>
  <c r="O150" i="58"/>
  <c r="N150" i="58"/>
  <c r="M150" i="58"/>
  <c r="H150" i="58"/>
  <c r="G150" i="58"/>
  <c r="C150" i="58"/>
  <c r="P150" i="58"/>
  <c r="D150" i="58"/>
  <c r="F150" i="58"/>
  <c r="E150" i="58"/>
  <c r="I150" i="58"/>
  <c r="J150" i="58"/>
  <c r="O157" i="58"/>
  <c r="G157" i="58"/>
  <c r="M157" i="58"/>
  <c r="F157" i="58"/>
  <c r="E157" i="58"/>
  <c r="J157" i="58"/>
  <c r="I157" i="58"/>
  <c r="H157" i="58"/>
  <c r="N157" i="58"/>
  <c r="D157" i="58"/>
  <c r="P157" i="58"/>
  <c r="C157" i="58"/>
  <c r="N164" i="58"/>
  <c r="M164" i="58"/>
  <c r="J164" i="58"/>
  <c r="O164" i="58"/>
  <c r="H164" i="58"/>
  <c r="I164" i="58"/>
  <c r="C164" i="58"/>
  <c r="G164" i="58"/>
  <c r="P164" i="58"/>
  <c r="E164" i="58"/>
  <c r="F164" i="58"/>
  <c r="D164" i="58"/>
  <c r="O171" i="58"/>
  <c r="N171" i="58"/>
  <c r="M171" i="58"/>
  <c r="G171" i="58"/>
  <c r="H171" i="58"/>
  <c r="J171" i="58"/>
  <c r="I171" i="58"/>
  <c r="F171" i="58"/>
  <c r="D171" i="58"/>
  <c r="P171" i="58"/>
  <c r="E171" i="58"/>
  <c r="C171" i="58"/>
  <c r="O178" i="58"/>
  <c r="N178" i="58"/>
  <c r="M178" i="58"/>
  <c r="I178" i="58"/>
  <c r="G178" i="58"/>
  <c r="D178" i="58"/>
  <c r="J178" i="58"/>
  <c r="F178" i="58"/>
  <c r="H178" i="58"/>
  <c r="E178" i="58"/>
  <c r="C178" i="58"/>
  <c r="P178" i="58"/>
  <c r="O185" i="58"/>
  <c r="N185" i="58"/>
  <c r="M185" i="58"/>
  <c r="I185" i="58"/>
  <c r="H185" i="58"/>
  <c r="J185" i="58"/>
  <c r="G185" i="58"/>
  <c r="E185" i="58"/>
  <c r="C185" i="58"/>
  <c r="D185" i="58"/>
  <c r="P185" i="58"/>
  <c r="F185" i="58"/>
  <c r="O192" i="58"/>
  <c r="N192" i="58"/>
  <c r="M192" i="58"/>
  <c r="J192" i="58"/>
  <c r="G192" i="58"/>
  <c r="F192" i="58"/>
  <c r="I192" i="58"/>
  <c r="H192" i="58"/>
  <c r="E192" i="58"/>
  <c r="D192" i="58"/>
  <c r="P192" i="58"/>
  <c r="C192" i="58"/>
  <c r="O199" i="58"/>
  <c r="N199" i="58"/>
  <c r="M199" i="58"/>
  <c r="G199" i="58"/>
  <c r="H199" i="58"/>
  <c r="I199" i="58"/>
  <c r="J199" i="58"/>
  <c r="F199" i="58"/>
  <c r="E199" i="58"/>
  <c r="D199" i="58"/>
  <c r="C199" i="58"/>
  <c r="P199" i="58"/>
  <c r="O206" i="58"/>
  <c r="N206" i="58"/>
  <c r="M206" i="58"/>
  <c r="I206" i="58"/>
  <c r="J206" i="58"/>
  <c r="H206" i="58"/>
  <c r="G206" i="58"/>
  <c r="F206" i="58"/>
  <c r="E206" i="58"/>
  <c r="D206" i="58"/>
  <c r="C206" i="58"/>
  <c r="P206" i="58"/>
  <c r="O213" i="58"/>
  <c r="N213" i="58"/>
  <c r="M213" i="58"/>
  <c r="G213" i="58"/>
  <c r="D213" i="58"/>
  <c r="I213" i="58"/>
  <c r="F213" i="58"/>
  <c r="E213" i="58"/>
  <c r="H213" i="58"/>
  <c r="J213" i="58"/>
  <c r="C213" i="58"/>
  <c r="P213" i="58"/>
  <c r="O220" i="58"/>
  <c r="N220" i="58"/>
  <c r="G220" i="58"/>
  <c r="M220" i="58"/>
  <c r="H220" i="58"/>
  <c r="D220" i="58"/>
  <c r="J220" i="58"/>
  <c r="C220" i="58"/>
  <c r="I220" i="58"/>
  <c r="P220" i="58"/>
  <c r="F220" i="58"/>
  <c r="E220" i="58"/>
  <c r="O227" i="58"/>
  <c r="M227" i="58"/>
  <c r="J227" i="58"/>
  <c r="N227" i="58"/>
  <c r="H227" i="58"/>
  <c r="G227" i="58"/>
  <c r="I227" i="58"/>
  <c r="F227" i="58"/>
  <c r="P227" i="58"/>
  <c r="D227" i="58"/>
  <c r="E227" i="58"/>
  <c r="C227" i="58"/>
  <c r="O234" i="58"/>
  <c r="M234" i="58"/>
  <c r="G234" i="58"/>
  <c r="I234" i="58"/>
  <c r="H234" i="58"/>
  <c r="J234" i="58"/>
  <c r="N234" i="58"/>
  <c r="F234" i="58"/>
  <c r="C234" i="58"/>
  <c r="E234" i="58"/>
  <c r="D234" i="58"/>
  <c r="P234" i="58"/>
  <c r="O241" i="58"/>
  <c r="M241" i="58"/>
  <c r="N241" i="58"/>
  <c r="G241" i="58"/>
  <c r="P241" i="58"/>
  <c r="I241" i="58"/>
  <c r="C241" i="58"/>
  <c r="E241" i="58"/>
  <c r="D241" i="58"/>
  <c r="J241" i="58"/>
  <c r="F241" i="58"/>
  <c r="H241" i="58"/>
  <c r="O248" i="58"/>
  <c r="N248" i="58"/>
  <c r="M248" i="58"/>
  <c r="I248" i="58"/>
  <c r="G248" i="58"/>
  <c r="E248" i="58"/>
  <c r="D248" i="58"/>
  <c r="J248" i="58"/>
  <c r="H248" i="58"/>
  <c r="F248" i="58"/>
  <c r="P248" i="58"/>
  <c r="C248" i="58"/>
  <c r="O255" i="58"/>
  <c r="M255" i="58"/>
  <c r="N255" i="58"/>
  <c r="H255" i="58"/>
  <c r="D255" i="58"/>
  <c r="C255" i="58"/>
  <c r="J255" i="58"/>
  <c r="G255" i="58"/>
  <c r="I255" i="58"/>
  <c r="P255" i="58"/>
  <c r="E255" i="58"/>
  <c r="F255" i="58"/>
  <c r="O262" i="58"/>
  <c r="N262" i="58"/>
  <c r="I262" i="58"/>
  <c r="H262" i="58"/>
  <c r="M262" i="58"/>
  <c r="J262" i="58"/>
  <c r="G262" i="58"/>
  <c r="C262" i="58"/>
  <c r="P262" i="58"/>
  <c r="E262" i="58"/>
  <c r="D262" i="58"/>
  <c r="F262" i="58"/>
  <c r="O269" i="58"/>
  <c r="N269" i="58"/>
  <c r="H269" i="58"/>
  <c r="G269" i="58"/>
  <c r="J269" i="58"/>
  <c r="I269" i="58"/>
  <c r="M269" i="58"/>
  <c r="C269" i="58"/>
  <c r="D269" i="58"/>
  <c r="P269" i="58"/>
  <c r="F269" i="58"/>
  <c r="E269" i="58"/>
  <c r="O276" i="58"/>
  <c r="N276" i="58"/>
  <c r="I276" i="58"/>
  <c r="H276" i="58"/>
  <c r="J276" i="58"/>
  <c r="G276" i="58"/>
  <c r="D276" i="58"/>
  <c r="F276" i="58"/>
  <c r="E276" i="58"/>
  <c r="C276" i="58"/>
  <c r="P276" i="58"/>
  <c r="M276" i="58"/>
  <c r="O283" i="58"/>
  <c r="N283" i="58"/>
  <c r="M283" i="58"/>
  <c r="H283" i="58"/>
  <c r="J283" i="58"/>
  <c r="E283" i="58"/>
  <c r="D283" i="58"/>
  <c r="F283" i="58"/>
  <c r="C283" i="58"/>
  <c r="G283" i="58"/>
  <c r="P283" i="58"/>
  <c r="I283" i="58"/>
  <c r="O290" i="58"/>
  <c r="N290" i="58"/>
  <c r="M290" i="58"/>
  <c r="I290" i="58"/>
  <c r="H290" i="58"/>
  <c r="G290" i="58"/>
  <c r="F290" i="58"/>
  <c r="E290" i="58"/>
  <c r="D290" i="58"/>
  <c r="C290" i="58"/>
  <c r="J290" i="58"/>
  <c r="P290" i="58"/>
  <c r="O297" i="58"/>
  <c r="N297" i="58"/>
  <c r="H297" i="58"/>
  <c r="G297" i="58"/>
  <c r="E297" i="58"/>
  <c r="M297" i="58"/>
  <c r="I297" i="58"/>
  <c r="J297" i="58"/>
  <c r="F297" i="58"/>
  <c r="C297" i="58"/>
  <c r="D297" i="58"/>
  <c r="P297" i="58"/>
  <c r="O304" i="58"/>
  <c r="N304" i="58"/>
  <c r="M304" i="58"/>
  <c r="J304" i="58"/>
  <c r="F304" i="58"/>
  <c r="I304" i="58"/>
  <c r="H304" i="58"/>
  <c r="E304" i="58"/>
  <c r="D304" i="58"/>
  <c r="C304" i="58"/>
  <c r="P304" i="58"/>
  <c r="G304" i="58"/>
  <c r="O311" i="58"/>
  <c r="N311" i="58"/>
  <c r="J311" i="58"/>
  <c r="I311" i="58"/>
  <c r="M311" i="58"/>
  <c r="H311" i="58"/>
  <c r="P311" i="58"/>
  <c r="F311" i="58"/>
  <c r="G311" i="58"/>
  <c r="E311" i="58"/>
  <c r="C311" i="58"/>
  <c r="D311" i="58"/>
  <c r="O318" i="58"/>
  <c r="N318" i="58"/>
  <c r="M318" i="58"/>
  <c r="G318" i="58"/>
  <c r="H318" i="58"/>
  <c r="J318" i="58"/>
  <c r="I318" i="58"/>
  <c r="P318" i="58"/>
  <c r="C318" i="58"/>
  <c r="F318" i="58"/>
  <c r="E318" i="58"/>
  <c r="D318" i="58"/>
  <c r="O325" i="58"/>
  <c r="N325" i="58"/>
  <c r="M325" i="58"/>
  <c r="J325" i="58"/>
  <c r="I325" i="58"/>
  <c r="H325" i="58"/>
  <c r="G325" i="58"/>
  <c r="F325" i="58"/>
  <c r="E325" i="58"/>
  <c r="D325" i="58"/>
  <c r="C325" i="58"/>
  <c r="P325" i="58"/>
  <c r="O332" i="58"/>
  <c r="M332" i="58"/>
  <c r="N332" i="58"/>
  <c r="G332" i="58"/>
  <c r="H332" i="58"/>
  <c r="F332" i="58"/>
  <c r="D332" i="58"/>
  <c r="P332" i="58"/>
  <c r="J332" i="58"/>
  <c r="C332" i="58"/>
  <c r="I332" i="58"/>
  <c r="E332" i="58"/>
  <c r="O339" i="58"/>
  <c r="N339" i="58"/>
  <c r="M339" i="58"/>
  <c r="G339" i="58"/>
  <c r="D339" i="58"/>
  <c r="I339" i="58"/>
  <c r="P339" i="58"/>
  <c r="F339" i="58"/>
  <c r="J339" i="58"/>
  <c r="H339" i="58"/>
  <c r="E339" i="58"/>
  <c r="C339" i="58"/>
  <c r="O346" i="58"/>
  <c r="N346" i="58"/>
  <c r="M346" i="58"/>
  <c r="J346" i="58"/>
  <c r="H346" i="58"/>
  <c r="I346" i="58"/>
  <c r="C346" i="58"/>
  <c r="G346" i="58"/>
  <c r="P346" i="58"/>
  <c r="F346" i="58"/>
  <c r="E346" i="58"/>
  <c r="D346" i="58"/>
  <c r="O353" i="58"/>
  <c r="N353" i="58"/>
  <c r="M353" i="58"/>
  <c r="I353" i="58"/>
  <c r="H353" i="58"/>
  <c r="G353" i="58"/>
  <c r="J353" i="58"/>
  <c r="F353" i="58"/>
  <c r="E353" i="58"/>
  <c r="D353" i="58"/>
  <c r="C353" i="58"/>
  <c r="P353" i="58"/>
  <c r="O360" i="58"/>
  <c r="N360" i="58"/>
  <c r="I360" i="58"/>
  <c r="M360" i="58"/>
  <c r="H360" i="58"/>
  <c r="J360" i="58"/>
  <c r="D360" i="58"/>
  <c r="C360" i="58"/>
  <c r="G360" i="58"/>
  <c r="P360" i="58"/>
  <c r="F360" i="58"/>
  <c r="E360" i="58"/>
  <c r="O367" i="58"/>
  <c r="N367" i="58"/>
  <c r="H367" i="58"/>
  <c r="G367" i="58"/>
  <c r="J367" i="58"/>
  <c r="I367" i="58"/>
  <c r="D367" i="58"/>
  <c r="M367" i="58"/>
  <c r="P367" i="58"/>
  <c r="C367" i="58"/>
  <c r="F367" i="58"/>
  <c r="E367" i="58"/>
  <c r="O374" i="58"/>
  <c r="M374" i="58"/>
  <c r="N374" i="58"/>
  <c r="J374" i="58"/>
  <c r="E374" i="58"/>
  <c r="G374" i="58"/>
  <c r="I374" i="58"/>
  <c r="H374" i="58"/>
  <c r="C374" i="58"/>
  <c r="P374" i="58"/>
  <c r="F374" i="58"/>
  <c r="D374" i="58"/>
  <c r="O381" i="58"/>
  <c r="N381" i="58"/>
  <c r="M381" i="58"/>
  <c r="G381" i="58"/>
  <c r="E381" i="58"/>
  <c r="I381" i="58"/>
  <c r="F381" i="58"/>
  <c r="D381" i="58"/>
  <c r="H381" i="58"/>
  <c r="C381" i="58"/>
  <c r="J381" i="58"/>
  <c r="P381" i="58"/>
  <c r="O388" i="58"/>
  <c r="N388" i="58"/>
  <c r="M388" i="58"/>
  <c r="G388" i="58"/>
  <c r="J388" i="58"/>
  <c r="I388" i="58"/>
  <c r="H388" i="58"/>
  <c r="F388" i="58"/>
  <c r="E388" i="58"/>
  <c r="D388" i="58"/>
  <c r="C388" i="58"/>
  <c r="P388" i="58"/>
  <c r="O395" i="58"/>
  <c r="N395" i="58"/>
  <c r="I395" i="58"/>
  <c r="M395" i="58"/>
  <c r="J395" i="58"/>
  <c r="G395" i="58"/>
  <c r="H395" i="58"/>
  <c r="F395" i="58"/>
  <c r="E395" i="58"/>
  <c r="D395" i="58"/>
  <c r="C395" i="58"/>
  <c r="P395" i="58"/>
  <c r="O402" i="58"/>
  <c r="N402" i="58"/>
  <c r="M402" i="58"/>
  <c r="J402" i="58"/>
  <c r="H402" i="58"/>
  <c r="I402" i="58"/>
  <c r="D402" i="58"/>
  <c r="F402" i="58"/>
  <c r="G402" i="58"/>
  <c r="E402" i="58"/>
  <c r="P402" i="58"/>
  <c r="C402" i="58"/>
  <c r="O409" i="58"/>
  <c r="N409" i="58"/>
  <c r="J409" i="58"/>
  <c r="I409" i="58"/>
  <c r="M409" i="58"/>
  <c r="E409" i="58"/>
  <c r="F409" i="58"/>
  <c r="D409" i="58"/>
  <c r="H409" i="58"/>
  <c r="G409" i="58"/>
  <c r="C409" i="58"/>
  <c r="P409" i="58"/>
  <c r="O416" i="58"/>
  <c r="N416" i="58"/>
  <c r="M416" i="58"/>
  <c r="G416" i="58"/>
  <c r="J416" i="58"/>
  <c r="F416" i="58"/>
  <c r="E416" i="58"/>
  <c r="D416" i="58"/>
  <c r="H416" i="58"/>
  <c r="P416" i="58"/>
  <c r="C416" i="58"/>
  <c r="I416" i="58"/>
  <c r="O423" i="58"/>
  <c r="N423" i="58"/>
  <c r="M423" i="58"/>
  <c r="G423" i="58"/>
  <c r="J423" i="58"/>
  <c r="I423" i="58"/>
  <c r="D423" i="58"/>
  <c r="P423" i="58"/>
  <c r="H423" i="58"/>
  <c r="F423" i="58"/>
  <c r="E423" i="58"/>
  <c r="C423" i="58"/>
  <c r="O430" i="58"/>
  <c r="N430" i="58"/>
  <c r="M430" i="58"/>
  <c r="J430" i="58"/>
  <c r="I430" i="58"/>
  <c r="E430" i="58"/>
  <c r="D430" i="58"/>
  <c r="C430" i="58"/>
  <c r="H430" i="58"/>
  <c r="P430" i="58"/>
  <c r="F430" i="58"/>
  <c r="G430" i="58"/>
  <c r="O437" i="58"/>
  <c r="N437" i="58"/>
  <c r="M437" i="58"/>
  <c r="I437" i="58"/>
  <c r="H437" i="58"/>
  <c r="G437" i="58"/>
  <c r="J437" i="58"/>
  <c r="D437" i="58"/>
  <c r="E437" i="58"/>
  <c r="P437" i="58"/>
  <c r="F437" i="58"/>
  <c r="C437" i="58"/>
  <c r="O444" i="58"/>
  <c r="M444" i="58"/>
  <c r="J444" i="58"/>
  <c r="F444" i="58"/>
  <c r="H444" i="58"/>
  <c r="G444" i="58"/>
  <c r="N444" i="58"/>
  <c r="D444" i="58"/>
  <c r="I444" i="58"/>
  <c r="P444" i="58"/>
  <c r="C444" i="58"/>
  <c r="E444" i="58"/>
  <c r="O451" i="58"/>
  <c r="M451" i="58"/>
  <c r="N451" i="58"/>
  <c r="J451" i="58"/>
  <c r="I451" i="58"/>
  <c r="H451" i="58"/>
  <c r="F451" i="58"/>
  <c r="C451" i="58"/>
  <c r="G451" i="58"/>
  <c r="P451" i="58"/>
  <c r="E451" i="58"/>
  <c r="D451" i="58"/>
  <c r="O458" i="58"/>
  <c r="N458" i="58"/>
  <c r="M458" i="58"/>
  <c r="I458" i="58"/>
  <c r="G458" i="58"/>
  <c r="H458" i="58"/>
  <c r="F458" i="58"/>
  <c r="J458" i="58"/>
  <c r="E458" i="58"/>
  <c r="C458" i="58"/>
  <c r="D458" i="58"/>
  <c r="P458" i="58"/>
  <c r="O465" i="58"/>
  <c r="N465" i="58"/>
  <c r="J465" i="58"/>
  <c r="F465" i="58"/>
  <c r="I465" i="58"/>
  <c r="C465" i="58"/>
  <c r="M465" i="58"/>
  <c r="H465" i="58"/>
  <c r="E465" i="58"/>
  <c r="D465" i="58"/>
  <c r="G465" i="58"/>
  <c r="P465" i="58"/>
  <c r="O472" i="58"/>
  <c r="N472" i="58"/>
  <c r="I472" i="58"/>
  <c r="M472" i="58"/>
  <c r="J472" i="58"/>
  <c r="G472" i="58"/>
  <c r="D472" i="58"/>
  <c r="H472" i="58"/>
  <c r="F472" i="58"/>
  <c r="C472" i="58"/>
  <c r="P472" i="58"/>
  <c r="E472" i="58"/>
  <c r="O479" i="58"/>
  <c r="N479" i="58"/>
  <c r="J479" i="58"/>
  <c r="I479" i="58"/>
  <c r="G479" i="58"/>
  <c r="F479" i="58"/>
  <c r="M479" i="58"/>
  <c r="C479" i="58"/>
  <c r="E479" i="58"/>
  <c r="D479" i="58"/>
  <c r="P479" i="58"/>
  <c r="H479" i="58"/>
  <c r="O486" i="58"/>
  <c r="N486" i="58"/>
  <c r="I486" i="58"/>
  <c r="M486" i="58"/>
  <c r="H486" i="58"/>
  <c r="G486" i="58"/>
  <c r="D486" i="58"/>
  <c r="J486" i="58"/>
  <c r="F486" i="58"/>
  <c r="E486" i="58"/>
  <c r="P486" i="58"/>
  <c r="C486" i="58"/>
  <c r="O493" i="58"/>
  <c r="M493" i="58"/>
  <c r="N493" i="58"/>
  <c r="J493" i="58"/>
  <c r="I493" i="58"/>
  <c r="G493" i="58"/>
  <c r="F493" i="58"/>
  <c r="P493" i="58"/>
  <c r="H493" i="58"/>
  <c r="C493" i="58"/>
  <c r="E493" i="58"/>
  <c r="D493" i="58"/>
  <c r="O500" i="58"/>
  <c r="M500" i="58"/>
  <c r="N500" i="58"/>
  <c r="I500" i="58"/>
  <c r="J500" i="58"/>
  <c r="G500" i="58"/>
  <c r="H500" i="58"/>
  <c r="E500" i="58"/>
  <c r="C500" i="58"/>
  <c r="F500" i="58"/>
  <c r="D500" i="58"/>
  <c r="P500" i="58"/>
  <c r="O507" i="58"/>
  <c r="G507" i="58"/>
  <c r="M507" i="58"/>
  <c r="D507" i="58"/>
  <c r="J507" i="58"/>
  <c r="H507" i="58"/>
  <c r="I507" i="58"/>
  <c r="F507" i="58"/>
  <c r="E507" i="58"/>
  <c r="C507" i="58"/>
  <c r="P507" i="58"/>
  <c r="O49" i="58"/>
  <c r="N49" i="58"/>
  <c r="M49" i="58"/>
  <c r="H49" i="58"/>
  <c r="J49" i="58"/>
  <c r="E49" i="58"/>
  <c r="D49" i="58"/>
  <c r="C49" i="58"/>
  <c r="P49" i="58"/>
  <c r="I49" i="58"/>
  <c r="F49" i="58"/>
  <c r="G49" i="58"/>
  <c r="O56" i="58"/>
  <c r="N56" i="58"/>
  <c r="M56" i="58"/>
  <c r="E56" i="58"/>
  <c r="G56" i="58"/>
  <c r="I56" i="58"/>
  <c r="J56" i="58"/>
  <c r="D56" i="58"/>
  <c r="C56" i="58"/>
  <c r="F56" i="58"/>
  <c r="P56" i="58"/>
  <c r="H56" i="58"/>
  <c r="N63" i="58"/>
  <c r="M63" i="58"/>
  <c r="J63" i="58"/>
  <c r="F63" i="58"/>
  <c r="O63" i="58"/>
  <c r="I63" i="58"/>
  <c r="H63" i="58"/>
  <c r="E63" i="58"/>
  <c r="C63" i="58"/>
  <c r="P63" i="58"/>
  <c r="D63" i="58"/>
  <c r="G63" i="58"/>
  <c r="O70" i="58"/>
  <c r="N70" i="58"/>
  <c r="M70" i="58"/>
  <c r="H70" i="58"/>
  <c r="E70" i="58"/>
  <c r="G70" i="58"/>
  <c r="P70" i="58"/>
  <c r="J70" i="58"/>
  <c r="I70" i="58"/>
  <c r="C70" i="58"/>
  <c r="F70" i="58"/>
  <c r="D70" i="58"/>
  <c r="O77" i="58"/>
  <c r="H77" i="58"/>
  <c r="G77" i="58"/>
  <c r="P77" i="58"/>
  <c r="N77" i="58"/>
  <c r="F77" i="58"/>
  <c r="J77" i="58"/>
  <c r="M77" i="58"/>
  <c r="E77" i="58"/>
  <c r="C77" i="58"/>
  <c r="D77" i="58"/>
  <c r="I77" i="58"/>
  <c r="O84" i="58"/>
  <c r="N84" i="58"/>
  <c r="M84" i="58"/>
  <c r="E84" i="58"/>
  <c r="J84" i="58"/>
  <c r="F84" i="58"/>
  <c r="D84" i="58"/>
  <c r="G84" i="58"/>
  <c r="H84" i="58"/>
  <c r="C84" i="58"/>
  <c r="I84" i="58"/>
  <c r="P84" i="58"/>
  <c r="O91" i="58"/>
  <c r="N91" i="58"/>
  <c r="I91" i="58"/>
  <c r="M91" i="58"/>
  <c r="P91" i="58"/>
  <c r="H91" i="58"/>
  <c r="G91" i="58"/>
  <c r="F91" i="58"/>
  <c r="E91" i="58"/>
  <c r="D91" i="58"/>
  <c r="J91" i="58"/>
  <c r="C91" i="58"/>
  <c r="O98" i="58"/>
  <c r="N98" i="58"/>
  <c r="M98" i="58"/>
  <c r="E98" i="58"/>
  <c r="H98" i="58"/>
  <c r="G98" i="58"/>
  <c r="F98" i="58"/>
  <c r="D98" i="58"/>
  <c r="J98" i="58"/>
  <c r="I98" i="58"/>
  <c r="P98" i="58"/>
  <c r="C98" i="58"/>
  <c r="O105" i="58"/>
  <c r="N105" i="58"/>
  <c r="M105" i="58"/>
  <c r="G105" i="58"/>
  <c r="I105" i="58"/>
  <c r="E105" i="58"/>
  <c r="D105" i="58"/>
  <c r="P105" i="58"/>
  <c r="H105" i="58"/>
  <c r="F105" i="58"/>
  <c r="C105" i="58"/>
  <c r="J105" i="58"/>
  <c r="O112" i="58"/>
  <c r="N112" i="58"/>
  <c r="M112" i="58"/>
  <c r="H112" i="58"/>
  <c r="E112" i="58"/>
  <c r="G112" i="58"/>
  <c r="F112" i="58"/>
  <c r="D112" i="58"/>
  <c r="I112" i="58"/>
  <c r="C112" i="58"/>
  <c r="P112" i="58"/>
  <c r="J112" i="58"/>
  <c r="N119" i="58"/>
  <c r="G119" i="58"/>
  <c r="O119" i="58"/>
  <c r="M119" i="58"/>
  <c r="J119" i="58"/>
  <c r="C119" i="58"/>
  <c r="H119" i="58"/>
  <c r="E119" i="58"/>
  <c r="D119" i="58"/>
  <c r="I119" i="58"/>
  <c r="P119" i="58"/>
  <c r="F119" i="58"/>
  <c r="O126" i="58"/>
  <c r="N126" i="58"/>
  <c r="E126" i="58"/>
  <c r="H126" i="58"/>
  <c r="G126" i="58"/>
  <c r="F126" i="58"/>
  <c r="D126" i="58"/>
  <c r="C126" i="58"/>
  <c r="J126" i="58"/>
  <c r="P126" i="58"/>
  <c r="I126" i="58"/>
  <c r="M126" i="58"/>
  <c r="G133" i="58"/>
  <c r="O133" i="58"/>
  <c r="M133" i="58"/>
  <c r="N133" i="58"/>
  <c r="C133" i="58"/>
  <c r="J133" i="58"/>
  <c r="F133" i="58"/>
  <c r="E133" i="58"/>
  <c r="D133" i="58"/>
  <c r="P133" i="58"/>
  <c r="I133" i="58"/>
  <c r="H133" i="58"/>
  <c r="N140" i="58"/>
  <c r="O140" i="58"/>
  <c r="M140" i="58"/>
  <c r="E140" i="58"/>
  <c r="G140" i="58"/>
  <c r="H140" i="58"/>
  <c r="J140" i="58"/>
  <c r="I140" i="58"/>
  <c r="D140" i="58"/>
  <c r="C140" i="58"/>
  <c r="F140" i="58"/>
  <c r="P140" i="58"/>
  <c r="O147" i="58"/>
  <c r="N147" i="58"/>
  <c r="G147" i="58"/>
  <c r="J147" i="58"/>
  <c r="F147" i="58"/>
  <c r="M147" i="58"/>
  <c r="E147" i="58"/>
  <c r="C147" i="58"/>
  <c r="I147" i="58"/>
  <c r="H147" i="58"/>
  <c r="D147" i="58"/>
  <c r="P147" i="58"/>
  <c r="O154" i="58"/>
  <c r="N154" i="58"/>
  <c r="J154" i="58"/>
  <c r="E154" i="58"/>
  <c r="M154" i="58"/>
  <c r="I154" i="58"/>
  <c r="H154" i="58"/>
  <c r="F154" i="58"/>
  <c r="D154" i="58"/>
  <c r="G154" i="58"/>
  <c r="P154" i="58"/>
  <c r="C154" i="58"/>
  <c r="N161" i="58"/>
  <c r="O161" i="58"/>
  <c r="G161" i="58"/>
  <c r="I161" i="58"/>
  <c r="D161" i="58"/>
  <c r="H161" i="58"/>
  <c r="M161" i="58"/>
  <c r="F161" i="58"/>
  <c r="C161" i="58"/>
  <c r="E161" i="58"/>
  <c r="P161" i="58"/>
  <c r="J161" i="58"/>
  <c r="O168" i="58"/>
  <c r="N168" i="58"/>
  <c r="M168" i="58"/>
  <c r="E168" i="58"/>
  <c r="J168" i="58"/>
  <c r="I168" i="58"/>
  <c r="H168" i="58"/>
  <c r="P168" i="58"/>
  <c r="G168" i="58"/>
  <c r="F168" i="58"/>
  <c r="D168" i="58"/>
  <c r="C168" i="58"/>
  <c r="M175" i="58"/>
  <c r="O175" i="58"/>
  <c r="N175" i="58"/>
  <c r="G175" i="58"/>
  <c r="J175" i="58"/>
  <c r="I175" i="58"/>
  <c r="H175" i="58"/>
  <c r="F175" i="58"/>
  <c r="D175" i="58"/>
  <c r="P175" i="58"/>
  <c r="C175" i="58"/>
  <c r="E175" i="58"/>
  <c r="N182" i="58"/>
  <c r="O182" i="58"/>
  <c r="H182" i="58"/>
  <c r="E182" i="58"/>
  <c r="G182" i="58"/>
  <c r="F182" i="58"/>
  <c r="P182" i="58"/>
  <c r="M182" i="58"/>
  <c r="C182" i="58"/>
  <c r="D182" i="58"/>
  <c r="J182" i="58"/>
  <c r="I182" i="58"/>
  <c r="O189" i="58"/>
  <c r="N189" i="58"/>
  <c r="M189" i="58"/>
  <c r="J189" i="58"/>
  <c r="I189" i="58"/>
  <c r="H189" i="58"/>
  <c r="F189" i="58"/>
  <c r="G189" i="58"/>
  <c r="E189" i="58"/>
  <c r="D189" i="58"/>
  <c r="P189" i="58"/>
  <c r="C189" i="58"/>
  <c r="N196" i="58"/>
  <c r="M196" i="58"/>
  <c r="G196" i="58"/>
  <c r="E196" i="58"/>
  <c r="O196" i="58"/>
  <c r="H196" i="58"/>
  <c r="D196" i="58"/>
  <c r="P196" i="58"/>
  <c r="J196" i="58"/>
  <c r="F196" i="58"/>
  <c r="I196" i="58"/>
  <c r="C196" i="58"/>
  <c r="N203" i="58"/>
  <c r="O203" i="58"/>
  <c r="M203" i="58"/>
  <c r="H203" i="58"/>
  <c r="G203" i="58"/>
  <c r="I203" i="58"/>
  <c r="J203" i="58"/>
  <c r="D203" i="58"/>
  <c r="C203" i="58"/>
  <c r="P203" i="58"/>
  <c r="F203" i="58"/>
  <c r="E203" i="58"/>
  <c r="M210" i="58"/>
  <c r="N210" i="58"/>
  <c r="E210" i="58"/>
  <c r="J210" i="58"/>
  <c r="C210" i="58"/>
  <c r="O210" i="58"/>
  <c r="P210" i="58"/>
  <c r="I210" i="58"/>
  <c r="H210" i="58"/>
  <c r="G210" i="58"/>
  <c r="F210" i="58"/>
  <c r="D210" i="58"/>
  <c r="N217" i="58"/>
  <c r="O217" i="58"/>
  <c r="M217" i="58"/>
  <c r="G217" i="58"/>
  <c r="I217" i="58"/>
  <c r="H217" i="58"/>
  <c r="J217" i="58"/>
  <c r="F217" i="58"/>
  <c r="E217" i="58"/>
  <c r="P217" i="58"/>
  <c r="C217" i="58"/>
  <c r="D217" i="58"/>
  <c r="O224" i="58"/>
  <c r="N224" i="58"/>
  <c r="G224" i="58"/>
  <c r="I224" i="58"/>
  <c r="E224" i="58"/>
  <c r="J224" i="58"/>
  <c r="C224" i="58"/>
  <c r="M224" i="58"/>
  <c r="P224" i="58"/>
  <c r="F224" i="58"/>
  <c r="D224" i="58"/>
  <c r="H224" i="58"/>
  <c r="N231" i="58"/>
  <c r="M231" i="58"/>
  <c r="H231" i="58"/>
  <c r="J231" i="58"/>
  <c r="I231" i="58"/>
  <c r="O231" i="58"/>
  <c r="E231" i="58"/>
  <c r="D231" i="58"/>
  <c r="F231" i="58"/>
  <c r="C231" i="58"/>
  <c r="P231" i="58"/>
  <c r="G231" i="58"/>
  <c r="O238" i="58"/>
  <c r="N238" i="58"/>
  <c r="E238" i="58"/>
  <c r="J238" i="58"/>
  <c r="G238" i="58"/>
  <c r="D238" i="58"/>
  <c r="I238" i="58"/>
  <c r="C238" i="58"/>
  <c r="P238" i="58"/>
  <c r="H238" i="58"/>
  <c r="M238" i="58"/>
  <c r="F238" i="58"/>
  <c r="O245" i="58"/>
  <c r="M245" i="58"/>
  <c r="N245" i="58"/>
  <c r="G245" i="58"/>
  <c r="I245" i="58"/>
  <c r="J245" i="58"/>
  <c r="D245" i="58"/>
  <c r="P245" i="58"/>
  <c r="H245" i="58"/>
  <c r="E245" i="58"/>
  <c r="C245" i="58"/>
  <c r="F245" i="58"/>
  <c r="N252" i="58"/>
  <c r="M252" i="58"/>
  <c r="J252" i="58"/>
  <c r="E252" i="58"/>
  <c r="O252" i="58"/>
  <c r="I252" i="58"/>
  <c r="H252" i="58"/>
  <c r="G252" i="58"/>
  <c r="P252" i="58"/>
  <c r="F252" i="58"/>
  <c r="D252" i="58"/>
  <c r="C252" i="58"/>
  <c r="N259" i="58"/>
  <c r="O259" i="58"/>
  <c r="M259" i="58"/>
  <c r="H259" i="58"/>
  <c r="G259" i="58"/>
  <c r="J259" i="58"/>
  <c r="E259" i="58"/>
  <c r="D259" i="58"/>
  <c r="C259" i="58"/>
  <c r="I259" i="58"/>
  <c r="P259" i="58"/>
  <c r="F259" i="58"/>
  <c r="N266" i="58"/>
  <c r="O266" i="58"/>
  <c r="G266" i="58"/>
  <c r="M266" i="58"/>
  <c r="E266" i="58"/>
  <c r="J266" i="58"/>
  <c r="F266" i="58"/>
  <c r="D266" i="58"/>
  <c r="I266" i="58"/>
  <c r="P266" i="58"/>
  <c r="C266" i="58"/>
  <c r="H266" i="58"/>
  <c r="O273" i="58"/>
  <c r="N273" i="58"/>
  <c r="M273" i="58"/>
  <c r="H273" i="58"/>
  <c r="I273" i="58"/>
  <c r="J273" i="58"/>
  <c r="G273" i="58"/>
  <c r="E273" i="58"/>
  <c r="D273" i="58"/>
  <c r="P273" i="58"/>
  <c r="F273" i="58"/>
  <c r="C273" i="58"/>
  <c r="O280" i="58"/>
  <c r="N280" i="58"/>
  <c r="M280" i="58"/>
  <c r="E280" i="58"/>
  <c r="H280" i="58"/>
  <c r="G280" i="58"/>
  <c r="J280" i="58"/>
  <c r="I280" i="58"/>
  <c r="C280" i="58"/>
  <c r="P280" i="58"/>
  <c r="F280" i="58"/>
  <c r="D280" i="58"/>
  <c r="N287" i="58"/>
  <c r="O287" i="58"/>
  <c r="M287" i="58"/>
  <c r="G287" i="58"/>
  <c r="E287" i="58"/>
  <c r="H287" i="58"/>
  <c r="P287" i="58"/>
  <c r="F287" i="58"/>
  <c r="I287" i="58"/>
  <c r="D287" i="58"/>
  <c r="C287" i="58"/>
  <c r="J287" i="58"/>
  <c r="O294" i="58"/>
  <c r="N294" i="58"/>
  <c r="I294" i="58"/>
  <c r="E294" i="58"/>
  <c r="M294" i="58"/>
  <c r="J294" i="58"/>
  <c r="H294" i="58"/>
  <c r="D294" i="58"/>
  <c r="G294" i="58"/>
  <c r="C294" i="58"/>
  <c r="F294" i="58"/>
  <c r="P294" i="58"/>
  <c r="N301" i="58"/>
  <c r="J301" i="58"/>
  <c r="M301" i="58"/>
  <c r="I301" i="58"/>
  <c r="O301" i="58"/>
  <c r="G301" i="58"/>
  <c r="H301" i="58"/>
  <c r="P301" i="58"/>
  <c r="C301" i="58"/>
  <c r="E301" i="58"/>
  <c r="D301" i="58"/>
  <c r="F301" i="58"/>
  <c r="M308" i="58"/>
  <c r="O308" i="58"/>
  <c r="N308" i="58"/>
  <c r="I308" i="58"/>
  <c r="H308" i="58"/>
  <c r="J308" i="58"/>
  <c r="E308" i="58"/>
  <c r="G308" i="58"/>
  <c r="F308" i="58"/>
  <c r="P308" i="58"/>
  <c r="D308" i="58"/>
  <c r="C308" i="58"/>
  <c r="N315" i="58"/>
  <c r="O315" i="58"/>
  <c r="I315" i="58"/>
  <c r="J315" i="58"/>
  <c r="F315" i="58"/>
  <c r="H315" i="58"/>
  <c r="E315" i="58"/>
  <c r="C315" i="58"/>
  <c r="D315" i="58"/>
  <c r="M315" i="58"/>
  <c r="P315" i="58"/>
  <c r="G315" i="58"/>
  <c r="M322" i="58"/>
  <c r="N322" i="58"/>
  <c r="O322" i="58"/>
  <c r="I322" i="58"/>
  <c r="J322" i="58"/>
  <c r="E322" i="58"/>
  <c r="F322" i="58"/>
  <c r="H322" i="58"/>
  <c r="D322" i="58"/>
  <c r="G322" i="58"/>
  <c r="C322" i="58"/>
  <c r="P322" i="58"/>
  <c r="O329" i="58"/>
  <c r="N329" i="58"/>
  <c r="H329" i="58"/>
  <c r="I329" i="58"/>
  <c r="G329" i="58"/>
  <c r="J329" i="58"/>
  <c r="C329" i="58"/>
  <c r="F329" i="58"/>
  <c r="E329" i="58"/>
  <c r="D329" i="58"/>
  <c r="P329" i="58"/>
  <c r="M329" i="58"/>
  <c r="M336" i="58"/>
  <c r="O336" i="58"/>
  <c r="N336" i="58"/>
  <c r="I336" i="58"/>
  <c r="E336" i="58"/>
  <c r="H336" i="58"/>
  <c r="G336" i="58"/>
  <c r="J336" i="58"/>
  <c r="C336" i="58"/>
  <c r="F336" i="58"/>
  <c r="P336" i="58"/>
  <c r="D336" i="58"/>
  <c r="M343" i="58"/>
  <c r="N343" i="58"/>
  <c r="O343" i="58"/>
  <c r="E343" i="58"/>
  <c r="F343" i="58"/>
  <c r="D343" i="58"/>
  <c r="I343" i="58"/>
  <c r="C343" i="58"/>
  <c r="H343" i="58"/>
  <c r="G343" i="58"/>
  <c r="P343" i="58"/>
  <c r="J343" i="58"/>
  <c r="N350" i="58"/>
  <c r="O350" i="58"/>
  <c r="J350" i="58"/>
  <c r="M350" i="58"/>
  <c r="E350" i="58"/>
  <c r="I350" i="58"/>
  <c r="D350" i="58"/>
  <c r="C350" i="58"/>
  <c r="G350" i="58"/>
  <c r="H350" i="58"/>
  <c r="F350" i="58"/>
  <c r="P350" i="58"/>
  <c r="O357" i="58"/>
  <c r="H357" i="58"/>
  <c r="G357" i="58"/>
  <c r="M357" i="58"/>
  <c r="I357" i="58"/>
  <c r="N357" i="58"/>
  <c r="P357" i="58"/>
  <c r="J357" i="58"/>
  <c r="F357" i="58"/>
  <c r="E357" i="58"/>
  <c r="D357" i="58"/>
  <c r="C357" i="58"/>
  <c r="O364" i="58"/>
  <c r="N364" i="58"/>
  <c r="M364" i="58"/>
  <c r="G364" i="58"/>
  <c r="E364" i="58"/>
  <c r="D364" i="58"/>
  <c r="J364" i="58"/>
  <c r="H364" i="58"/>
  <c r="I364" i="58"/>
  <c r="F364" i="58"/>
  <c r="P364" i="58"/>
  <c r="C364" i="58"/>
  <c r="N371" i="58"/>
  <c r="M371" i="58"/>
  <c r="O371" i="58"/>
  <c r="I371" i="58"/>
  <c r="J371" i="58"/>
  <c r="G371" i="58"/>
  <c r="H371" i="58"/>
  <c r="F371" i="58"/>
  <c r="E371" i="58"/>
  <c r="C371" i="58"/>
  <c r="D371" i="58"/>
  <c r="P371" i="58"/>
  <c r="O378" i="58"/>
  <c r="N378" i="58"/>
  <c r="E378" i="58"/>
  <c r="M378" i="58"/>
  <c r="G378" i="58"/>
  <c r="F378" i="58"/>
  <c r="D378" i="58"/>
  <c r="P378" i="58"/>
  <c r="I378" i="58"/>
  <c r="J378" i="58"/>
  <c r="C378" i="58"/>
  <c r="H378" i="58"/>
  <c r="O385" i="58"/>
  <c r="N385" i="58"/>
  <c r="M385" i="58"/>
  <c r="G385" i="58"/>
  <c r="J385" i="58"/>
  <c r="I385" i="58"/>
  <c r="H385" i="58"/>
  <c r="F385" i="58"/>
  <c r="C385" i="58"/>
  <c r="P385" i="58"/>
  <c r="E385" i="58"/>
  <c r="D385" i="58"/>
  <c r="M392" i="58"/>
  <c r="O392" i="58"/>
  <c r="N392" i="58"/>
  <c r="H392" i="58"/>
  <c r="E392" i="58"/>
  <c r="J392" i="58"/>
  <c r="D392" i="58"/>
  <c r="P392" i="58"/>
  <c r="I392" i="58"/>
  <c r="G392" i="58"/>
  <c r="F392" i="58"/>
  <c r="C392" i="58"/>
  <c r="N399" i="58"/>
  <c r="O399" i="58"/>
  <c r="M399" i="58"/>
  <c r="J399" i="58"/>
  <c r="I399" i="58"/>
  <c r="G399" i="58"/>
  <c r="E399" i="58"/>
  <c r="D399" i="58"/>
  <c r="C399" i="58"/>
  <c r="F399" i="58"/>
  <c r="P399" i="58"/>
  <c r="H399" i="58"/>
  <c r="O406" i="58"/>
  <c r="N406" i="58"/>
  <c r="I406" i="58"/>
  <c r="H406" i="58"/>
  <c r="E406" i="58"/>
  <c r="J406" i="58"/>
  <c r="G406" i="58"/>
  <c r="C406" i="58"/>
  <c r="P406" i="58"/>
  <c r="F406" i="58"/>
  <c r="D406" i="58"/>
  <c r="M406" i="58"/>
  <c r="O413" i="58"/>
  <c r="N413" i="58"/>
  <c r="M413" i="58"/>
  <c r="H413" i="58"/>
  <c r="I413" i="58"/>
  <c r="G413" i="58"/>
  <c r="F413" i="58"/>
  <c r="J413" i="58"/>
  <c r="E413" i="58"/>
  <c r="D413" i="58"/>
  <c r="C413" i="58"/>
  <c r="P413" i="58"/>
  <c r="O420" i="58"/>
  <c r="N420" i="58"/>
  <c r="M420" i="58"/>
  <c r="I420" i="58"/>
  <c r="E420" i="58"/>
  <c r="G420" i="58"/>
  <c r="C420" i="58"/>
  <c r="F420" i="58"/>
  <c r="D420" i="58"/>
  <c r="H420" i="58"/>
  <c r="P420" i="58"/>
  <c r="J420" i="58"/>
  <c r="O427" i="58"/>
  <c r="M427" i="58"/>
  <c r="N427" i="58"/>
  <c r="H427" i="58"/>
  <c r="J427" i="58"/>
  <c r="I427" i="58"/>
  <c r="E427" i="58"/>
  <c r="G427" i="58"/>
  <c r="D427" i="58"/>
  <c r="F427" i="58"/>
  <c r="C427" i="58"/>
  <c r="P427" i="58"/>
  <c r="N434" i="58"/>
  <c r="O434" i="58"/>
  <c r="G434" i="58"/>
  <c r="E434" i="58"/>
  <c r="H434" i="58"/>
  <c r="J434" i="58"/>
  <c r="F434" i="58"/>
  <c r="I434" i="58"/>
  <c r="C434" i="58"/>
  <c r="P434" i="58"/>
  <c r="D434" i="58"/>
  <c r="M434" i="58"/>
  <c r="O441" i="58"/>
  <c r="N441" i="58"/>
  <c r="M441" i="58"/>
  <c r="G441" i="58"/>
  <c r="H441" i="58"/>
  <c r="I441" i="58"/>
  <c r="D441" i="58"/>
  <c r="J441" i="58"/>
  <c r="P441" i="58"/>
  <c r="C441" i="58"/>
  <c r="F441" i="58"/>
  <c r="E441" i="58"/>
  <c r="N448" i="58"/>
  <c r="O448" i="58"/>
  <c r="G448" i="58"/>
  <c r="M448" i="58"/>
  <c r="E448" i="58"/>
  <c r="I448" i="58"/>
  <c r="H448" i="58"/>
  <c r="J448" i="58"/>
  <c r="F448" i="58"/>
  <c r="D448" i="58"/>
  <c r="C448" i="58"/>
  <c r="P448" i="58"/>
  <c r="O455" i="58"/>
  <c r="N455" i="58"/>
  <c r="M455" i="58"/>
  <c r="J455" i="58"/>
  <c r="G455" i="58"/>
  <c r="H455" i="58"/>
  <c r="I455" i="58"/>
  <c r="F455" i="58"/>
  <c r="E455" i="58"/>
  <c r="P455" i="58"/>
  <c r="D455" i="58"/>
  <c r="C455" i="58"/>
  <c r="O462" i="58"/>
  <c r="N462" i="58"/>
  <c r="G462" i="58"/>
  <c r="M462" i="58"/>
  <c r="H462" i="58"/>
  <c r="E462" i="58"/>
  <c r="F462" i="58"/>
  <c r="I462" i="58"/>
  <c r="J462" i="58"/>
  <c r="P462" i="58"/>
  <c r="D462" i="58"/>
  <c r="C462" i="58"/>
  <c r="O469" i="58"/>
  <c r="N469" i="58"/>
  <c r="M469" i="58"/>
  <c r="J469" i="58"/>
  <c r="H469" i="58"/>
  <c r="F469" i="58"/>
  <c r="I469" i="58"/>
  <c r="G469" i="58"/>
  <c r="P469" i="58"/>
  <c r="C469" i="58"/>
  <c r="D469" i="58"/>
  <c r="E469" i="58"/>
  <c r="O476" i="58"/>
  <c r="M476" i="58"/>
  <c r="N476" i="58"/>
  <c r="J476" i="58"/>
  <c r="I476" i="58"/>
  <c r="H476" i="58"/>
  <c r="E476" i="58"/>
  <c r="F476" i="58"/>
  <c r="D476" i="58"/>
  <c r="C476" i="58"/>
  <c r="P476" i="58"/>
  <c r="G476" i="58"/>
  <c r="O483" i="58"/>
  <c r="M483" i="58"/>
  <c r="J483" i="58"/>
  <c r="N483" i="58"/>
  <c r="G483" i="58"/>
  <c r="H483" i="58"/>
  <c r="F483" i="58"/>
  <c r="E483" i="58"/>
  <c r="P483" i="58"/>
  <c r="D483" i="58"/>
  <c r="C483" i="58"/>
  <c r="I483" i="58"/>
  <c r="O490" i="58"/>
  <c r="M490" i="58"/>
  <c r="N490" i="58"/>
  <c r="G490" i="58"/>
  <c r="I490" i="58"/>
  <c r="E490" i="58"/>
  <c r="D490" i="58"/>
  <c r="H490" i="58"/>
  <c r="C490" i="58"/>
  <c r="P490" i="58"/>
  <c r="F490" i="58"/>
  <c r="J490" i="58"/>
  <c r="N497" i="58"/>
  <c r="O497" i="58"/>
  <c r="J497" i="58"/>
  <c r="I497" i="58"/>
  <c r="H497" i="58"/>
  <c r="G497" i="58"/>
  <c r="D497" i="58"/>
  <c r="M497" i="58"/>
  <c r="P497" i="58"/>
  <c r="E497" i="58"/>
  <c r="C497" i="58"/>
  <c r="F497" i="58"/>
  <c r="M504" i="58"/>
  <c r="O504" i="58"/>
  <c r="N504" i="58"/>
  <c r="G504" i="58"/>
  <c r="H504" i="58"/>
  <c r="J504" i="58"/>
  <c r="F504" i="58"/>
  <c r="E504" i="58"/>
  <c r="D504" i="58"/>
  <c r="I504" i="58"/>
  <c r="P504" i="58"/>
  <c r="C504" i="58"/>
  <c r="O207" i="58"/>
  <c r="N207" i="58"/>
  <c r="G207" i="58"/>
  <c r="I207" i="58"/>
  <c r="J207" i="58"/>
  <c r="H207" i="58"/>
  <c r="F207" i="58"/>
  <c r="E207" i="58"/>
  <c r="D207" i="58"/>
  <c r="C207" i="58"/>
  <c r="M207" i="58"/>
  <c r="P207" i="58"/>
  <c r="N214" i="58"/>
  <c r="O214" i="58"/>
  <c r="G214" i="58"/>
  <c r="M214" i="58"/>
  <c r="J214" i="58"/>
  <c r="D214" i="58"/>
  <c r="I214" i="58"/>
  <c r="H214" i="58"/>
  <c r="F214" i="58"/>
  <c r="E214" i="58"/>
  <c r="P214" i="58"/>
  <c r="C214" i="58"/>
  <c r="O221" i="58"/>
  <c r="N221" i="58"/>
  <c r="G221" i="58"/>
  <c r="M221" i="58"/>
  <c r="I221" i="58"/>
  <c r="H221" i="58"/>
  <c r="J221" i="58"/>
  <c r="F221" i="58"/>
  <c r="C221" i="58"/>
  <c r="E221" i="58"/>
  <c r="P221" i="58"/>
  <c r="D221" i="58"/>
  <c r="N228" i="58"/>
  <c r="O228" i="58"/>
  <c r="M228" i="58"/>
  <c r="H228" i="58"/>
  <c r="J228" i="58"/>
  <c r="G228" i="58"/>
  <c r="D228" i="58"/>
  <c r="F228" i="58"/>
  <c r="E228" i="58"/>
  <c r="C228" i="58"/>
  <c r="P228" i="58"/>
  <c r="I228" i="58"/>
  <c r="O235" i="58"/>
  <c r="N235" i="58"/>
  <c r="M235" i="58"/>
  <c r="G235" i="58"/>
  <c r="H235" i="58"/>
  <c r="J235" i="58"/>
  <c r="I235" i="58"/>
  <c r="F235" i="58"/>
  <c r="E235" i="58"/>
  <c r="D235" i="58"/>
  <c r="C235" i="58"/>
  <c r="P235" i="58"/>
  <c r="O242" i="58"/>
  <c r="M242" i="58"/>
  <c r="J242" i="58"/>
  <c r="N242" i="58"/>
  <c r="I242" i="58"/>
  <c r="H242" i="58"/>
  <c r="G242" i="58"/>
  <c r="F242" i="58"/>
  <c r="P242" i="58"/>
  <c r="E242" i="58"/>
  <c r="D242" i="58"/>
  <c r="C242" i="58"/>
  <c r="O249" i="58"/>
  <c r="N249" i="58"/>
  <c r="M249" i="58"/>
  <c r="G249" i="58"/>
  <c r="J249" i="58"/>
  <c r="I249" i="58"/>
  <c r="E249" i="58"/>
  <c r="D249" i="58"/>
  <c r="H249" i="58"/>
  <c r="C249" i="58"/>
  <c r="F249" i="58"/>
  <c r="P249" i="58"/>
  <c r="M256" i="58"/>
  <c r="O256" i="58"/>
  <c r="N256" i="58"/>
  <c r="G256" i="58"/>
  <c r="H256" i="58"/>
  <c r="P256" i="58"/>
  <c r="F256" i="58"/>
  <c r="E256" i="58"/>
  <c r="D256" i="58"/>
  <c r="C256" i="58"/>
  <c r="J256" i="58"/>
  <c r="I256" i="58"/>
  <c r="N263" i="58"/>
  <c r="O263" i="58"/>
  <c r="M263" i="58"/>
  <c r="G263" i="58"/>
  <c r="I263" i="58"/>
  <c r="H263" i="58"/>
  <c r="J263" i="58"/>
  <c r="E263" i="58"/>
  <c r="D263" i="58"/>
  <c r="P263" i="58"/>
  <c r="C263" i="58"/>
  <c r="F263" i="58"/>
  <c r="O270" i="58"/>
  <c r="M270" i="58"/>
  <c r="N270" i="58"/>
  <c r="C270" i="58"/>
  <c r="J270" i="58"/>
  <c r="P270" i="58"/>
  <c r="I270" i="58"/>
  <c r="F270" i="58"/>
  <c r="H270" i="58"/>
  <c r="E270" i="58"/>
  <c r="D270" i="58"/>
  <c r="G270" i="58"/>
  <c r="N277" i="58"/>
  <c r="O277" i="58"/>
  <c r="G277" i="58"/>
  <c r="H277" i="58"/>
  <c r="J277" i="58"/>
  <c r="I277" i="58"/>
  <c r="F277" i="58"/>
  <c r="E277" i="58"/>
  <c r="M277" i="58"/>
  <c r="C277" i="58"/>
  <c r="D277" i="58"/>
  <c r="P277" i="58"/>
  <c r="M284" i="58"/>
  <c r="N284" i="58"/>
  <c r="J284" i="58"/>
  <c r="G284" i="58"/>
  <c r="I284" i="58"/>
  <c r="E284" i="58"/>
  <c r="D284" i="58"/>
  <c r="C284" i="58"/>
  <c r="P284" i="58"/>
  <c r="O284" i="58"/>
  <c r="H284" i="58"/>
  <c r="F284" i="58"/>
  <c r="O291" i="58"/>
  <c r="N291" i="58"/>
  <c r="G291" i="58"/>
  <c r="I291" i="58"/>
  <c r="J291" i="58"/>
  <c r="H291" i="58"/>
  <c r="F291" i="58"/>
  <c r="D291" i="58"/>
  <c r="C291" i="58"/>
  <c r="M291" i="58"/>
  <c r="E291" i="58"/>
  <c r="P291" i="58"/>
  <c r="O298" i="58"/>
  <c r="N298" i="58"/>
  <c r="M298" i="58"/>
  <c r="I298" i="58"/>
  <c r="H298" i="58"/>
  <c r="G298" i="58"/>
  <c r="J298" i="58"/>
  <c r="C298" i="58"/>
  <c r="D298" i="58"/>
  <c r="P298" i="58"/>
  <c r="E298" i="58"/>
  <c r="F298" i="58"/>
  <c r="N305" i="58"/>
  <c r="O305" i="58"/>
  <c r="G305" i="58"/>
  <c r="H305" i="58"/>
  <c r="J305" i="58"/>
  <c r="I305" i="58"/>
  <c r="M305" i="58"/>
  <c r="D305" i="58"/>
  <c r="F305" i="58"/>
  <c r="E305" i="58"/>
  <c r="C305" i="58"/>
  <c r="P305" i="58"/>
  <c r="N312" i="58"/>
  <c r="O312" i="58"/>
  <c r="M312" i="58"/>
  <c r="J312" i="58"/>
  <c r="G312" i="58"/>
  <c r="E312" i="58"/>
  <c r="H312" i="58"/>
  <c r="F312" i="58"/>
  <c r="D312" i="58"/>
  <c r="I312" i="58"/>
  <c r="P312" i="58"/>
  <c r="C312" i="58"/>
  <c r="O319" i="58"/>
  <c r="N319" i="58"/>
  <c r="M319" i="58"/>
  <c r="G319" i="58"/>
  <c r="I319" i="58"/>
  <c r="H319" i="58"/>
  <c r="C319" i="58"/>
  <c r="P319" i="58"/>
  <c r="F319" i="58"/>
  <c r="J319" i="58"/>
  <c r="D319" i="58"/>
  <c r="E319" i="58"/>
  <c r="O326" i="58"/>
  <c r="M326" i="58"/>
  <c r="J326" i="58"/>
  <c r="H326" i="58"/>
  <c r="N326" i="58"/>
  <c r="E326" i="58"/>
  <c r="D326" i="58"/>
  <c r="I326" i="58"/>
  <c r="G326" i="58"/>
  <c r="C326" i="58"/>
  <c r="F326" i="58"/>
  <c r="P326" i="58"/>
  <c r="N333" i="58"/>
  <c r="M333" i="58"/>
  <c r="G333" i="58"/>
  <c r="O333" i="58"/>
  <c r="P333" i="58"/>
  <c r="F333" i="58"/>
  <c r="J333" i="58"/>
  <c r="I333" i="58"/>
  <c r="H333" i="58"/>
  <c r="C333" i="58"/>
  <c r="E333" i="58"/>
  <c r="D333" i="58"/>
  <c r="O340" i="58"/>
  <c r="N340" i="58"/>
  <c r="J340" i="58"/>
  <c r="M340" i="58"/>
  <c r="I340" i="58"/>
  <c r="G340" i="58"/>
  <c r="F340" i="58"/>
  <c r="H340" i="58"/>
  <c r="D340" i="58"/>
  <c r="E340" i="58"/>
  <c r="C340" i="58"/>
  <c r="P340" i="58"/>
  <c r="N347" i="58"/>
  <c r="G347" i="58"/>
  <c r="M347" i="58"/>
  <c r="J347" i="58"/>
  <c r="I347" i="58"/>
  <c r="H347" i="58"/>
  <c r="F347" i="58"/>
  <c r="P347" i="58"/>
  <c r="E347" i="58"/>
  <c r="O347" i="58"/>
  <c r="D347" i="58"/>
  <c r="C347" i="58"/>
  <c r="O354" i="58"/>
  <c r="N354" i="58"/>
  <c r="G354" i="58"/>
  <c r="H354" i="58"/>
  <c r="D354" i="58"/>
  <c r="E354" i="58"/>
  <c r="I354" i="58"/>
  <c r="F354" i="58"/>
  <c r="C354" i="58"/>
  <c r="P354" i="58"/>
  <c r="J354" i="58"/>
  <c r="M354" i="58"/>
  <c r="N361" i="58"/>
  <c r="O361" i="58"/>
  <c r="M361" i="58"/>
  <c r="G361" i="58"/>
  <c r="I361" i="58"/>
  <c r="J361" i="58"/>
  <c r="E361" i="58"/>
  <c r="H361" i="58"/>
  <c r="D361" i="58"/>
  <c r="C361" i="58"/>
  <c r="F361" i="58"/>
  <c r="P361" i="58"/>
  <c r="O368" i="58"/>
  <c r="N368" i="58"/>
  <c r="M368" i="58"/>
  <c r="J368" i="58"/>
  <c r="H368" i="58"/>
  <c r="I368" i="58"/>
  <c r="F368" i="58"/>
  <c r="E368" i="58"/>
  <c r="D368" i="58"/>
  <c r="G368" i="58"/>
  <c r="P368" i="58"/>
  <c r="C368" i="58"/>
  <c r="M375" i="58"/>
  <c r="O375" i="58"/>
  <c r="G375" i="58"/>
  <c r="J375" i="58"/>
  <c r="N375" i="58"/>
  <c r="I375" i="58"/>
  <c r="H375" i="58"/>
  <c r="F375" i="58"/>
  <c r="E375" i="58"/>
  <c r="C375" i="58"/>
  <c r="D375" i="58"/>
  <c r="P375" i="58"/>
  <c r="O382" i="58"/>
  <c r="N382" i="58"/>
  <c r="M382" i="58"/>
  <c r="H382" i="58"/>
  <c r="J382" i="58"/>
  <c r="I382" i="58"/>
  <c r="E382" i="58"/>
  <c r="D382" i="58"/>
  <c r="G382" i="58"/>
  <c r="P382" i="58"/>
  <c r="C382" i="58"/>
  <c r="F382" i="58"/>
  <c r="O389" i="58"/>
  <c r="M389" i="58"/>
  <c r="N389" i="58"/>
  <c r="G389" i="58"/>
  <c r="I389" i="58"/>
  <c r="H389" i="58"/>
  <c r="E389" i="58"/>
  <c r="J389" i="58"/>
  <c r="D389" i="58"/>
  <c r="C389" i="58"/>
  <c r="F389" i="58"/>
  <c r="P389" i="58"/>
  <c r="M396" i="58"/>
  <c r="O396" i="58"/>
  <c r="N396" i="58"/>
  <c r="I396" i="58"/>
  <c r="H396" i="58"/>
  <c r="G396" i="58"/>
  <c r="D396" i="58"/>
  <c r="E396" i="58"/>
  <c r="C396" i="58"/>
  <c r="P396" i="58"/>
  <c r="F396" i="58"/>
  <c r="J396" i="58"/>
  <c r="O403" i="58"/>
  <c r="N403" i="58"/>
  <c r="G403" i="58"/>
  <c r="H403" i="58"/>
  <c r="I403" i="58"/>
  <c r="D403" i="58"/>
  <c r="M403" i="58"/>
  <c r="E403" i="58"/>
  <c r="J403" i="58"/>
  <c r="F403" i="58"/>
  <c r="P403" i="58"/>
  <c r="C403" i="58"/>
  <c r="N410" i="58"/>
  <c r="O410" i="58"/>
  <c r="J410" i="58"/>
  <c r="M410" i="58"/>
  <c r="D410" i="58"/>
  <c r="H410" i="58"/>
  <c r="G410" i="58"/>
  <c r="F410" i="58"/>
  <c r="E410" i="58"/>
  <c r="C410" i="58"/>
  <c r="P410" i="58"/>
  <c r="I410" i="58"/>
  <c r="N417" i="58"/>
  <c r="G417" i="58"/>
  <c r="O417" i="58"/>
  <c r="J417" i="58"/>
  <c r="M417" i="58"/>
  <c r="F417" i="58"/>
  <c r="E417" i="58"/>
  <c r="D417" i="58"/>
  <c r="I417" i="58"/>
  <c r="H417" i="58"/>
  <c r="P417" i="58"/>
  <c r="C417" i="58"/>
  <c r="O424" i="58"/>
  <c r="J424" i="58"/>
  <c r="I424" i="58"/>
  <c r="E424" i="58"/>
  <c r="H424" i="58"/>
  <c r="F424" i="58"/>
  <c r="N424" i="58"/>
  <c r="D424" i="58"/>
  <c r="M424" i="58"/>
  <c r="P424" i="58"/>
  <c r="G424" i="58"/>
  <c r="C424" i="58"/>
  <c r="O431" i="58"/>
  <c r="N431" i="58"/>
  <c r="M431" i="58"/>
  <c r="G431" i="58"/>
  <c r="H431" i="58"/>
  <c r="E431" i="58"/>
  <c r="D431" i="58"/>
  <c r="J431" i="58"/>
  <c r="C431" i="58"/>
  <c r="P431" i="58"/>
  <c r="I431" i="58"/>
  <c r="F431" i="58"/>
  <c r="O438" i="58"/>
  <c r="M438" i="58"/>
  <c r="J438" i="58"/>
  <c r="N438" i="58"/>
  <c r="G438" i="58"/>
  <c r="P438" i="58"/>
  <c r="I438" i="58"/>
  <c r="E438" i="58"/>
  <c r="F438" i="58"/>
  <c r="C438" i="58"/>
  <c r="D438" i="58"/>
  <c r="H438" i="58"/>
  <c r="O445" i="58"/>
  <c r="N445" i="58"/>
  <c r="M445" i="58"/>
  <c r="G445" i="58"/>
  <c r="J445" i="58"/>
  <c r="I445" i="58"/>
  <c r="H445" i="58"/>
  <c r="E445" i="58"/>
  <c r="F445" i="58"/>
  <c r="D445" i="58"/>
  <c r="P445" i="58"/>
  <c r="C445" i="58"/>
  <c r="M452" i="58"/>
  <c r="O452" i="58"/>
  <c r="N452" i="58"/>
  <c r="I452" i="58"/>
  <c r="H452" i="58"/>
  <c r="J452" i="58"/>
  <c r="G452" i="58"/>
  <c r="P452" i="58"/>
  <c r="D452" i="58"/>
  <c r="C452" i="58"/>
  <c r="E452" i="58"/>
  <c r="F452" i="58"/>
  <c r="M459" i="58"/>
  <c r="N459" i="58"/>
  <c r="O459" i="58"/>
  <c r="H459" i="58"/>
  <c r="G459" i="58"/>
  <c r="J459" i="58"/>
  <c r="F459" i="58"/>
  <c r="I459" i="58"/>
  <c r="P459" i="58"/>
  <c r="E459" i="58"/>
  <c r="D459" i="58"/>
  <c r="C459" i="58"/>
  <c r="M466" i="58"/>
  <c r="N466" i="58"/>
  <c r="O466" i="58"/>
  <c r="J466" i="58"/>
  <c r="I466" i="58"/>
  <c r="G466" i="58"/>
  <c r="D466" i="58"/>
  <c r="C466" i="58"/>
  <c r="P466" i="58"/>
  <c r="E466" i="58"/>
  <c r="H466" i="58"/>
  <c r="F466" i="58"/>
  <c r="O473" i="58"/>
  <c r="N473" i="58"/>
  <c r="J473" i="58"/>
  <c r="I473" i="58"/>
  <c r="E473" i="58"/>
  <c r="H473" i="58"/>
  <c r="M473" i="58"/>
  <c r="G473" i="58"/>
  <c r="C473" i="58"/>
  <c r="P473" i="58"/>
  <c r="F473" i="58"/>
  <c r="D473" i="58"/>
  <c r="O480" i="58"/>
  <c r="N480" i="58"/>
  <c r="M480" i="58"/>
  <c r="C480" i="58"/>
  <c r="I480" i="58"/>
  <c r="J480" i="58"/>
  <c r="H480" i="58"/>
  <c r="G480" i="58"/>
  <c r="D480" i="58"/>
  <c r="P480" i="58"/>
  <c r="F480" i="58"/>
  <c r="E480" i="58"/>
  <c r="O487" i="58"/>
  <c r="N487" i="58"/>
  <c r="M487" i="58"/>
  <c r="H487" i="58"/>
  <c r="G487" i="58"/>
  <c r="D487" i="58"/>
  <c r="J487" i="58"/>
  <c r="F487" i="58"/>
  <c r="I487" i="58"/>
  <c r="E487" i="58"/>
  <c r="C487" i="58"/>
  <c r="P487" i="58"/>
  <c r="O494" i="58"/>
  <c r="N494" i="58"/>
  <c r="M494" i="58"/>
  <c r="J494" i="58"/>
  <c r="I494" i="58"/>
  <c r="H494" i="58"/>
  <c r="G494" i="58"/>
  <c r="C494" i="58"/>
  <c r="F494" i="58"/>
  <c r="E494" i="58"/>
  <c r="D494" i="58"/>
  <c r="P494" i="58"/>
  <c r="M501" i="58"/>
  <c r="O501" i="58"/>
  <c r="N501" i="58"/>
  <c r="G501" i="58"/>
  <c r="J501" i="58"/>
  <c r="I501" i="58"/>
  <c r="D501" i="58"/>
  <c r="E501" i="58"/>
  <c r="F501" i="58"/>
  <c r="H501" i="58"/>
  <c r="C501" i="58"/>
  <c r="P501" i="58"/>
  <c r="AL45" i="28"/>
  <c r="AF45" i="28"/>
  <c r="AK45" i="28"/>
  <c r="AL66" i="28"/>
  <c r="AF66" i="28"/>
  <c r="AK66" i="28"/>
  <c r="AL129" i="28"/>
  <c r="AF129" i="28"/>
  <c r="AK129" i="28"/>
  <c r="AL136" i="28"/>
  <c r="AF136" i="28"/>
  <c r="AK136" i="28"/>
  <c r="AL311" i="28"/>
  <c r="AF311" i="28"/>
  <c r="AK311" i="28"/>
  <c r="AL332" i="28"/>
  <c r="AF332" i="28"/>
  <c r="AK332" i="28"/>
  <c r="AL423" i="28"/>
  <c r="AF423" i="28"/>
  <c r="AK423" i="28"/>
  <c r="AL493" i="28"/>
  <c r="AF493" i="28"/>
  <c r="AK493" i="28"/>
  <c r="AF38" i="28"/>
  <c r="N38" i="58" s="1"/>
  <c r="AK38" i="28"/>
  <c r="AL59" i="28"/>
  <c r="AF59" i="28"/>
  <c r="AK59" i="28"/>
  <c r="AL87" i="28"/>
  <c r="AF87" i="28"/>
  <c r="AK87" i="28"/>
  <c r="AL255" i="28"/>
  <c r="AF255" i="28"/>
  <c r="AK255" i="28"/>
  <c r="AL276" i="28"/>
  <c r="AF276" i="28"/>
  <c r="AK276" i="28"/>
  <c r="AL367" i="28"/>
  <c r="AF367" i="28"/>
  <c r="AK367" i="28"/>
  <c r="AF34" i="28"/>
  <c r="N34" i="58" s="1"/>
  <c r="AK34" i="28"/>
  <c r="AL41" i="28"/>
  <c r="AK41" i="28"/>
  <c r="AF41" i="28"/>
  <c r="AK48" i="28"/>
  <c r="AL48" i="28"/>
  <c r="AF48" i="28"/>
  <c r="AK55" i="28"/>
  <c r="AL55" i="28"/>
  <c r="AF55" i="28"/>
  <c r="AL62" i="28"/>
  <c r="AF62" i="28"/>
  <c r="AK62" i="28"/>
  <c r="AK69" i="28"/>
  <c r="AL69" i="28"/>
  <c r="AF69" i="28"/>
  <c r="AK76" i="28"/>
  <c r="AL76" i="28"/>
  <c r="AF76" i="28"/>
  <c r="AK83" i="28"/>
  <c r="AL83" i="28"/>
  <c r="AF83" i="28"/>
  <c r="AL90" i="28"/>
  <c r="AF90" i="28"/>
  <c r="AK90" i="28"/>
  <c r="AK97" i="28"/>
  <c r="AL97" i="28"/>
  <c r="AF97" i="28"/>
  <c r="AL104" i="28"/>
  <c r="AF104" i="28"/>
  <c r="AK104" i="28"/>
  <c r="AK111" i="28"/>
  <c r="AL111" i="28"/>
  <c r="AF111" i="28"/>
  <c r="AK118" i="28"/>
  <c r="AL118" i="28"/>
  <c r="AF118" i="28"/>
  <c r="AK125" i="28"/>
  <c r="AL125" i="28"/>
  <c r="AF125" i="28"/>
  <c r="AL132" i="28"/>
  <c r="AF132" i="28"/>
  <c r="AK132" i="28"/>
  <c r="AL139" i="28"/>
  <c r="AK139" i="28"/>
  <c r="AF139" i="28"/>
  <c r="AK146" i="28"/>
  <c r="AL146" i="28"/>
  <c r="AF146" i="28"/>
  <c r="AK153" i="28"/>
  <c r="AL153" i="28"/>
  <c r="AF153" i="28"/>
  <c r="AL160" i="28"/>
  <c r="AF160" i="28"/>
  <c r="AK160" i="28"/>
  <c r="AK167" i="28"/>
  <c r="AL167" i="28"/>
  <c r="AF167" i="28"/>
  <c r="AK174" i="28"/>
  <c r="AL174" i="28"/>
  <c r="AF174" i="28"/>
  <c r="AK181" i="28"/>
  <c r="AL181" i="28"/>
  <c r="AF181" i="28"/>
  <c r="AL188" i="28"/>
  <c r="AF188" i="28"/>
  <c r="AK188" i="28"/>
  <c r="AK195" i="28"/>
  <c r="AL195" i="28"/>
  <c r="AF195" i="28"/>
  <c r="AL202" i="28"/>
  <c r="AF202" i="28"/>
  <c r="AK202" i="28"/>
  <c r="AK209" i="28"/>
  <c r="AL209" i="28"/>
  <c r="AF209" i="28"/>
  <c r="AK216" i="28"/>
  <c r="AL216" i="28"/>
  <c r="AF216" i="28"/>
  <c r="AK223" i="28"/>
  <c r="AL223" i="28"/>
  <c r="AF223" i="28"/>
  <c r="AL230" i="28"/>
  <c r="AF230" i="28"/>
  <c r="AK230" i="28"/>
  <c r="AL237" i="28"/>
  <c r="AK237" i="28"/>
  <c r="AF237" i="28"/>
  <c r="AK244" i="28"/>
  <c r="AL244" i="28"/>
  <c r="AF244" i="28"/>
  <c r="AK251" i="28"/>
  <c r="AL251" i="28"/>
  <c r="AF251" i="28"/>
  <c r="AL258" i="28"/>
  <c r="AF258" i="28"/>
  <c r="AK258" i="28"/>
  <c r="AK265" i="28"/>
  <c r="AL265" i="28"/>
  <c r="AF265" i="28"/>
  <c r="AK272" i="28"/>
  <c r="AL272" i="28"/>
  <c r="AF272" i="28"/>
  <c r="AK279" i="28"/>
  <c r="AL279" i="28"/>
  <c r="AF279" i="28"/>
  <c r="AL286" i="28"/>
  <c r="AF286" i="28"/>
  <c r="AK286" i="28"/>
  <c r="AK293" i="28"/>
  <c r="AL293" i="28"/>
  <c r="AF293" i="28"/>
  <c r="AL300" i="28"/>
  <c r="AF300" i="28"/>
  <c r="AK300" i="28"/>
  <c r="AK307" i="28"/>
  <c r="AL307" i="28"/>
  <c r="AF307" i="28"/>
  <c r="AK314" i="28"/>
  <c r="AL314" i="28"/>
  <c r="AF314" i="28"/>
  <c r="AK321" i="28"/>
  <c r="AL321" i="28"/>
  <c r="AF321" i="28"/>
  <c r="AK328" i="28"/>
  <c r="AL328" i="28"/>
  <c r="AF328" i="28"/>
  <c r="AK335" i="28"/>
  <c r="AL335" i="28"/>
  <c r="AF335" i="28"/>
  <c r="AK342" i="28"/>
  <c r="AL342" i="28"/>
  <c r="AF342" i="28"/>
  <c r="AK349" i="28"/>
  <c r="AL349" i="28"/>
  <c r="AF349" i="28"/>
  <c r="AK356" i="28"/>
  <c r="AL356" i="28"/>
  <c r="AF356" i="28"/>
  <c r="AK363" i="28"/>
  <c r="AL363" i="28"/>
  <c r="AF363" i="28"/>
  <c r="AK370" i="28"/>
  <c r="AL370" i="28"/>
  <c r="AF370" i="28"/>
  <c r="AK377" i="28"/>
  <c r="AL377" i="28"/>
  <c r="AF377" i="28"/>
  <c r="AK384" i="28"/>
  <c r="AL384" i="28"/>
  <c r="AF384" i="28"/>
  <c r="AK391" i="28"/>
  <c r="AL391" i="28"/>
  <c r="AF391" i="28"/>
  <c r="AK398" i="28"/>
  <c r="AL398" i="28"/>
  <c r="AF398" i="28"/>
  <c r="AK405" i="28"/>
  <c r="AL405" i="28"/>
  <c r="AF405" i="28"/>
  <c r="AK412" i="28"/>
  <c r="AL412" i="28"/>
  <c r="AF412" i="28"/>
  <c r="AK419" i="28"/>
  <c r="AL419" i="28"/>
  <c r="AF419" i="28"/>
  <c r="AK426" i="28"/>
  <c r="AL426" i="28"/>
  <c r="AF426" i="28"/>
  <c r="AK433" i="28"/>
  <c r="AL433" i="28"/>
  <c r="AF433" i="28"/>
  <c r="AK440" i="28"/>
  <c r="AL440" i="28"/>
  <c r="AF440" i="28"/>
  <c r="AK447" i="28"/>
  <c r="AL447" i="28"/>
  <c r="AF447" i="28"/>
  <c r="AK454" i="28"/>
  <c r="AL454" i="28"/>
  <c r="AF454" i="28"/>
  <c r="AK461" i="28"/>
  <c r="AL461" i="28"/>
  <c r="AF461" i="28"/>
  <c r="AK468" i="28"/>
  <c r="AL468" i="28"/>
  <c r="AF468" i="28"/>
  <c r="AK475" i="28"/>
  <c r="AL475" i="28"/>
  <c r="AF475" i="28"/>
  <c r="AK482" i="28"/>
  <c r="AL482" i="28"/>
  <c r="AF482" i="28"/>
  <c r="AK489" i="28"/>
  <c r="AL489" i="28"/>
  <c r="AF489" i="28"/>
  <c r="AK496" i="28"/>
  <c r="AL496" i="28"/>
  <c r="AF496" i="28"/>
  <c r="AK503" i="28"/>
  <c r="AL503" i="28"/>
  <c r="AF503" i="28"/>
  <c r="AL143" i="28"/>
  <c r="AF143" i="28"/>
  <c r="AK143" i="28"/>
  <c r="AL241" i="28"/>
  <c r="AF241" i="28"/>
  <c r="AK241" i="28"/>
  <c r="AL346" i="28"/>
  <c r="AF346" i="28"/>
  <c r="AK346" i="28"/>
  <c r="AF36" i="28"/>
  <c r="N36" i="58" s="1"/>
  <c r="AK36" i="28"/>
  <c r="AL43" i="28"/>
  <c r="AF43" i="28"/>
  <c r="AK43" i="28"/>
  <c r="AL50" i="28"/>
  <c r="AK50" i="28"/>
  <c r="AF50" i="28"/>
  <c r="AL57" i="28"/>
  <c r="AF57" i="28"/>
  <c r="AK57" i="28"/>
  <c r="AL64" i="28"/>
  <c r="AF64" i="28"/>
  <c r="AK64" i="28"/>
  <c r="AL71" i="28"/>
  <c r="AF71" i="28"/>
  <c r="AK71" i="28"/>
  <c r="AL78" i="28"/>
  <c r="AK78" i="28"/>
  <c r="AF78" i="28"/>
  <c r="AL85" i="28"/>
  <c r="AF85" i="28"/>
  <c r="AK85" i="28"/>
  <c r="AL92" i="28"/>
  <c r="AK92" i="28"/>
  <c r="AF92" i="28"/>
  <c r="AL99" i="28"/>
  <c r="AF99" i="28"/>
  <c r="AK99" i="28"/>
  <c r="AL106" i="28"/>
  <c r="AF106" i="28"/>
  <c r="AK106" i="28"/>
  <c r="AL113" i="28"/>
  <c r="AF113" i="28"/>
  <c r="AK113" i="28"/>
  <c r="AL120" i="28"/>
  <c r="AK120" i="28"/>
  <c r="AF120" i="28"/>
  <c r="AL127" i="28"/>
  <c r="AF127" i="28"/>
  <c r="AK127" i="28"/>
  <c r="AL134" i="28"/>
  <c r="AF134" i="28"/>
  <c r="AK134" i="28"/>
  <c r="AL141" i="28"/>
  <c r="AF141" i="28"/>
  <c r="AK141" i="28"/>
  <c r="AL148" i="28"/>
  <c r="AK148" i="28"/>
  <c r="AF148" i="28"/>
  <c r="AL155" i="28"/>
  <c r="AF155" i="28"/>
  <c r="AK155" i="28"/>
  <c r="AL162" i="28"/>
  <c r="AF162" i="28"/>
  <c r="AK162" i="28"/>
  <c r="AL169" i="28"/>
  <c r="AF169" i="28"/>
  <c r="AK169" i="28"/>
  <c r="AL176" i="28"/>
  <c r="AK176" i="28"/>
  <c r="AF176" i="28"/>
  <c r="AL183" i="28"/>
  <c r="AF183" i="28"/>
  <c r="AK183" i="28"/>
  <c r="AL190" i="28"/>
  <c r="AK190" i="28"/>
  <c r="AF190" i="28"/>
  <c r="AL197" i="28"/>
  <c r="AF197" i="28"/>
  <c r="AK197" i="28"/>
  <c r="AL204" i="28"/>
  <c r="AF204" i="28"/>
  <c r="AK204" i="28"/>
  <c r="AL211" i="28"/>
  <c r="AF211" i="28"/>
  <c r="AK211" i="28"/>
  <c r="AL218" i="28"/>
  <c r="AK218" i="28"/>
  <c r="AF218" i="28"/>
  <c r="AL225" i="28"/>
  <c r="AF225" i="28"/>
  <c r="AK225" i="28"/>
  <c r="AL232" i="28"/>
  <c r="AF232" i="28"/>
  <c r="AK232" i="28"/>
  <c r="AL239" i="28"/>
  <c r="AF239" i="28"/>
  <c r="AK239" i="28"/>
  <c r="AL246" i="28"/>
  <c r="AK246" i="28"/>
  <c r="AF246" i="28"/>
  <c r="AL253" i="28"/>
  <c r="AF253" i="28"/>
  <c r="AK253" i="28"/>
  <c r="AL260" i="28"/>
  <c r="AF260" i="28"/>
  <c r="AK260" i="28"/>
  <c r="AL267" i="28"/>
  <c r="AF267" i="28"/>
  <c r="AK267" i="28"/>
  <c r="AL274" i="28"/>
  <c r="AK274" i="28"/>
  <c r="AF274" i="28"/>
  <c r="AL281" i="28"/>
  <c r="AF281" i="28"/>
  <c r="AK281" i="28"/>
  <c r="AL288" i="28"/>
  <c r="AK288" i="28"/>
  <c r="AF288" i="28"/>
  <c r="AL295" i="28"/>
  <c r="AF295" i="28"/>
  <c r="AK295" i="28"/>
  <c r="AL302" i="28"/>
  <c r="AF302" i="28"/>
  <c r="AK302" i="28"/>
  <c r="AL309" i="28"/>
  <c r="AF309" i="28"/>
  <c r="AK309" i="28"/>
  <c r="AL316" i="28"/>
  <c r="AK316" i="28"/>
  <c r="AF316" i="28"/>
  <c r="AL323" i="28"/>
  <c r="AK323" i="28"/>
  <c r="AF323" i="28"/>
  <c r="AK330" i="28"/>
  <c r="AL330" i="28"/>
  <c r="AF330" i="28"/>
  <c r="AL337" i="28"/>
  <c r="AF337" i="28"/>
  <c r="AK337" i="28"/>
  <c r="AK344" i="28"/>
  <c r="AL344" i="28"/>
  <c r="AF344" i="28"/>
  <c r="AL351" i="28"/>
  <c r="AF351" i="28"/>
  <c r="AK351" i="28"/>
  <c r="AK358" i="28"/>
  <c r="AL358" i="28"/>
  <c r="AF358" i="28"/>
  <c r="AL365" i="28"/>
  <c r="AK365" i="28"/>
  <c r="AF365" i="28"/>
  <c r="AK372" i="28"/>
  <c r="AL372" i="28"/>
  <c r="AF372" i="28"/>
  <c r="AL379" i="28"/>
  <c r="AK379" i="28"/>
  <c r="AF379" i="28"/>
  <c r="AK386" i="28"/>
  <c r="AL386" i="28"/>
  <c r="AF386" i="28"/>
  <c r="AL393" i="28"/>
  <c r="AF393" i="28"/>
  <c r="AK393" i="28"/>
  <c r="AK400" i="28"/>
  <c r="AL400" i="28"/>
  <c r="AF400" i="28"/>
  <c r="AL407" i="28"/>
  <c r="AF407" i="28"/>
  <c r="AK407" i="28"/>
  <c r="AK414" i="28"/>
  <c r="AL414" i="28"/>
  <c r="AF414" i="28"/>
  <c r="AL421" i="28"/>
  <c r="AK421" i="28"/>
  <c r="AF421" i="28"/>
  <c r="AK428" i="28"/>
  <c r="AL428" i="28"/>
  <c r="AF428" i="28"/>
  <c r="AL435" i="28"/>
  <c r="AF435" i="28"/>
  <c r="AK435" i="28"/>
  <c r="AK442" i="28"/>
  <c r="AL442" i="28"/>
  <c r="AF442" i="28"/>
  <c r="AL449" i="28"/>
  <c r="AF449" i="28"/>
  <c r="AK449" i="28"/>
  <c r="AK456" i="28"/>
  <c r="AL456" i="28"/>
  <c r="AF456" i="28"/>
  <c r="AL463" i="28"/>
  <c r="AK463" i="28"/>
  <c r="AF463" i="28"/>
  <c r="AK470" i="28"/>
  <c r="AL470" i="28"/>
  <c r="AF470" i="28"/>
  <c r="AL477" i="28"/>
  <c r="AK477" i="28"/>
  <c r="AF477" i="28"/>
  <c r="AK484" i="28"/>
  <c r="AL484" i="28"/>
  <c r="AF484" i="28"/>
  <c r="AL491" i="28"/>
  <c r="AF491" i="28"/>
  <c r="AK491" i="28"/>
  <c r="AK498" i="28"/>
  <c r="AL498" i="28"/>
  <c r="AF498" i="28"/>
  <c r="AL505" i="28"/>
  <c r="AF505" i="28"/>
  <c r="AK505" i="28"/>
  <c r="AL73" i="28"/>
  <c r="AF73" i="28"/>
  <c r="AK73" i="28"/>
  <c r="AL101" i="28"/>
  <c r="AF101" i="28"/>
  <c r="AK101" i="28"/>
  <c r="AL178" i="28"/>
  <c r="AF178" i="28"/>
  <c r="AK178" i="28"/>
  <c r="AL192" i="28"/>
  <c r="AF192" i="28"/>
  <c r="AK192" i="28"/>
  <c r="AL290" i="28"/>
  <c r="AF290" i="28"/>
  <c r="AK290" i="28"/>
  <c r="AL430" i="28"/>
  <c r="AF430" i="28"/>
  <c r="AK430" i="28"/>
  <c r="AL437" i="28"/>
  <c r="AF437" i="28"/>
  <c r="AK437" i="28"/>
  <c r="AL199" i="28"/>
  <c r="AF199" i="28"/>
  <c r="AK199" i="28"/>
  <c r="AL206" i="28"/>
  <c r="AF206" i="28"/>
  <c r="AK206" i="28"/>
  <c r="AL213" i="28"/>
  <c r="AF213" i="28"/>
  <c r="AK213" i="28"/>
  <c r="AL248" i="28"/>
  <c r="AF248" i="28"/>
  <c r="AK248" i="28"/>
  <c r="AL269" i="28"/>
  <c r="AF269" i="28"/>
  <c r="AK269" i="28"/>
  <c r="AL479" i="28"/>
  <c r="AF479" i="28"/>
  <c r="AK479" i="28"/>
  <c r="AF33" i="28"/>
  <c r="N33" i="58" s="1"/>
  <c r="AK33" i="28"/>
  <c r="AF40" i="28"/>
  <c r="N40" i="58" s="1"/>
  <c r="AK40" i="28"/>
  <c r="AL47" i="28"/>
  <c r="AF47" i="28"/>
  <c r="AK47" i="28"/>
  <c r="AL54" i="28"/>
  <c r="AF54" i="28"/>
  <c r="AK54" i="28"/>
  <c r="AL61" i="28"/>
  <c r="AF61" i="28"/>
  <c r="AK61" i="28"/>
  <c r="AL68" i="28"/>
  <c r="AF68" i="28"/>
  <c r="AK68" i="28"/>
  <c r="AL75" i="28"/>
  <c r="AF75" i="28"/>
  <c r="AK75" i="28"/>
  <c r="AL82" i="28"/>
  <c r="AF82" i="28"/>
  <c r="AK82" i="28"/>
  <c r="AL89" i="28"/>
  <c r="AF89" i="28"/>
  <c r="AK89" i="28"/>
  <c r="AL96" i="28"/>
  <c r="AF96" i="28"/>
  <c r="AK96" i="28"/>
  <c r="AL103" i="28"/>
  <c r="AF103" i="28"/>
  <c r="AK103" i="28"/>
  <c r="AL110" i="28"/>
  <c r="AF110" i="28"/>
  <c r="AK110" i="28"/>
  <c r="AL117" i="28"/>
  <c r="AF117" i="28"/>
  <c r="AK117" i="28"/>
  <c r="AL124" i="28"/>
  <c r="AF124" i="28"/>
  <c r="AK124" i="28"/>
  <c r="AL131" i="28"/>
  <c r="AF131" i="28"/>
  <c r="AK131" i="28"/>
  <c r="AL138" i="28"/>
  <c r="AF138" i="28"/>
  <c r="AK138" i="28"/>
  <c r="AL145" i="28"/>
  <c r="AF145" i="28"/>
  <c r="AK145" i="28"/>
  <c r="AL152" i="28"/>
  <c r="AF152" i="28"/>
  <c r="AK152" i="28"/>
  <c r="AL159" i="28"/>
  <c r="AF159" i="28"/>
  <c r="AK159" i="28"/>
  <c r="AL166" i="28"/>
  <c r="AF166" i="28"/>
  <c r="AK166" i="28"/>
  <c r="AL173" i="28"/>
  <c r="AF173" i="28"/>
  <c r="AK173" i="28"/>
  <c r="AL180" i="28"/>
  <c r="AF180" i="28"/>
  <c r="AK180" i="28"/>
  <c r="AL187" i="28"/>
  <c r="AF187" i="28"/>
  <c r="AK187" i="28"/>
  <c r="AL194" i="28"/>
  <c r="AF194" i="28"/>
  <c r="AK194" i="28"/>
  <c r="AL201" i="28"/>
  <c r="AF201" i="28"/>
  <c r="AK201" i="28"/>
  <c r="AL208" i="28"/>
  <c r="AF208" i="28"/>
  <c r="AK208" i="28"/>
  <c r="AL215" i="28"/>
  <c r="AF215" i="28"/>
  <c r="AK215" i="28"/>
  <c r="AL222" i="28"/>
  <c r="AF222" i="28"/>
  <c r="AK222" i="28"/>
  <c r="AL229" i="28"/>
  <c r="AF229" i="28"/>
  <c r="AK229" i="28"/>
  <c r="AL236" i="28"/>
  <c r="AF236" i="28"/>
  <c r="AK236" i="28"/>
  <c r="AL243" i="28"/>
  <c r="AF243" i="28"/>
  <c r="AK243" i="28"/>
  <c r="AL250" i="28"/>
  <c r="AF250" i="28"/>
  <c r="AK250" i="28"/>
  <c r="AL257" i="28"/>
  <c r="AF257" i="28"/>
  <c r="AK257" i="28"/>
  <c r="AL264" i="28"/>
  <c r="AF264" i="28"/>
  <c r="AK264" i="28"/>
  <c r="AL271" i="28"/>
  <c r="AF271" i="28"/>
  <c r="AK271" i="28"/>
  <c r="AL278" i="28"/>
  <c r="AF278" i="28"/>
  <c r="AK278" i="28"/>
  <c r="AL285" i="28"/>
  <c r="AF285" i="28"/>
  <c r="AK285" i="28"/>
  <c r="AL292" i="28"/>
  <c r="AF292" i="28"/>
  <c r="AK292" i="28"/>
  <c r="AL299" i="28"/>
  <c r="AF299" i="28"/>
  <c r="AK299" i="28"/>
  <c r="AL306" i="28"/>
  <c r="AF306" i="28"/>
  <c r="AK306" i="28"/>
  <c r="AL313" i="28"/>
  <c r="AF313" i="28"/>
  <c r="AK313" i="28"/>
  <c r="AL320" i="28"/>
  <c r="AF320" i="28"/>
  <c r="AK320" i="28"/>
  <c r="AK327" i="28"/>
  <c r="AL327" i="28"/>
  <c r="AF327" i="28"/>
  <c r="AL334" i="28"/>
  <c r="AF334" i="28"/>
  <c r="AK334" i="28"/>
  <c r="AK341" i="28"/>
  <c r="AL341" i="28"/>
  <c r="AF341" i="28"/>
  <c r="AL348" i="28"/>
  <c r="AF348" i="28"/>
  <c r="AK348" i="28"/>
  <c r="AK355" i="28"/>
  <c r="AL355" i="28"/>
  <c r="AF355" i="28"/>
  <c r="AL362" i="28"/>
  <c r="AF362" i="28"/>
  <c r="AK362" i="28"/>
  <c r="AK369" i="28"/>
  <c r="AL369" i="28"/>
  <c r="AF369" i="28"/>
  <c r="AL376" i="28"/>
  <c r="AF376" i="28"/>
  <c r="AK376" i="28"/>
  <c r="AK383" i="28"/>
  <c r="AL383" i="28"/>
  <c r="AF383" i="28"/>
  <c r="AL390" i="28"/>
  <c r="AF390" i="28"/>
  <c r="AK390" i="28"/>
  <c r="AK397" i="28"/>
  <c r="AL397" i="28"/>
  <c r="AF397" i="28"/>
  <c r="AL404" i="28"/>
  <c r="AF404" i="28"/>
  <c r="AK404" i="28"/>
  <c r="AK411" i="28"/>
  <c r="AL411" i="28"/>
  <c r="AF411" i="28"/>
  <c r="AL418" i="28"/>
  <c r="AF418" i="28"/>
  <c r="AK418" i="28"/>
  <c r="AK425" i="28"/>
  <c r="AL425" i="28"/>
  <c r="AF425" i="28"/>
  <c r="AL432" i="28"/>
  <c r="AF432" i="28"/>
  <c r="AK432" i="28"/>
  <c r="AK439" i="28"/>
  <c r="AL439" i="28"/>
  <c r="AF439" i="28"/>
  <c r="AL446" i="28"/>
  <c r="AF446" i="28"/>
  <c r="AK446" i="28"/>
  <c r="AK453" i="28"/>
  <c r="AL453" i="28"/>
  <c r="AF453" i="28"/>
  <c r="AL460" i="28"/>
  <c r="AF460" i="28"/>
  <c r="AK460" i="28"/>
  <c r="AK467" i="28"/>
  <c r="AL467" i="28"/>
  <c r="AF467" i="28"/>
  <c r="AL474" i="28"/>
  <c r="AF474" i="28"/>
  <c r="AK474" i="28"/>
  <c r="AK481" i="28"/>
  <c r="AL481" i="28"/>
  <c r="AF481" i="28"/>
  <c r="AL488" i="28"/>
  <c r="AF488" i="28"/>
  <c r="AK488" i="28"/>
  <c r="AK495" i="28"/>
  <c r="AL495" i="28"/>
  <c r="AF495" i="28"/>
  <c r="AL502" i="28"/>
  <c r="AF502" i="28"/>
  <c r="AK502" i="28"/>
  <c r="AL94" i="28"/>
  <c r="AF94" i="28"/>
  <c r="AK94" i="28"/>
  <c r="AL234" i="28"/>
  <c r="AF234" i="28"/>
  <c r="AK234" i="28"/>
  <c r="AL157" i="28"/>
  <c r="AF157" i="28"/>
  <c r="AK157" i="28"/>
  <c r="AL164" i="28"/>
  <c r="AF164" i="28"/>
  <c r="AK164" i="28"/>
  <c r="AL171" i="28"/>
  <c r="AF171" i="28"/>
  <c r="AK171" i="28"/>
  <c r="AL227" i="28"/>
  <c r="AF227" i="28"/>
  <c r="AK227" i="28"/>
  <c r="AL444" i="28"/>
  <c r="AF444" i="28"/>
  <c r="AK444" i="28"/>
  <c r="AL451" i="28"/>
  <c r="AF451" i="28"/>
  <c r="AK451" i="28"/>
  <c r="AF35" i="28"/>
  <c r="N35" i="58" s="1"/>
  <c r="AK35" i="28"/>
  <c r="AL42" i="28"/>
  <c r="AF42" i="28"/>
  <c r="AK42" i="28"/>
  <c r="AL49" i="28"/>
  <c r="AK49" i="28"/>
  <c r="AF49" i="28"/>
  <c r="AL56" i="28"/>
  <c r="AF56" i="28"/>
  <c r="AK56" i="28"/>
  <c r="AL63" i="28"/>
  <c r="AF63" i="28"/>
  <c r="AK63" i="28"/>
  <c r="AL70" i="28"/>
  <c r="AF70" i="28"/>
  <c r="AK70" i="28"/>
  <c r="AL77" i="28"/>
  <c r="AK77" i="28"/>
  <c r="AF77" i="28"/>
  <c r="AL84" i="28"/>
  <c r="AF84" i="28"/>
  <c r="AK84" i="28"/>
  <c r="AL91" i="28"/>
  <c r="AK91" i="28"/>
  <c r="AF91" i="28"/>
  <c r="AL98" i="28"/>
  <c r="AF98" i="28"/>
  <c r="AK98" i="28"/>
  <c r="AL105" i="28"/>
  <c r="AF105" i="28"/>
  <c r="AK105" i="28"/>
  <c r="AL112" i="28"/>
  <c r="AF112" i="28"/>
  <c r="AK112" i="28"/>
  <c r="AL119" i="28"/>
  <c r="AK119" i="28"/>
  <c r="AF119" i="28"/>
  <c r="AL126" i="28"/>
  <c r="AF126" i="28"/>
  <c r="AK126" i="28"/>
  <c r="AL133" i="28"/>
  <c r="AF133" i="28"/>
  <c r="AK133" i="28"/>
  <c r="AL140" i="28"/>
  <c r="AF140" i="28"/>
  <c r="AK140" i="28"/>
  <c r="AL147" i="28"/>
  <c r="AK147" i="28"/>
  <c r="AF147" i="28"/>
  <c r="AL154" i="28"/>
  <c r="AF154" i="28"/>
  <c r="AK154" i="28"/>
  <c r="AL161" i="28"/>
  <c r="AF161" i="28"/>
  <c r="AK161" i="28"/>
  <c r="AL168" i="28"/>
  <c r="AF168" i="28"/>
  <c r="AK168" i="28"/>
  <c r="AL175" i="28"/>
  <c r="AK175" i="28"/>
  <c r="AF175" i="28"/>
  <c r="AL182" i="28"/>
  <c r="AF182" i="28"/>
  <c r="AK182" i="28"/>
  <c r="AL189" i="28"/>
  <c r="AK189" i="28"/>
  <c r="AF189" i="28"/>
  <c r="AL196" i="28"/>
  <c r="AF196" i="28"/>
  <c r="AK196" i="28"/>
  <c r="AL203" i="28"/>
  <c r="AF203" i="28"/>
  <c r="AK203" i="28"/>
  <c r="AL210" i="28"/>
  <c r="AF210" i="28"/>
  <c r="AK210" i="28"/>
  <c r="AL217" i="28"/>
  <c r="AK217" i="28"/>
  <c r="AF217" i="28"/>
  <c r="AL224" i="28"/>
  <c r="AF224" i="28"/>
  <c r="AK224" i="28"/>
  <c r="AL231" i="28"/>
  <c r="AF231" i="28"/>
  <c r="AK231" i="28"/>
  <c r="AL238" i="28"/>
  <c r="AF238" i="28"/>
  <c r="AK238" i="28"/>
  <c r="AL245" i="28"/>
  <c r="AK245" i="28"/>
  <c r="AF245" i="28"/>
  <c r="AL252" i="28"/>
  <c r="AF252" i="28"/>
  <c r="AK252" i="28"/>
  <c r="AL259" i="28"/>
  <c r="AF259" i="28"/>
  <c r="AK259" i="28"/>
  <c r="AL266" i="28"/>
  <c r="AF266" i="28"/>
  <c r="AK266" i="28"/>
  <c r="AL273" i="28"/>
  <c r="AK273" i="28"/>
  <c r="AF273" i="28"/>
  <c r="AL280" i="28"/>
  <c r="AF280" i="28"/>
  <c r="AK280" i="28"/>
  <c r="AL287" i="28"/>
  <c r="AK287" i="28"/>
  <c r="AF287" i="28"/>
  <c r="AL294" i="28"/>
  <c r="AF294" i="28"/>
  <c r="AK294" i="28"/>
  <c r="AL301" i="28"/>
  <c r="AF301" i="28"/>
  <c r="AK301" i="28"/>
  <c r="AL308" i="28"/>
  <c r="AF308" i="28"/>
  <c r="AK308" i="28"/>
  <c r="AL315" i="28"/>
  <c r="AK315" i="28"/>
  <c r="AF315" i="28"/>
  <c r="AL322" i="28"/>
  <c r="AK322" i="28"/>
  <c r="AF322" i="28"/>
  <c r="AK329" i="28"/>
  <c r="AL329" i="28"/>
  <c r="AF329" i="28"/>
  <c r="AL336" i="28"/>
  <c r="AF336" i="28"/>
  <c r="AK336" i="28"/>
  <c r="AK343" i="28"/>
  <c r="AL343" i="28"/>
  <c r="AF343" i="28"/>
  <c r="AL350" i="28"/>
  <c r="AF350" i="28"/>
  <c r="AK350" i="28"/>
  <c r="AK357" i="28"/>
  <c r="AL357" i="28"/>
  <c r="AF357" i="28"/>
  <c r="AL364" i="28"/>
  <c r="AK364" i="28"/>
  <c r="AF364" i="28"/>
  <c r="AK371" i="28"/>
  <c r="AL371" i="28"/>
  <c r="AF371" i="28"/>
  <c r="AL378" i="28"/>
  <c r="AK378" i="28"/>
  <c r="AF378" i="28"/>
  <c r="AK385" i="28"/>
  <c r="AL385" i="28"/>
  <c r="AF385" i="28"/>
  <c r="AL392" i="28"/>
  <c r="AF392" i="28"/>
  <c r="AK392" i="28"/>
  <c r="AK399" i="28"/>
  <c r="AL399" i="28"/>
  <c r="AF399" i="28"/>
  <c r="AL406" i="28"/>
  <c r="AF406" i="28"/>
  <c r="AK406" i="28"/>
  <c r="AK413" i="28"/>
  <c r="AL413" i="28"/>
  <c r="AF413" i="28"/>
  <c r="AL420" i="28"/>
  <c r="AK420" i="28"/>
  <c r="AF420" i="28"/>
  <c r="AK427" i="28"/>
  <c r="AL427" i="28"/>
  <c r="AF427" i="28"/>
  <c r="AL434" i="28"/>
  <c r="AF434" i="28"/>
  <c r="AK434" i="28"/>
  <c r="AK441" i="28"/>
  <c r="AL441" i="28"/>
  <c r="AF441" i="28"/>
  <c r="AL448" i="28"/>
  <c r="AF448" i="28"/>
  <c r="AK448" i="28"/>
  <c r="AK455" i="28"/>
  <c r="AL455" i="28"/>
  <c r="AF455" i="28"/>
  <c r="AL462" i="28"/>
  <c r="AK462" i="28"/>
  <c r="AF462" i="28"/>
  <c r="AK469" i="28"/>
  <c r="AL469" i="28"/>
  <c r="AF469" i="28"/>
  <c r="AL476" i="28"/>
  <c r="AK476" i="28"/>
  <c r="AF476" i="28"/>
  <c r="AK483" i="28"/>
  <c r="AL483" i="28"/>
  <c r="AF483" i="28"/>
  <c r="AL490" i="28"/>
  <c r="AF490" i="28"/>
  <c r="AK490" i="28"/>
  <c r="AK497" i="28"/>
  <c r="AL497" i="28"/>
  <c r="AF497" i="28"/>
  <c r="AL504" i="28"/>
  <c r="AF504" i="28"/>
  <c r="AK504" i="28"/>
  <c r="AL52" i="28"/>
  <c r="AF52" i="28"/>
  <c r="AK52" i="28"/>
  <c r="AL297" i="28"/>
  <c r="AF297" i="28"/>
  <c r="AK297" i="28"/>
  <c r="AL304" i="28"/>
  <c r="AF304" i="28"/>
  <c r="AK304" i="28"/>
  <c r="AL374" i="28"/>
  <c r="AF374" i="28"/>
  <c r="AK374" i="28"/>
  <c r="AL108" i="28"/>
  <c r="AF108" i="28"/>
  <c r="AK108" i="28"/>
  <c r="AL115" i="28"/>
  <c r="AF115" i="28"/>
  <c r="AK115" i="28"/>
  <c r="AL185" i="28"/>
  <c r="AF185" i="28"/>
  <c r="AK185" i="28"/>
  <c r="AL262" i="28"/>
  <c r="AF262" i="28"/>
  <c r="AK262" i="28"/>
  <c r="AL318" i="28"/>
  <c r="AF318" i="28"/>
  <c r="AK318" i="28"/>
  <c r="AL325" i="28"/>
  <c r="AF325" i="28"/>
  <c r="AK325" i="28"/>
  <c r="AL339" i="28"/>
  <c r="AF339" i="28"/>
  <c r="AK339" i="28"/>
  <c r="AL388" i="28"/>
  <c r="AF388" i="28"/>
  <c r="AK388" i="28"/>
  <c r="AL395" i="28"/>
  <c r="AF395" i="28"/>
  <c r="AK395" i="28"/>
  <c r="AL402" i="28"/>
  <c r="AF402" i="28"/>
  <c r="AK402" i="28"/>
  <c r="AL409" i="28"/>
  <c r="AF409" i="28"/>
  <c r="AK409" i="28"/>
  <c r="AL458" i="28"/>
  <c r="AF458" i="28"/>
  <c r="AK458" i="28"/>
  <c r="AL486" i="28"/>
  <c r="AF486" i="28"/>
  <c r="AK486" i="28"/>
  <c r="AL500" i="28"/>
  <c r="AF500" i="28"/>
  <c r="AK500" i="28"/>
  <c r="AF37" i="28"/>
  <c r="N37" i="58" s="1"/>
  <c r="AK37" i="28"/>
  <c r="AL44" i="28"/>
  <c r="AF44" i="28"/>
  <c r="AK44" i="28"/>
  <c r="AL51" i="28"/>
  <c r="AF51" i="28"/>
  <c r="AK51" i="28"/>
  <c r="AL58" i="28"/>
  <c r="AF58" i="28"/>
  <c r="AK58" i="28"/>
  <c r="AL65" i="28"/>
  <c r="AF65" i="28"/>
  <c r="AK65" i="28"/>
  <c r="AL72" i="28"/>
  <c r="AF72" i="28"/>
  <c r="AK72" i="28"/>
  <c r="AL79" i="28"/>
  <c r="AF79" i="28"/>
  <c r="AK79" i="28"/>
  <c r="AL86" i="28"/>
  <c r="AF86" i="28"/>
  <c r="AK86" i="28"/>
  <c r="AL93" i="28"/>
  <c r="AF93" i="28"/>
  <c r="AK93" i="28"/>
  <c r="AL100" i="28"/>
  <c r="AF100" i="28"/>
  <c r="AK100" i="28"/>
  <c r="AL107" i="28"/>
  <c r="AF107" i="28"/>
  <c r="AK107" i="28"/>
  <c r="AL114" i="28"/>
  <c r="AF114" i="28"/>
  <c r="AK114" i="28"/>
  <c r="AL121" i="28"/>
  <c r="AF121" i="28"/>
  <c r="AK121" i="28"/>
  <c r="AL128" i="28"/>
  <c r="AF128" i="28"/>
  <c r="AK128" i="28"/>
  <c r="AL135" i="28"/>
  <c r="AF135" i="28"/>
  <c r="AK135" i="28"/>
  <c r="AL142" i="28"/>
  <c r="AF142" i="28"/>
  <c r="AK142" i="28"/>
  <c r="AL149" i="28"/>
  <c r="AF149" i="28"/>
  <c r="AK149" i="28"/>
  <c r="AL156" i="28"/>
  <c r="AF156" i="28"/>
  <c r="AK156" i="28"/>
  <c r="AL163" i="28"/>
  <c r="AF163" i="28"/>
  <c r="AK163" i="28"/>
  <c r="AL170" i="28"/>
  <c r="AF170" i="28"/>
  <c r="AK170" i="28"/>
  <c r="AL177" i="28"/>
  <c r="AF177" i="28"/>
  <c r="AK177" i="28"/>
  <c r="AL184" i="28"/>
  <c r="AF184" i="28"/>
  <c r="AK184" i="28"/>
  <c r="AL191" i="28"/>
  <c r="AF191" i="28"/>
  <c r="AK191" i="28"/>
  <c r="AL198" i="28"/>
  <c r="AF198" i="28"/>
  <c r="AK198" i="28"/>
  <c r="AL205" i="28"/>
  <c r="AF205" i="28"/>
  <c r="AK205" i="28"/>
  <c r="AL212" i="28"/>
  <c r="AF212" i="28"/>
  <c r="AK212" i="28"/>
  <c r="AL219" i="28"/>
  <c r="AF219" i="28"/>
  <c r="AK219" i="28"/>
  <c r="AL226" i="28"/>
  <c r="AF226" i="28"/>
  <c r="AK226" i="28"/>
  <c r="AL233" i="28"/>
  <c r="AF233" i="28"/>
  <c r="AK233" i="28"/>
  <c r="AL240" i="28"/>
  <c r="AF240" i="28"/>
  <c r="AK240" i="28"/>
  <c r="AL247" i="28"/>
  <c r="AF247" i="28"/>
  <c r="AK247" i="28"/>
  <c r="AL254" i="28"/>
  <c r="AF254" i="28"/>
  <c r="AK254" i="28"/>
  <c r="AL261" i="28"/>
  <c r="AF261" i="28"/>
  <c r="AK261" i="28"/>
  <c r="AL268" i="28"/>
  <c r="AF268" i="28"/>
  <c r="AK268" i="28"/>
  <c r="AL275" i="28"/>
  <c r="AF275" i="28"/>
  <c r="AK275" i="28"/>
  <c r="AL282" i="28"/>
  <c r="AF282" i="28"/>
  <c r="AK282" i="28"/>
  <c r="AL289" i="28"/>
  <c r="AF289" i="28"/>
  <c r="AK289" i="28"/>
  <c r="AL296" i="28"/>
  <c r="AF296" i="28"/>
  <c r="AK296" i="28"/>
  <c r="AL303" i="28"/>
  <c r="AF303" i="28"/>
  <c r="AK303" i="28"/>
  <c r="AL310" i="28"/>
  <c r="AF310" i="28"/>
  <c r="AK310" i="28"/>
  <c r="AL317" i="28"/>
  <c r="AF317" i="28"/>
  <c r="AK317" i="28"/>
  <c r="AL324" i="28"/>
  <c r="AF324" i="28"/>
  <c r="AK324" i="28"/>
  <c r="AK331" i="28"/>
  <c r="AL331" i="28"/>
  <c r="AF331" i="28"/>
  <c r="AL338" i="28"/>
  <c r="AF338" i="28"/>
  <c r="AK338" i="28"/>
  <c r="AK345" i="28"/>
  <c r="AL345" i="28"/>
  <c r="AF345" i="28"/>
  <c r="AL352" i="28"/>
  <c r="AF352" i="28"/>
  <c r="AK352" i="28"/>
  <c r="AK359" i="28"/>
  <c r="AL359" i="28"/>
  <c r="AF359" i="28"/>
  <c r="AL366" i="28"/>
  <c r="AF366" i="28"/>
  <c r="AK366" i="28"/>
  <c r="AK373" i="28"/>
  <c r="AL373" i="28"/>
  <c r="AF373" i="28"/>
  <c r="AL380" i="28"/>
  <c r="AF380" i="28"/>
  <c r="AK380" i="28"/>
  <c r="AK387" i="28"/>
  <c r="AL387" i="28"/>
  <c r="AF387" i="28"/>
  <c r="AL394" i="28"/>
  <c r="AF394" i="28"/>
  <c r="AK394" i="28"/>
  <c r="AK401" i="28"/>
  <c r="AL401" i="28"/>
  <c r="AF401" i="28"/>
  <c r="AL408" i="28"/>
  <c r="AF408" i="28"/>
  <c r="AK408" i="28"/>
  <c r="AK415" i="28"/>
  <c r="AL415" i="28"/>
  <c r="AF415" i="28"/>
  <c r="AL422" i="28"/>
  <c r="AF422" i="28"/>
  <c r="AK422" i="28"/>
  <c r="AK429" i="28"/>
  <c r="AL429" i="28"/>
  <c r="AF429" i="28"/>
  <c r="AL436" i="28"/>
  <c r="AF436" i="28"/>
  <c r="AK436" i="28"/>
  <c r="AK443" i="28"/>
  <c r="AL443" i="28"/>
  <c r="AF443" i="28"/>
  <c r="AL450" i="28"/>
  <c r="AF450" i="28"/>
  <c r="AK450" i="28"/>
  <c r="AK457" i="28"/>
  <c r="AL457" i="28"/>
  <c r="AF457" i="28"/>
  <c r="AL464" i="28"/>
  <c r="AF464" i="28"/>
  <c r="AK464" i="28"/>
  <c r="AK471" i="28"/>
  <c r="AL471" i="28"/>
  <c r="AF471" i="28"/>
  <c r="AL478" i="28"/>
  <c r="AF478" i="28"/>
  <c r="AK478" i="28"/>
  <c r="AK485" i="28"/>
  <c r="AL485" i="28"/>
  <c r="AF485" i="28"/>
  <c r="AL492" i="28"/>
  <c r="AF492" i="28"/>
  <c r="AK492" i="28"/>
  <c r="AK499" i="28"/>
  <c r="AL499" i="28"/>
  <c r="AF499" i="28"/>
  <c r="AL506" i="28"/>
  <c r="AF506" i="28"/>
  <c r="AK506" i="28"/>
  <c r="AL122" i="28"/>
  <c r="AF122" i="28"/>
  <c r="AK122" i="28"/>
  <c r="AL220" i="28"/>
  <c r="AF220" i="28"/>
  <c r="AK220" i="28"/>
  <c r="AL381" i="28"/>
  <c r="AF381" i="28"/>
  <c r="AK381" i="28"/>
  <c r="AL465" i="28"/>
  <c r="AF465" i="28"/>
  <c r="AK465" i="28"/>
  <c r="AL472" i="28"/>
  <c r="AF472" i="28"/>
  <c r="AK472" i="28"/>
  <c r="AL80" i="28"/>
  <c r="AF80" i="28"/>
  <c r="AK80" i="28"/>
  <c r="AL150" i="28"/>
  <c r="AF150" i="28"/>
  <c r="AK150" i="28"/>
  <c r="AL283" i="28"/>
  <c r="AF283" i="28"/>
  <c r="AK283" i="28"/>
  <c r="AL353" i="28"/>
  <c r="AF353" i="28"/>
  <c r="AK353" i="28"/>
  <c r="AL360" i="28"/>
  <c r="AF360" i="28"/>
  <c r="AK360" i="28"/>
  <c r="AL416" i="28"/>
  <c r="AF416" i="28"/>
  <c r="AK416" i="28"/>
  <c r="AL507" i="28"/>
  <c r="AF507" i="28"/>
  <c r="N507" i="58" s="1"/>
  <c r="AK507" i="28"/>
  <c r="AF32" i="28"/>
  <c r="N32" i="58" s="1"/>
  <c r="AK32" i="28"/>
  <c r="AF39" i="28"/>
  <c r="N39" i="58" s="1"/>
  <c r="AK39" i="28"/>
  <c r="AL46" i="28"/>
  <c r="AF46" i="28"/>
  <c r="AK46" i="28"/>
  <c r="AL53" i="28"/>
  <c r="AF53" i="28"/>
  <c r="AK53" i="28"/>
  <c r="AL60" i="28"/>
  <c r="AF60" i="28"/>
  <c r="AK60" i="28"/>
  <c r="AL67" i="28"/>
  <c r="AF67" i="28"/>
  <c r="AK67" i="28"/>
  <c r="AL74" i="28"/>
  <c r="AF74" i="28"/>
  <c r="AK74" i="28"/>
  <c r="AL81" i="28"/>
  <c r="AF81" i="28"/>
  <c r="AK81" i="28"/>
  <c r="AL88" i="28"/>
  <c r="AF88" i="28"/>
  <c r="AK88" i="28"/>
  <c r="AL95" i="28"/>
  <c r="AF95" i="28"/>
  <c r="AK95" i="28"/>
  <c r="AL102" i="28"/>
  <c r="AF102" i="28"/>
  <c r="AK102" i="28"/>
  <c r="AL109" i="28"/>
  <c r="AF109" i="28"/>
  <c r="AK109" i="28"/>
  <c r="AL116" i="28"/>
  <c r="AF116" i="28"/>
  <c r="AK116" i="28"/>
  <c r="AL123" i="28"/>
  <c r="AF123" i="28"/>
  <c r="AK123" i="28"/>
  <c r="AL130" i="28"/>
  <c r="AF130" i="28"/>
  <c r="AK130" i="28"/>
  <c r="AL137" i="28"/>
  <c r="AF137" i="28"/>
  <c r="AK137" i="28"/>
  <c r="AL144" i="28"/>
  <c r="AF144" i="28"/>
  <c r="AK144" i="28"/>
  <c r="AL151" i="28"/>
  <c r="AF151" i="28"/>
  <c r="AK151" i="28"/>
  <c r="AL158" i="28"/>
  <c r="AF158" i="28"/>
  <c r="AK158" i="28"/>
  <c r="AL165" i="28"/>
  <c r="AF165" i="28"/>
  <c r="AK165" i="28"/>
  <c r="AL172" i="28"/>
  <c r="AF172" i="28"/>
  <c r="AK172" i="28"/>
  <c r="AL179" i="28"/>
  <c r="AF179" i="28"/>
  <c r="AK179" i="28"/>
  <c r="AL186" i="28"/>
  <c r="AF186" i="28"/>
  <c r="AK186" i="28"/>
  <c r="AL193" i="28"/>
  <c r="AF193" i="28"/>
  <c r="AK193" i="28"/>
  <c r="AL200" i="28"/>
  <c r="AF200" i="28"/>
  <c r="AK200" i="28"/>
  <c r="AL207" i="28"/>
  <c r="AF207" i="28"/>
  <c r="AK207" i="28"/>
  <c r="AL214" i="28"/>
  <c r="AF214" i="28"/>
  <c r="AK214" i="28"/>
  <c r="AL221" i="28"/>
  <c r="AF221" i="28"/>
  <c r="AK221" i="28"/>
  <c r="AL228" i="28"/>
  <c r="AF228" i="28"/>
  <c r="AK228" i="28"/>
  <c r="AL235" i="28"/>
  <c r="AF235" i="28"/>
  <c r="AK235" i="28"/>
  <c r="AL242" i="28"/>
  <c r="AF242" i="28"/>
  <c r="AK242" i="28"/>
  <c r="AL249" i="28"/>
  <c r="AF249" i="28"/>
  <c r="AK249" i="28"/>
  <c r="AL256" i="28"/>
  <c r="AF256" i="28"/>
  <c r="AK256" i="28"/>
  <c r="AL263" i="28"/>
  <c r="AF263" i="28"/>
  <c r="AK263" i="28"/>
  <c r="AL270" i="28"/>
  <c r="AF270" i="28"/>
  <c r="AK270" i="28"/>
  <c r="AL277" i="28"/>
  <c r="AF277" i="28"/>
  <c r="AK277" i="28"/>
  <c r="AL284" i="28"/>
  <c r="AF284" i="28"/>
  <c r="AK284" i="28"/>
  <c r="AL291" i="28"/>
  <c r="AF291" i="28"/>
  <c r="AK291" i="28"/>
  <c r="AL298" i="28"/>
  <c r="AF298" i="28"/>
  <c r="AK298" i="28"/>
  <c r="AL305" i="28"/>
  <c r="AF305" i="28"/>
  <c r="AK305" i="28"/>
  <c r="AL312" i="28"/>
  <c r="AF312" i="28"/>
  <c r="AK312" i="28"/>
  <c r="AL319" i="28"/>
  <c r="AK319" i="28"/>
  <c r="AF319" i="28"/>
  <c r="AL326" i="28"/>
  <c r="AF326" i="28"/>
  <c r="AK326" i="28"/>
  <c r="AL333" i="28"/>
  <c r="AK333" i="28"/>
  <c r="AF333" i="28"/>
  <c r="AL340" i="28"/>
  <c r="AF340" i="28"/>
  <c r="AK340" i="28"/>
  <c r="AL347" i="28"/>
  <c r="AK347" i="28"/>
  <c r="AF347" i="28"/>
  <c r="AL354" i="28"/>
  <c r="AF354" i="28"/>
  <c r="AK354" i="28"/>
  <c r="AL361" i="28"/>
  <c r="AK361" i="28"/>
  <c r="AF361" i="28"/>
  <c r="AL368" i="28"/>
  <c r="AF368" i="28"/>
  <c r="AK368" i="28"/>
  <c r="AL375" i="28"/>
  <c r="AK375" i="28"/>
  <c r="AF375" i="28"/>
  <c r="AL382" i="28"/>
  <c r="AF382" i="28"/>
  <c r="AK382" i="28"/>
  <c r="AL389" i="28"/>
  <c r="AK389" i="28"/>
  <c r="AF389" i="28"/>
  <c r="AL396" i="28"/>
  <c r="AF396" i="28"/>
  <c r="AK396" i="28"/>
  <c r="AL403" i="28"/>
  <c r="AK403" i="28"/>
  <c r="AF403" i="28"/>
  <c r="AL410" i="28"/>
  <c r="AF410" i="28"/>
  <c r="AK410" i="28"/>
  <c r="AL417" i="28"/>
  <c r="AK417" i="28"/>
  <c r="AF417" i="28"/>
  <c r="AL424" i="28"/>
  <c r="AF424" i="28"/>
  <c r="AK424" i="28"/>
  <c r="AL431" i="28"/>
  <c r="AK431" i="28"/>
  <c r="AF431" i="28"/>
  <c r="AL438" i="28"/>
  <c r="AF438" i="28"/>
  <c r="AK438" i="28"/>
  <c r="AL445" i="28"/>
  <c r="AK445" i="28"/>
  <c r="AF445" i="28"/>
  <c r="AL452" i="28"/>
  <c r="AF452" i="28"/>
  <c r="AK452" i="28"/>
  <c r="AL459" i="28"/>
  <c r="AK459" i="28"/>
  <c r="AF459" i="28"/>
  <c r="AL466" i="28"/>
  <c r="AF466" i="28"/>
  <c r="AK466" i="28"/>
  <c r="AL473" i="28"/>
  <c r="AK473" i="28"/>
  <c r="AF473" i="28"/>
  <c r="AL480" i="28"/>
  <c r="AF480" i="28"/>
  <c r="AK480" i="28"/>
  <c r="AL487" i="28"/>
  <c r="AK487" i="28"/>
  <c r="AF487" i="28"/>
  <c r="AL494" i="28"/>
  <c r="AF494" i="28"/>
  <c r="AK494" i="28"/>
  <c r="AL501" i="28"/>
  <c r="AK501" i="28"/>
  <c r="AF501" i="28"/>
  <c r="AR221" i="28"/>
  <c r="AR305" i="28"/>
  <c r="AR375" i="28"/>
  <c r="AR389" i="28"/>
  <c r="AR396" i="28"/>
  <c r="AR55" i="28"/>
  <c r="AR62" i="28"/>
  <c r="AR76" i="28"/>
  <c r="AR216" i="28"/>
  <c r="AR223" i="28"/>
  <c r="AR230" i="28"/>
  <c r="AR237" i="28"/>
  <c r="AR258" i="28"/>
  <c r="AR447" i="28"/>
  <c r="AR482" i="28"/>
  <c r="AR179" i="28"/>
  <c r="AR186" i="28"/>
  <c r="AR277" i="28"/>
  <c r="AR83" i="28"/>
  <c r="AR118" i="28"/>
  <c r="AR125" i="28"/>
  <c r="AR132" i="28"/>
  <c r="AR181" i="28"/>
  <c r="AR209" i="28"/>
  <c r="AR265" i="28"/>
  <c r="AR272" i="28"/>
  <c r="AR286" i="28"/>
  <c r="AR293" i="28"/>
  <c r="AR314" i="28"/>
  <c r="AR342" i="28"/>
  <c r="AR363" i="28"/>
  <c r="AR391" i="28"/>
  <c r="AR419" i="28"/>
  <c r="AR461" i="28"/>
  <c r="AR468" i="28"/>
  <c r="AR43" i="28"/>
  <c r="AR50" i="28"/>
  <c r="AR57" i="28"/>
  <c r="AR64" i="28"/>
  <c r="AR71" i="28"/>
  <c r="AR78" i="28"/>
  <c r="AR85" i="28"/>
  <c r="AR92" i="28"/>
  <c r="AR99" i="28"/>
  <c r="AR106" i="28"/>
  <c r="AR113" i="28"/>
  <c r="AR120" i="28"/>
  <c r="AR127" i="28"/>
  <c r="AR134" i="28"/>
  <c r="AR141" i="28"/>
  <c r="AR148" i="28"/>
  <c r="AR155" i="28"/>
  <c r="AR162" i="28"/>
  <c r="AR169" i="28"/>
  <c r="AR176" i="28"/>
  <c r="AR183" i="28"/>
  <c r="AR190" i="28"/>
  <c r="AR197" i="28"/>
  <c r="AR204" i="28"/>
  <c r="AR211" i="28"/>
  <c r="AR218" i="28"/>
  <c r="AR225" i="28"/>
  <c r="AR232" i="28"/>
  <c r="AR239" i="28"/>
  <c r="AR246" i="28"/>
  <c r="AR253" i="28"/>
  <c r="AR260" i="28"/>
  <c r="AR267" i="28"/>
  <c r="AR274" i="28"/>
  <c r="AR281" i="28"/>
  <c r="AR288" i="28"/>
  <c r="AR295" i="28"/>
  <c r="AR302" i="28"/>
  <c r="AR309" i="28"/>
  <c r="AR316" i="28"/>
  <c r="AR323" i="28"/>
  <c r="AR330" i="28"/>
  <c r="AR337" i="28"/>
  <c r="AR344" i="28"/>
  <c r="AR351" i="28"/>
  <c r="AR358" i="28"/>
  <c r="AR365" i="28"/>
  <c r="AR372" i="28"/>
  <c r="AR379" i="28"/>
  <c r="AR386" i="28"/>
  <c r="AR393" i="28"/>
  <c r="AR400" i="28"/>
  <c r="AR407" i="28"/>
  <c r="AR414" i="28"/>
  <c r="AR421" i="28"/>
  <c r="AR428" i="28"/>
  <c r="AR435" i="28"/>
  <c r="AR442" i="28"/>
  <c r="AR449" i="28"/>
  <c r="AR456" i="28"/>
  <c r="AR463" i="28"/>
  <c r="AR470" i="28"/>
  <c r="AR477" i="28"/>
  <c r="AR484" i="28"/>
  <c r="AR491" i="28"/>
  <c r="AR498" i="28"/>
  <c r="AR505" i="28"/>
  <c r="AR53" i="28"/>
  <c r="AR67" i="28"/>
  <c r="AR102" i="28"/>
  <c r="AR109" i="28"/>
  <c r="AR172" i="28"/>
  <c r="AR214" i="28"/>
  <c r="AR270" i="28"/>
  <c r="AR326" i="28"/>
  <c r="AR333" i="28"/>
  <c r="AR382" i="28"/>
  <c r="AR438" i="28"/>
  <c r="AR445" i="28"/>
  <c r="AR473" i="28"/>
  <c r="AR480" i="28"/>
  <c r="AR188" i="28"/>
  <c r="AR195" i="28"/>
  <c r="AR244" i="28"/>
  <c r="AR321" i="28"/>
  <c r="AR349" i="28"/>
  <c r="AR370" i="28"/>
  <c r="AR377" i="28"/>
  <c r="AR398" i="28"/>
  <c r="AR405" i="28"/>
  <c r="AR426" i="28"/>
  <c r="AR454" i="28"/>
  <c r="AR475" i="28"/>
  <c r="AR496" i="28"/>
  <c r="AR60" i="28"/>
  <c r="AR74" i="28"/>
  <c r="AR116" i="28"/>
  <c r="AR123" i="28"/>
  <c r="AR235" i="28"/>
  <c r="AR242" i="28"/>
  <c r="AR284" i="28"/>
  <c r="AR291" i="28"/>
  <c r="AR354" i="28"/>
  <c r="AR466" i="28"/>
  <c r="AR160" i="28"/>
  <c r="AR167" i="28"/>
  <c r="AR174" i="28"/>
  <c r="AR202" i="28"/>
  <c r="AR251" i="28"/>
  <c r="AR279" i="28"/>
  <c r="AR300" i="28"/>
  <c r="AR307" i="28"/>
  <c r="AR328" i="28"/>
  <c r="AR335" i="28"/>
  <c r="AR356" i="28"/>
  <c r="AR384" i="28"/>
  <c r="AR412" i="28"/>
  <c r="AR433" i="28"/>
  <c r="AR440" i="28"/>
  <c r="AR489" i="28"/>
  <c r="AR503" i="28"/>
  <c r="AR45" i="28"/>
  <c r="AR52" i="28"/>
  <c r="AR59" i="28"/>
  <c r="AR66" i="28"/>
  <c r="AR73" i="28"/>
  <c r="AR80" i="28"/>
  <c r="AR87" i="28"/>
  <c r="AR94" i="28"/>
  <c r="AR101" i="28"/>
  <c r="AR108" i="28"/>
  <c r="AR115" i="28"/>
  <c r="AR122" i="28"/>
  <c r="AR129" i="28"/>
  <c r="AR136" i="28"/>
  <c r="AR143" i="28"/>
  <c r="AR150" i="28"/>
  <c r="AR157" i="28"/>
  <c r="AR164" i="28"/>
  <c r="AR171" i="28"/>
  <c r="AR178" i="28"/>
  <c r="AR185" i="28"/>
  <c r="AR192" i="28"/>
  <c r="AR199" i="28"/>
  <c r="AR206" i="28"/>
  <c r="AR213" i="28"/>
  <c r="AR220" i="28"/>
  <c r="AR227" i="28"/>
  <c r="AR234" i="28"/>
  <c r="AR241" i="28"/>
  <c r="AR248" i="28"/>
  <c r="AR255" i="28"/>
  <c r="AR262" i="28"/>
  <c r="AR269" i="28"/>
  <c r="AR276" i="28"/>
  <c r="AR283" i="28"/>
  <c r="AR290" i="28"/>
  <c r="AR297" i="28"/>
  <c r="AR304" i="28"/>
  <c r="AR311" i="28"/>
  <c r="AR318" i="28"/>
  <c r="AR325" i="28"/>
  <c r="AR332" i="28"/>
  <c r="AR339" i="28"/>
  <c r="AR346" i="28"/>
  <c r="AR353" i="28"/>
  <c r="AR360" i="28"/>
  <c r="AR367" i="28"/>
  <c r="AR374" i="28"/>
  <c r="AR381" i="28"/>
  <c r="AR388" i="28"/>
  <c r="AR395" i="28"/>
  <c r="AR402" i="28"/>
  <c r="AR409" i="28"/>
  <c r="AR416" i="28"/>
  <c r="AR423" i="28"/>
  <c r="AR430" i="28"/>
  <c r="AR437" i="28"/>
  <c r="AR444" i="28"/>
  <c r="AR451" i="28"/>
  <c r="AR458" i="28"/>
  <c r="AR465" i="28"/>
  <c r="AR472" i="28"/>
  <c r="AR479" i="28"/>
  <c r="AR486" i="28"/>
  <c r="AR493" i="28"/>
  <c r="AR500" i="28"/>
  <c r="AR81" i="28"/>
  <c r="AR88" i="28"/>
  <c r="AR95" i="28"/>
  <c r="AR158" i="28"/>
  <c r="AR165" i="28"/>
  <c r="AR256" i="28"/>
  <c r="AR263" i="28"/>
  <c r="AR347" i="28"/>
  <c r="AR69" i="28"/>
  <c r="AR130" i="28"/>
  <c r="AR200" i="28"/>
  <c r="AR207" i="28"/>
  <c r="AR501" i="28"/>
  <c r="AR47" i="28"/>
  <c r="AR54" i="28"/>
  <c r="AR61" i="28"/>
  <c r="AR68" i="28"/>
  <c r="AR75" i="28"/>
  <c r="AR82" i="28"/>
  <c r="AR89" i="28"/>
  <c r="AR96" i="28"/>
  <c r="AR103" i="28"/>
  <c r="AR110" i="28"/>
  <c r="AR117" i="28"/>
  <c r="AR124" i="28"/>
  <c r="AR131" i="28"/>
  <c r="AR138" i="28"/>
  <c r="AR145" i="28"/>
  <c r="AR152" i="28"/>
  <c r="AR159" i="28"/>
  <c r="AR166" i="28"/>
  <c r="AR173" i="28"/>
  <c r="AR180" i="28"/>
  <c r="AR187" i="28"/>
  <c r="AR194" i="28"/>
  <c r="AR201" i="28"/>
  <c r="AR208" i="28"/>
  <c r="AR215" i="28"/>
  <c r="AR222" i="28"/>
  <c r="AR229" i="28"/>
  <c r="AR236" i="28"/>
  <c r="AR243" i="28"/>
  <c r="AR250" i="28"/>
  <c r="AR257" i="28"/>
  <c r="AR264" i="28"/>
  <c r="AR271" i="28"/>
  <c r="AR278" i="28"/>
  <c r="AR285" i="28"/>
  <c r="AR292" i="28"/>
  <c r="AR299" i="28"/>
  <c r="AR306" i="28"/>
  <c r="AR313" i="28"/>
  <c r="AR320" i="28"/>
  <c r="AR327" i="28"/>
  <c r="AR334" i="28"/>
  <c r="AR341" i="28"/>
  <c r="AR348" i="28"/>
  <c r="AR355" i="28"/>
  <c r="AR362" i="28"/>
  <c r="AR369" i="28"/>
  <c r="AR376" i="28"/>
  <c r="AR383" i="28"/>
  <c r="AR390" i="28"/>
  <c r="AR397" i="28"/>
  <c r="AR404" i="28"/>
  <c r="AR411" i="28"/>
  <c r="AR418" i="28"/>
  <c r="AR425" i="28"/>
  <c r="AR432" i="28"/>
  <c r="AR439" i="28"/>
  <c r="AR446" i="28"/>
  <c r="AR453" i="28"/>
  <c r="AR460" i="28"/>
  <c r="AR467" i="28"/>
  <c r="AR474" i="28"/>
  <c r="AR481" i="28"/>
  <c r="AR488" i="28"/>
  <c r="AR495" i="28"/>
  <c r="AR502" i="28"/>
  <c r="AR137" i="28"/>
  <c r="AR144" i="28"/>
  <c r="AR151" i="28"/>
  <c r="AR228" i="28"/>
  <c r="AR319" i="28"/>
  <c r="AR340" i="28"/>
  <c r="AR431" i="28"/>
  <c r="AR139" i="28"/>
  <c r="AR46" i="28"/>
  <c r="AR298" i="28"/>
  <c r="AR368" i="28"/>
  <c r="AR42" i="28"/>
  <c r="AR49" i="28"/>
  <c r="AR56" i="28"/>
  <c r="AR63" i="28"/>
  <c r="AR70" i="28"/>
  <c r="AR77" i="28"/>
  <c r="AR84" i="28"/>
  <c r="AR91" i="28"/>
  <c r="AR98" i="28"/>
  <c r="AR105" i="28"/>
  <c r="AR112" i="28"/>
  <c r="AR119" i="28"/>
  <c r="AR126" i="28"/>
  <c r="AR133" i="28"/>
  <c r="AR140" i="28"/>
  <c r="AR147" i="28"/>
  <c r="AR154" i="28"/>
  <c r="AR161" i="28"/>
  <c r="AR168" i="28"/>
  <c r="AR175" i="28"/>
  <c r="AR182" i="28"/>
  <c r="AR189" i="28"/>
  <c r="AR196" i="28"/>
  <c r="AR203" i="28"/>
  <c r="AR210" i="28"/>
  <c r="AR217" i="28"/>
  <c r="AR224" i="28"/>
  <c r="AR231" i="28"/>
  <c r="AR238" i="28"/>
  <c r="AR245" i="28"/>
  <c r="AR252" i="28"/>
  <c r="AR259" i="28"/>
  <c r="AR266" i="28"/>
  <c r="AR273" i="28"/>
  <c r="AR280" i="28"/>
  <c r="AR287" i="28"/>
  <c r="AR294" i="28"/>
  <c r="AR301" i="28"/>
  <c r="AR308" i="28"/>
  <c r="AR315" i="28"/>
  <c r="AR322" i="28"/>
  <c r="AR329" i="28"/>
  <c r="AR336" i="28"/>
  <c r="AR343" i="28"/>
  <c r="AR350" i="28"/>
  <c r="AR357" i="28"/>
  <c r="AR364" i="28"/>
  <c r="AR371" i="28"/>
  <c r="AR378" i="28"/>
  <c r="AR385" i="28"/>
  <c r="AR392" i="28"/>
  <c r="AR399" i="28"/>
  <c r="AR406" i="28"/>
  <c r="AR413" i="28"/>
  <c r="AR420" i="28"/>
  <c r="AR427" i="28"/>
  <c r="AR434" i="28"/>
  <c r="AR441" i="28"/>
  <c r="AR448" i="28"/>
  <c r="AR455" i="28"/>
  <c r="AR462" i="28"/>
  <c r="AR469" i="28"/>
  <c r="AR476" i="28"/>
  <c r="AR483" i="28"/>
  <c r="AR490" i="28"/>
  <c r="AR497" i="28"/>
  <c r="AR504" i="28"/>
  <c r="AR193" i="28"/>
  <c r="AR312" i="28"/>
  <c r="AR403" i="28"/>
  <c r="AR410" i="28"/>
  <c r="AR417" i="28"/>
  <c r="AR452" i="28"/>
  <c r="AR459" i="28"/>
  <c r="AR494" i="28"/>
  <c r="AR41" i="28"/>
  <c r="AR48" i="28"/>
  <c r="AR90" i="28"/>
  <c r="AR97" i="28"/>
  <c r="AR146" i="28"/>
  <c r="AR153" i="28"/>
  <c r="AR249" i="28"/>
  <c r="AR361" i="28"/>
  <c r="AR424" i="28"/>
  <c r="AR487" i="28"/>
  <c r="AR104" i="28"/>
  <c r="AR111" i="28"/>
  <c r="AR44" i="28"/>
  <c r="AR51" i="28"/>
  <c r="AR58" i="28"/>
  <c r="AR65" i="28"/>
  <c r="AR72" i="28"/>
  <c r="AR79" i="28"/>
  <c r="AR86" i="28"/>
  <c r="AR93" i="28"/>
  <c r="AR100" i="28"/>
  <c r="AR107" i="28"/>
  <c r="AR114" i="28"/>
  <c r="AR121" i="28"/>
  <c r="AR128" i="28"/>
  <c r="AR135" i="28"/>
  <c r="AR142" i="28"/>
  <c r="AR149" i="28"/>
  <c r="AR156" i="28"/>
  <c r="AR163" i="28"/>
  <c r="AR170" i="28"/>
  <c r="AR177" i="28"/>
  <c r="AR184" i="28"/>
  <c r="AR191" i="28"/>
  <c r="AR198" i="28"/>
  <c r="AR205" i="28"/>
  <c r="AR212" i="28"/>
  <c r="AR219" i="28"/>
  <c r="AR226" i="28"/>
  <c r="AR233" i="28"/>
  <c r="AR240" i="28"/>
  <c r="AR247" i="28"/>
  <c r="AR254" i="28"/>
  <c r="AR261" i="28"/>
  <c r="AR268" i="28"/>
  <c r="AR275" i="28"/>
  <c r="AR282" i="28"/>
  <c r="AR289" i="28"/>
  <c r="AR296" i="28"/>
  <c r="AR303" i="28"/>
  <c r="AR310" i="28"/>
  <c r="AR317" i="28"/>
  <c r="AR324" i="28"/>
  <c r="AR331" i="28"/>
  <c r="AR338" i="28"/>
  <c r="AR345" i="28"/>
  <c r="AR352" i="28"/>
  <c r="AR359" i="28"/>
  <c r="AR366" i="28"/>
  <c r="AR373" i="28"/>
  <c r="AR380" i="28"/>
  <c r="AR387" i="28"/>
  <c r="AR394" i="28"/>
  <c r="AR401" i="28"/>
  <c r="AR408" i="28"/>
  <c r="AR415" i="28"/>
  <c r="AR422" i="28"/>
  <c r="AR429" i="28"/>
  <c r="AR436" i="28"/>
  <c r="AR443" i="28"/>
  <c r="AR450" i="28"/>
  <c r="AR457" i="28"/>
  <c r="AR464" i="28"/>
  <c r="AR471" i="28"/>
  <c r="AR478" i="28"/>
  <c r="AR485" i="28"/>
  <c r="AR492" i="28"/>
  <c r="AR499" i="28"/>
  <c r="AR506" i="28"/>
  <c r="AX36" i="28"/>
  <c r="AZ36" i="28" s="1"/>
  <c r="AT36" i="28"/>
  <c r="AR36" i="28" s="1"/>
  <c r="AY99" i="28"/>
  <c r="AX99" i="28"/>
  <c r="AT99" i="28"/>
  <c r="AZ99" i="28"/>
  <c r="AE99" i="28" s="1"/>
  <c r="AV99" i="28"/>
  <c r="AW99" i="28" s="1"/>
  <c r="AU99" i="28"/>
  <c r="AX106" i="28"/>
  <c r="AV106" i="28"/>
  <c r="AW106" i="28" s="1"/>
  <c r="AU106" i="28"/>
  <c r="AY106" i="28"/>
  <c r="AZ106" i="28"/>
  <c r="AE106" i="28" s="1"/>
  <c r="AT106" i="28"/>
  <c r="AX183" i="28"/>
  <c r="AT183" i="28"/>
  <c r="AV183" i="28"/>
  <c r="AW183" i="28" s="1"/>
  <c r="AU183" i="28"/>
  <c r="AZ183" i="28"/>
  <c r="AE183" i="28" s="1"/>
  <c r="AY183" i="28"/>
  <c r="AY190" i="28"/>
  <c r="AZ190" i="28"/>
  <c r="AE190" i="28" s="1"/>
  <c r="AV190" i="28"/>
  <c r="AW190" i="28" s="1"/>
  <c r="AU190" i="28"/>
  <c r="AT190" i="28"/>
  <c r="AX190" i="28"/>
  <c r="AZ267" i="28"/>
  <c r="AE267" i="28" s="1"/>
  <c r="AT267" i="28"/>
  <c r="AX267" i="28"/>
  <c r="AV267" i="28"/>
  <c r="AW267" i="28" s="1"/>
  <c r="AU267" i="28"/>
  <c r="AY267" i="28"/>
  <c r="AX274" i="28"/>
  <c r="AV274" i="28"/>
  <c r="AW274" i="28" s="1"/>
  <c r="AY274" i="28"/>
  <c r="AU274" i="28"/>
  <c r="AZ274" i="28"/>
  <c r="AE274" i="28" s="1"/>
  <c r="AT274" i="28"/>
  <c r="AX372" i="28"/>
  <c r="AY372" i="28"/>
  <c r="AV372" i="28"/>
  <c r="AW372" i="28" s="1"/>
  <c r="AU372" i="28"/>
  <c r="AT372" i="28"/>
  <c r="AZ372" i="28"/>
  <c r="AE372" i="28" s="1"/>
  <c r="AY46" i="28"/>
  <c r="AU46" i="28"/>
  <c r="AT46" i="28"/>
  <c r="AZ46" i="28"/>
  <c r="AE46" i="28" s="1"/>
  <c r="AV46" i="28"/>
  <c r="AW46" i="28" s="1"/>
  <c r="AX46" i="28"/>
  <c r="AZ53" i="28"/>
  <c r="AE53" i="28" s="1"/>
  <c r="AX53" i="28"/>
  <c r="AT53" i="28"/>
  <c r="AV53" i="28"/>
  <c r="AW53" i="28" s="1"/>
  <c r="AU53" i="28"/>
  <c r="AY53" i="28"/>
  <c r="AZ116" i="28"/>
  <c r="AE116" i="28" s="1"/>
  <c r="AU116" i="28"/>
  <c r="AY116" i="28"/>
  <c r="AT116" i="28"/>
  <c r="AV116" i="28"/>
  <c r="AW116" i="28" s="1"/>
  <c r="AX116" i="28"/>
  <c r="AY137" i="28"/>
  <c r="AU137" i="28"/>
  <c r="AZ137" i="28"/>
  <c r="AE137" i="28" s="1"/>
  <c r="AX137" i="28"/>
  <c r="AT137" i="28"/>
  <c r="AV137" i="28"/>
  <c r="AW137" i="28" s="1"/>
  <c r="AY158" i="28"/>
  <c r="AU158" i="28"/>
  <c r="AT158" i="28"/>
  <c r="AZ158" i="28"/>
  <c r="AE158" i="28" s="1"/>
  <c r="AX158" i="28"/>
  <c r="AV158" i="28"/>
  <c r="AW158" i="28" s="1"/>
  <c r="AZ172" i="28"/>
  <c r="AE172" i="28" s="1"/>
  <c r="AY172" i="28"/>
  <c r="AU172" i="28"/>
  <c r="AT172" i="28"/>
  <c r="AX172" i="28"/>
  <c r="AV172" i="28"/>
  <c r="AW172" i="28" s="1"/>
  <c r="AU186" i="28"/>
  <c r="AT186" i="28"/>
  <c r="AV186" i="28"/>
  <c r="AW186" i="28" s="1"/>
  <c r="AX186" i="28"/>
  <c r="AZ186" i="28"/>
  <c r="AE186" i="28" s="1"/>
  <c r="AY186" i="28"/>
  <c r="AZ200" i="28"/>
  <c r="AE200" i="28" s="1"/>
  <c r="AU200" i="28"/>
  <c r="AX200" i="28"/>
  <c r="AT200" i="28"/>
  <c r="AV200" i="28"/>
  <c r="AW200" i="28" s="1"/>
  <c r="AY200" i="28"/>
  <c r="AZ214" i="28"/>
  <c r="AE214" i="28" s="1"/>
  <c r="AX214" i="28"/>
  <c r="AU214" i="28"/>
  <c r="AT214" i="28"/>
  <c r="AY214" i="28"/>
  <c r="AV214" i="28"/>
  <c r="AW214" i="28" s="1"/>
  <c r="AZ228" i="28"/>
  <c r="AE228" i="28" s="1"/>
  <c r="AY228" i="28"/>
  <c r="AU228" i="28"/>
  <c r="AT228" i="28"/>
  <c r="AX228" i="28"/>
  <c r="AV228" i="28"/>
  <c r="AW228" i="28" s="1"/>
  <c r="AY242" i="28"/>
  <c r="AU242" i="28"/>
  <c r="AT242" i="28"/>
  <c r="AX242" i="28"/>
  <c r="AZ242" i="28"/>
  <c r="AE242" i="28" s="1"/>
  <c r="AV242" i="28"/>
  <c r="AW242" i="28" s="1"/>
  <c r="AZ256" i="28"/>
  <c r="AE256" i="28" s="1"/>
  <c r="AU256" i="28"/>
  <c r="AT256" i="28"/>
  <c r="AY256" i="28"/>
  <c r="AX256" i="28"/>
  <c r="AV256" i="28"/>
  <c r="AW256" i="28" s="1"/>
  <c r="AZ270" i="28"/>
  <c r="AE270" i="28" s="1"/>
  <c r="AX270" i="28"/>
  <c r="AY270" i="28"/>
  <c r="AU270" i="28"/>
  <c r="AT270" i="28"/>
  <c r="AV270" i="28"/>
  <c r="AW270" i="28" s="1"/>
  <c r="AU284" i="28"/>
  <c r="AT284" i="28"/>
  <c r="AZ284" i="28"/>
  <c r="AE284" i="28" s="1"/>
  <c r="AV284" i="28"/>
  <c r="AW284" i="28" s="1"/>
  <c r="AX284" i="28"/>
  <c r="AY284" i="28"/>
  <c r="AY298" i="28"/>
  <c r="AU298" i="28"/>
  <c r="AT298" i="28"/>
  <c r="AX298" i="28"/>
  <c r="AV298" i="28"/>
  <c r="AW298" i="28" s="1"/>
  <c r="AZ298" i="28"/>
  <c r="AE298" i="28" s="1"/>
  <c r="AZ312" i="28"/>
  <c r="AE312" i="28" s="1"/>
  <c r="AX312" i="28"/>
  <c r="AU312" i="28"/>
  <c r="AT312" i="28"/>
  <c r="AV312" i="28"/>
  <c r="AW312" i="28" s="1"/>
  <c r="AY312" i="28"/>
  <c r="AZ326" i="28"/>
  <c r="AE326" i="28" s="1"/>
  <c r="AU326" i="28"/>
  <c r="AY326" i="28"/>
  <c r="AT326" i="28"/>
  <c r="AX326" i="28"/>
  <c r="AV326" i="28"/>
  <c r="AW326" i="28" s="1"/>
  <c r="AX340" i="28"/>
  <c r="AU340" i="28"/>
  <c r="AT340" i="28"/>
  <c r="AZ340" i="28"/>
  <c r="AE340" i="28" s="1"/>
  <c r="AY340" i="28"/>
  <c r="AV340" i="28"/>
  <c r="AW340" i="28" s="1"/>
  <c r="AY354" i="28"/>
  <c r="AX354" i="28"/>
  <c r="AU354" i="28"/>
  <c r="AT354" i="28"/>
  <c r="AZ354" i="28"/>
  <c r="AE354" i="28" s="1"/>
  <c r="AV354" i="28"/>
  <c r="AW354" i="28" s="1"/>
  <c r="AZ368" i="28"/>
  <c r="AE368" i="28" s="1"/>
  <c r="AY368" i="28"/>
  <c r="AU368" i="28"/>
  <c r="AT368" i="28"/>
  <c r="AX368" i="28"/>
  <c r="AV368" i="28"/>
  <c r="AW368" i="28" s="1"/>
  <c r="AU382" i="28"/>
  <c r="AT382" i="28"/>
  <c r="AX382" i="28"/>
  <c r="AZ382" i="28"/>
  <c r="AE382" i="28" s="1"/>
  <c r="AV382" i="28"/>
  <c r="AW382" i="28" s="1"/>
  <c r="AY382" i="28"/>
  <c r="AU396" i="28"/>
  <c r="AT396" i="28"/>
  <c r="AZ396" i="28"/>
  <c r="AE396" i="28" s="1"/>
  <c r="AY396" i="28"/>
  <c r="AX396" i="28"/>
  <c r="AV396" i="28"/>
  <c r="AW396" i="28" s="1"/>
  <c r="AX410" i="28"/>
  <c r="AZ410" i="28"/>
  <c r="AE410" i="28" s="1"/>
  <c r="AU410" i="28"/>
  <c r="AT410" i="28"/>
  <c r="AV410" i="28"/>
  <c r="AW410" i="28" s="1"/>
  <c r="AY410" i="28"/>
  <c r="AZ424" i="28"/>
  <c r="AE424" i="28" s="1"/>
  <c r="AY424" i="28"/>
  <c r="AX424" i="28"/>
  <c r="AU424" i="28"/>
  <c r="AT424" i="28"/>
  <c r="AV424" i="28"/>
  <c r="AW424" i="28" s="1"/>
  <c r="AU438" i="28"/>
  <c r="AT438" i="28"/>
  <c r="AY438" i="28"/>
  <c r="AX438" i="28"/>
  <c r="AZ438" i="28"/>
  <c r="AE438" i="28" s="1"/>
  <c r="AV438" i="28"/>
  <c r="AW438" i="28" s="1"/>
  <c r="AV452" i="28"/>
  <c r="AW452" i="28" s="1"/>
  <c r="AU452" i="28"/>
  <c r="AT452" i="28"/>
  <c r="AZ452" i="28"/>
  <c r="AE452" i="28" s="1"/>
  <c r="AX452" i="28"/>
  <c r="AY452" i="28"/>
  <c r="AZ466" i="28"/>
  <c r="AE466" i="28" s="1"/>
  <c r="AX466" i="28"/>
  <c r="AY466" i="28"/>
  <c r="AU466" i="28"/>
  <c r="AT466" i="28"/>
  <c r="AV466" i="28"/>
  <c r="AW466" i="28" s="1"/>
  <c r="AY480" i="28"/>
  <c r="AU480" i="28"/>
  <c r="AZ480" i="28"/>
  <c r="AE480" i="28" s="1"/>
  <c r="AT480" i="28"/>
  <c r="AV480" i="28"/>
  <c r="AW480" i="28" s="1"/>
  <c r="AX480" i="28"/>
  <c r="AU494" i="28"/>
  <c r="AT494" i="28"/>
  <c r="AX494" i="28"/>
  <c r="AZ494" i="28"/>
  <c r="AE494" i="28" s="1"/>
  <c r="AY494" i="28"/>
  <c r="AV494" i="28"/>
  <c r="AW494" i="28" s="1"/>
  <c r="AX113" i="28"/>
  <c r="AT113" i="28"/>
  <c r="AY113" i="28"/>
  <c r="AZ113" i="28"/>
  <c r="AE113" i="28" s="1"/>
  <c r="AU113" i="28"/>
  <c r="AV113" i="28"/>
  <c r="AW113" i="28" s="1"/>
  <c r="AZ120" i="28"/>
  <c r="AE120" i="28" s="1"/>
  <c r="AV120" i="28"/>
  <c r="AW120" i="28" s="1"/>
  <c r="AU120" i="28"/>
  <c r="AY120" i="28"/>
  <c r="AX120" i="28"/>
  <c r="AT120" i="28"/>
  <c r="AV218" i="28"/>
  <c r="AW218" i="28" s="1"/>
  <c r="AU218" i="28"/>
  <c r="AT218" i="28"/>
  <c r="AY218" i="28"/>
  <c r="AX218" i="28"/>
  <c r="AZ218" i="28"/>
  <c r="AE218" i="28" s="1"/>
  <c r="AX302" i="28"/>
  <c r="AV302" i="28"/>
  <c r="AW302" i="28" s="1"/>
  <c r="AY302" i="28"/>
  <c r="AU302" i="28"/>
  <c r="AZ302" i="28"/>
  <c r="AE302" i="28" s="1"/>
  <c r="AT302" i="28"/>
  <c r="AY67" i="28"/>
  <c r="AZ67" i="28"/>
  <c r="AE67" i="28" s="1"/>
  <c r="AU67" i="28"/>
  <c r="AV67" i="28"/>
  <c r="AW67" i="28" s="1"/>
  <c r="AX67" i="28"/>
  <c r="AT67" i="28"/>
  <c r="AY81" i="28"/>
  <c r="AZ81" i="28"/>
  <c r="AE81" i="28" s="1"/>
  <c r="AU81" i="28"/>
  <c r="AX81" i="28"/>
  <c r="AT81" i="28"/>
  <c r="AV81" i="28"/>
  <c r="AW81" i="28" s="1"/>
  <c r="AZ88" i="28"/>
  <c r="AE88" i="28" s="1"/>
  <c r="AX88" i="28"/>
  <c r="AU88" i="28"/>
  <c r="AT88" i="28"/>
  <c r="AY88" i="28"/>
  <c r="AV88" i="28"/>
  <c r="AW88" i="28" s="1"/>
  <c r="AZ130" i="28"/>
  <c r="AE130" i="28" s="1"/>
  <c r="AU130" i="28"/>
  <c r="AT130" i="28"/>
  <c r="AX130" i="28"/>
  <c r="AV130" i="28"/>
  <c r="AW130" i="28" s="1"/>
  <c r="AY130" i="28"/>
  <c r="AY165" i="28"/>
  <c r="AU165" i="28"/>
  <c r="AT165" i="28"/>
  <c r="AX165" i="28"/>
  <c r="AZ165" i="28"/>
  <c r="AE165" i="28" s="1"/>
  <c r="AV165" i="28"/>
  <c r="AW165" i="28" s="1"/>
  <c r="AY179" i="28"/>
  <c r="AZ179" i="28"/>
  <c r="AE179" i="28" s="1"/>
  <c r="AX179" i="28"/>
  <c r="AT179" i="28"/>
  <c r="AV179" i="28"/>
  <c r="AW179" i="28" s="1"/>
  <c r="AU179" i="28"/>
  <c r="AZ193" i="28"/>
  <c r="AE193" i="28" s="1"/>
  <c r="AX193" i="28"/>
  <c r="AY193" i="28"/>
  <c r="AT193" i="28"/>
  <c r="AV193" i="28"/>
  <c r="AW193" i="28" s="1"/>
  <c r="AU193" i="28"/>
  <c r="AY207" i="28"/>
  <c r="AZ207" i="28"/>
  <c r="AE207" i="28" s="1"/>
  <c r="AV207" i="28"/>
  <c r="AW207" i="28" s="1"/>
  <c r="AX207" i="28"/>
  <c r="AU207" i="28"/>
  <c r="AT207" i="28"/>
  <c r="AY221" i="28"/>
  <c r="AZ221" i="28"/>
  <c r="AE221" i="28" s="1"/>
  <c r="AV221" i="28"/>
  <c r="AW221" i="28" s="1"/>
  <c r="AT221" i="28"/>
  <c r="AX221" i="28"/>
  <c r="AU221" i="28"/>
  <c r="AZ235" i="28"/>
  <c r="AE235" i="28" s="1"/>
  <c r="AT235" i="28"/>
  <c r="AX235" i="28"/>
  <c r="AV235" i="28"/>
  <c r="AW235" i="28" s="1"/>
  <c r="AY235" i="28"/>
  <c r="AU235" i="28"/>
  <c r="AZ249" i="28"/>
  <c r="AE249" i="28" s="1"/>
  <c r="AY249" i="28"/>
  <c r="AX249" i="28"/>
  <c r="AT249" i="28"/>
  <c r="AV249" i="28"/>
  <c r="AW249" i="28" s="1"/>
  <c r="AU249" i="28"/>
  <c r="AU263" i="28"/>
  <c r="AY263" i="28"/>
  <c r="AX263" i="28"/>
  <c r="AZ263" i="28"/>
  <c r="AE263" i="28" s="1"/>
  <c r="AV263" i="28"/>
  <c r="AW263" i="28" s="1"/>
  <c r="AT263" i="28"/>
  <c r="AY277" i="28"/>
  <c r="AX277" i="28"/>
  <c r="AV277" i="28"/>
  <c r="AW277" i="28" s="1"/>
  <c r="AU277" i="28"/>
  <c r="AZ277" i="28"/>
  <c r="AE277" i="28" s="1"/>
  <c r="AT277" i="28"/>
  <c r="AZ291" i="28"/>
  <c r="AE291" i="28" s="1"/>
  <c r="AX291" i="28"/>
  <c r="AY291" i="28"/>
  <c r="AT291" i="28"/>
  <c r="AU291" i="28"/>
  <c r="AV291" i="28"/>
  <c r="AW291" i="28" s="1"/>
  <c r="AX305" i="28"/>
  <c r="AZ305" i="28"/>
  <c r="AE305" i="28" s="1"/>
  <c r="AV305" i="28"/>
  <c r="AW305" i="28" s="1"/>
  <c r="AY305" i="28"/>
  <c r="AU305" i="28"/>
  <c r="AT305" i="28"/>
  <c r="AY319" i="28"/>
  <c r="AU319" i="28"/>
  <c r="AZ319" i="28"/>
  <c r="AE319" i="28" s="1"/>
  <c r="AX319" i="28"/>
  <c r="AV319" i="28"/>
  <c r="AW319" i="28" s="1"/>
  <c r="AT319" i="28"/>
  <c r="AX333" i="28"/>
  <c r="AU333" i="28"/>
  <c r="AV333" i="28"/>
  <c r="AW333" i="28" s="1"/>
  <c r="AY333" i="28"/>
  <c r="AT333" i="28"/>
  <c r="AZ333" i="28"/>
  <c r="AE333" i="28" s="1"/>
  <c r="AZ347" i="28"/>
  <c r="AE347" i="28" s="1"/>
  <c r="AY347" i="28"/>
  <c r="AX347" i="28"/>
  <c r="AV347" i="28"/>
  <c r="AW347" i="28" s="1"/>
  <c r="AU347" i="28"/>
  <c r="AT347" i="28"/>
  <c r="AZ361" i="28"/>
  <c r="AE361" i="28" s="1"/>
  <c r="AX361" i="28"/>
  <c r="AY361" i="28"/>
  <c r="AV361" i="28"/>
  <c r="AW361" i="28" s="1"/>
  <c r="AU361" i="28"/>
  <c r="AT361" i="28"/>
  <c r="AX375" i="28"/>
  <c r="AZ375" i="28"/>
  <c r="AE375" i="28" s="1"/>
  <c r="AY375" i="28"/>
  <c r="AT375" i="28"/>
  <c r="AV375" i="28"/>
  <c r="AW375" i="28" s="1"/>
  <c r="AU375" i="28"/>
  <c r="AZ389" i="28"/>
  <c r="AE389" i="28" s="1"/>
  <c r="AT389" i="28"/>
  <c r="AV389" i="28"/>
  <c r="AW389" i="28" s="1"/>
  <c r="AX389" i="28"/>
  <c r="AY389" i="28"/>
  <c r="AU389" i="28"/>
  <c r="AZ403" i="28"/>
  <c r="AE403" i="28" s="1"/>
  <c r="AX403" i="28"/>
  <c r="AV403" i="28"/>
  <c r="AW403" i="28" s="1"/>
  <c r="AY403" i="28"/>
  <c r="AU403" i="28"/>
  <c r="AT403" i="28"/>
  <c r="AZ417" i="28"/>
  <c r="AE417" i="28" s="1"/>
  <c r="AV417" i="28"/>
  <c r="AW417" i="28" s="1"/>
  <c r="AX417" i="28"/>
  <c r="AU417" i="28"/>
  <c r="AT417" i="28"/>
  <c r="AY417" i="28"/>
  <c r="AX431" i="28"/>
  <c r="AT431" i="28"/>
  <c r="AZ431" i="28"/>
  <c r="AE431" i="28" s="1"/>
  <c r="AV431" i="28"/>
  <c r="AW431" i="28" s="1"/>
  <c r="AU431" i="28"/>
  <c r="AY431" i="28"/>
  <c r="AZ445" i="28"/>
  <c r="AE445" i="28" s="1"/>
  <c r="AY445" i="28"/>
  <c r="AV445" i="28"/>
  <c r="AW445" i="28" s="1"/>
  <c r="AX445" i="28"/>
  <c r="AU445" i="28"/>
  <c r="AT445" i="28"/>
  <c r="AV459" i="28"/>
  <c r="AW459" i="28" s="1"/>
  <c r="AU459" i="28"/>
  <c r="AZ459" i="28"/>
  <c r="AE459" i="28" s="1"/>
  <c r="AX459" i="28"/>
  <c r="AY459" i="28"/>
  <c r="AT459" i="28"/>
  <c r="AV473" i="28"/>
  <c r="AW473" i="28" s="1"/>
  <c r="AZ473" i="28"/>
  <c r="AE473" i="28" s="1"/>
  <c r="AX473" i="28"/>
  <c r="AY473" i="28"/>
  <c r="AT473" i="28"/>
  <c r="AU473" i="28"/>
  <c r="AV487" i="28"/>
  <c r="AW487" i="28" s="1"/>
  <c r="AZ487" i="28"/>
  <c r="AE487" i="28" s="1"/>
  <c r="AY487" i="28"/>
  <c r="AX487" i="28"/>
  <c r="AT487" i="28"/>
  <c r="AU487" i="28"/>
  <c r="AX501" i="28"/>
  <c r="AZ501" i="28"/>
  <c r="AE501" i="28" s="1"/>
  <c r="AV501" i="28"/>
  <c r="AW501" i="28" s="1"/>
  <c r="AT501" i="28"/>
  <c r="AY501" i="28"/>
  <c r="AU501" i="28"/>
  <c r="AY41" i="28"/>
  <c r="AZ41" i="28"/>
  <c r="AE41" i="28" s="1"/>
  <c r="AV41" i="28"/>
  <c r="AW41" i="28" s="1"/>
  <c r="AX41" i="28"/>
  <c r="AU41" i="28"/>
  <c r="AT41" i="28"/>
  <c r="AZ48" i="28"/>
  <c r="AE48" i="28" s="1"/>
  <c r="AY48" i="28"/>
  <c r="AU48" i="28"/>
  <c r="AX48" i="28"/>
  <c r="AV48" i="28"/>
  <c r="AW48" i="28" s="1"/>
  <c r="AT48" i="28"/>
  <c r="AY55" i="28"/>
  <c r="AZ55" i="28"/>
  <c r="AE55" i="28" s="1"/>
  <c r="AX55" i="28"/>
  <c r="AT55" i="28"/>
  <c r="AV55" i="28"/>
  <c r="AW55" i="28" s="1"/>
  <c r="AU55" i="28"/>
  <c r="AZ62" i="28"/>
  <c r="AE62" i="28" s="1"/>
  <c r="AY62" i="28"/>
  <c r="AV62" i="28"/>
  <c r="AW62" i="28" s="1"/>
  <c r="AX62" i="28"/>
  <c r="AT62" i="28"/>
  <c r="AU62" i="28"/>
  <c r="AY69" i="28"/>
  <c r="AZ69" i="28"/>
  <c r="AE69" i="28" s="1"/>
  <c r="AX69" i="28"/>
  <c r="AT69" i="28"/>
  <c r="AU69" i="28"/>
  <c r="AV69" i="28"/>
  <c r="AW69" i="28" s="1"/>
  <c r="AZ76" i="28"/>
  <c r="AE76" i="28" s="1"/>
  <c r="AY76" i="28"/>
  <c r="AV76" i="28"/>
  <c r="AW76" i="28" s="1"/>
  <c r="AX76" i="28"/>
  <c r="AU76" i="28"/>
  <c r="AT76" i="28"/>
  <c r="AY83" i="28"/>
  <c r="AZ83" i="28"/>
  <c r="AE83" i="28" s="1"/>
  <c r="AU83" i="28"/>
  <c r="AV83" i="28"/>
  <c r="AW83" i="28" s="1"/>
  <c r="AX83" i="28"/>
  <c r="AT83" i="28"/>
  <c r="AZ90" i="28"/>
  <c r="AE90" i="28" s="1"/>
  <c r="AY90" i="28"/>
  <c r="AX90" i="28"/>
  <c r="AU90" i="28"/>
  <c r="AT90" i="28"/>
  <c r="AV90" i="28"/>
  <c r="AW90" i="28" s="1"/>
  <c r="AY97" i="28"/>
  <c r="AZ97" i="28"/>
  <c r="AE97" i="28" s="1"/>
  <c r="AV97" i="28"/>
  <c r="AW97" i="28" s="1"/>
  <c r="AX97" i="28"/>
  <c r="AU97" i="28"/>
  <c r="AT97" i="28"/>
  <c r="AZ104" i="28"/>
  <c r="AE104" i="28" s="1"/>
  <c r="AX104" i="28"/>
  <c r="AY104" i="28"/>
  <c r="AU104" i="28"/>
  <c r="AV104" i="28"/>
  <c r="AW104" i="28" s="1"/>
  <c r="AT104" i="28"/>
  <c r="AY111" i="28"/>
  <c r="AZ111" i="28"/>
  <c r="AE111" i="28" s="1"/>
  <c r="AV111" i="28"/>
  <c r="AW111" i="28" s="1"/>
  <c r="AX111" i="28"/>
  <c r="AT111" i="28"/>
  <c r="AU111" i="28"/>
  <c r="AZ118" i="28"/>
  <c r="AE118" i="28" s="1"/>
  <c r="AY118" i="28"/>
  <c r="AX118" i="28"/>
  <c r="AV118" i="28"/>
  <c r="AW118" i="28" s="1"/>
  <c r="AT118" i="28"/>
  <c r="AU118" i="28"/>
  <c r="AY125" i="28"/>
  <c r="AZ125" i="28"/>
  <c r="AE125" i="28" s="1"/>
  <c r="AT125" i="28"/>
  <c r="AX125" i="28"/>
  <c r="AV125" i="28"/>
  <c r="AW125" i="28" s="1"/>
  <c r="AU125" i="28"/>
  <c r="AZ132" i="28"/>
  <c r="AE132" i="28" s="1"/>
  <c r="AY132" i="28"/>
  <c r="AX132" i="28"/>
  <c r="AV132" i="28"/>
  <c r="AW132" i="28" s="1"/>
  <c r="AT132" i="28"/>
  <c r="AU132" i="28"/>
  <c r="AY139" i="28"/>
  <c r="AZ139" i="28"/>
  <c r="AE139" i="28" s="1"/>
  <c r="AX139" i="28"/>
  <c r="AV139" i="28"/>
  <c r="AW139" i="28" s="1"/>
  <c r="AU139" i="28"/>
  <c r="AT139" i="28"/>
  <c r="AZ146" i="28"/>
  <c r="AE146" i="28" s="1"/>
  <c r="AX146" i="28"/>
  <c r="AV146" i="28"/>
  <c r="AW146" i="28" s="1"/>
  <c r="AY146" i="28"/>
  <c r="AU146" i="28"/>
  <c r="AT146" i="28"/>
  <c r="AY153" i="28"/>
  <c r="AZ153" i="28"/>
  <c r="AE153" i="28" s="1"/>
  <c r="AX153" i="28"/>
  <c r="AV153" i="28"/>
  <c r="AW153" i="28" s="1"/>
  <c r="AT153" i="28"/>
  <c r="AU153" i="28"/>
  <c r="AZ160" i="28"/>
  <c r="AE160" i="28" s="1"/>
  <c r="AX160" i="28"/>
  <c r="AY160" i="28"/>
  <c r="AV160" i="28"/>
  <c r="AW160" i="28" s="1"/>
  <c r="AU160" i="28"/>
  <c r="AT160" i="28"/>
  <c r="AY167" i="28"/>
  <c r="AZ167" i="28"/>
  <c r="AE167" i="28" s="1"/>
  <c r="AT167" i="28"/>
  <c r="AU167" i="28"/>
  <c r="AV167" i="28"/>
  <c r="AW167" i="28" s="1"/>
  <c r="AX167" i="28"/>
  <c r="AZ174" i="28"/>
  <c r="AE174" i="28" s="1"/>
  <c r="AU174" i="28"/>
  <c r="AY174" i="28"/>
  <c r="AX174" i="28"/>
  <c r="AT174" i="28"/>
  <c r="AV174" i="28"/>
  <c r="AW174" i="28" s="1"/>
  <c r="AY181" i="28"/>
  <c r="AZ181" i="28"/>
  <c r="AE181" i="28" s="1"/>
  <c r="AX181" i="28"/>
  <c r="AV181" i="28"/>
  <c r="AW181" i="28" s="1"/>
  <c r="AT181" i="28"/>
  <c r="AU181" i="28"/>
  <c r="AZ188" i="28"/>
  <c r="AE188" i="28" s="1"/>
  <c r="AY188" i="28"/>
  <c r="AV188" i="28"/>
  <c r="AW188" i="28" s="1"/>
  <c r="AU188" i="28"/>
  <c r="AX188" i="28"/>
  <c r="AT188" i="28"/>
  <c r="AY195" i="28"/>
  <c r="AZ195" i="28"/>
  <c r="AE195" i="28" s="1"/>
  <c r="AX195" i="28"/>
  <c r="AU195" i="28"/>
  <c r="AT195" i="28"/>
  <c r="AV195" i="28"/>
  <c r="AW195" i="28" s="1"/>
  <c r="AZ202" i="28"/>
  <c r="AE202" i="28" s="1"/>
  <c r="AY202" i="28"/>
  <c r="AV202" i="28"/>
  <c r="AW202" i="28" s="1"/>
  <c r="AX202" i="28"/>
  <c r="AT202" i="28"/>
  <c r="AU202" i="28"/>
  <c r="AY209" i="28"/>
  <c r="AZ209" i="28"/>
  <c r="AE209" i="28" s="1"/>
  <c r="AV209" i="28"/>
  <c r="AW209" i="28" s="1"/>
  <c r="AU209" i="28"/>
  <c r="AX209" i="28"/>
  <c r="AT209" i="28"/>
  <c r="AZ216" i="28"/>
  <c r="AE216" i="28" s="1"/>
  <c r="AT216" i="28"/>
  <c r="AY216" i="28"/>
  <c r="AX216" i="28"/>
  <c r="AU216" i="28"/>
  <c r="AV216" i="28"/>
  <c r="AW216" i="28" s="1"/>
  <c r="AY223" i="28"/>
  <c r="AZ223" i="28"/>
  <c r="AE223" i="28" s="1"/>
  <c r="AV223" i="28"/>
  <c r="AW223" i="28" s="1"/>
  <c r="AX223" i="28"/>
  <c r="AT223" i="28"/>
  <c r="AU223" i="28"/>
  <c r="AZ230" i="28"/>
  <c r="AE230" i="28" s="1"/>
  <c r="AX230" i="28"/>
  <c r="AU230" i="28"/>
  <c r="AY230" i="28"/>
  <c r="AV230" i="28"/>
  <c r="AW230" i="28" s="1"/>
  <c r="AT230" i="28"/>
  <c r="AY237" i="28"/>
  <c r="AZ237" i="28"/>
  <c r="AE237" i="28" s="1"/>
  <c r="AX237" i="28"/>
  <c r="AV237" i="28"/>
  <c r="AW237" i="28" s="1"/>
  <c r="AU237" i="28"/>
  <c r="AT237" i="28"/>
  <c r="AZ244" i="28"/>
  <c r="AE244" i="28" s="1"/>
  <c r="AY244" i="28"/>
  <c r="AV244" i="28"/>
  <c r="AW244" i="28" s="1"/>
  <c r="AU244" i="28"/>
  <c r="AT244" i="28"/>
  <c r="AX244" i="28"/>
  <c r="AY251" i="28"/>
  <c r="AZ251" i="28"/>
  <c r="AE251" i="28" s="1"/>
  <c r="AX251" i="28"/>
  <c r="AV251" i="28"/>
  <c r="AW251" i="28" s="1"/>
  <c r="AT251" i="28"/>
  <c r="AU251" i="28"/>
  <c r="AZ258" i="28"/>
  <c r="AE258" i="28" s="1"/>
  <c r="AY258" i="28"/>
  <c r="AU258" i="28"/>
  <c r="AV258" i="28"/>
  <c r="AW258" i="28" s="1"/>
  <c r="AX258" i="28"/>
  <c r="AT258" i="28"/>
  <c r="AY265" i="28"/>
  <c r="AZ265" i="28"/>
  <c r="AE265" i="28" s="1"/>
  <c r="AX265" i="28"/>
  <c r="AU265" i="28"/>
  <c r="AT265" i="28"/>
  <c r="AV265" i="28"/>
  <c r="AW265" i="28" s="1"/>
  <c r="AZ272" i="28"/>
  <c r="AE272" i="28" s="1"/>
  <c r="AX272" i="28"/>
  <c r="AY272" i="28"/>
  <c r="AT272" i="28"/>
  <c r="AV272" i="28"/>
  <c r="AW272" i="28" s="1"/>
  <c r="AU272" i="28"/>
  <c r="AY279" i="28"/>
  <c r="AZ279" i="28"/>
  <c r="AE279" i="28" s="1"/>
  <c r="AU279" i="28"/>
  <c r="AX279" i="28"/>
  <c r="AV279" i="28"/>
  <c r="AW279" i="28" s="1"/>
  <c r="AT279" i="28"/>
  <c r="AZ286" i="28"/>
  <c r="AE286" i="28" s="1"/>
  <c r="AX286" i="28"/>
  <c r="AY286" i="28"/>
  <c r="AU286" i="28"/>
  <c r="AV286" i="28"/>
  <c r="AW286" i="28" s="1"/>
  <c r="AT286" i="28"/>
  <c r="AY293" i="28"/>
  <c r="AZ293" i="28"/>
  <c r="AE293" i="28" s="1"/>
  <c r="AX293" i="28"/>
  <c r="AT293" i="28"/>
  <c r="AV293" i="28"/>
  <c r="AW293" i="28" s="1"/>
  <c r="AU293" i="28"/>
  <c r="AZ300" i="28"/>
  <c r="AE300" i="28" s="1"/>
  <c r="AY300" i="28"/>
  <c r="AU300" i="28"/>
  <c r="AX300" i="28"/>
  <c r="AT300" i="28"/>
  <c r="AV300" i="28"/>
  <c r="AW300" i="28" s="1"/>
  <c r="AY307" i="28"/>
  <c r="AZ307" i="28"/>
  <c r="AE307" i="28" s="1"/>
  <c r="AX307" i="28"/>
  <c r="AV307" i="28"/>
  <c r="AW307" i="28" s="1"/>
  <c r="AU307" i="28"/>
  <c r="AT307" i="28"/>
  <c r="AZ314" i="28"/>
  <c r="AE314" i="28" s="1"/>
  <c r="AY314" i="28"/>
  <c r="AX314" i="28"/>
  <c r="AT314" i="28"/>
  <c r="AU314" i="28"/>
  <c r="AV314" i="28"/>
  <c r="AW314" i="28" s="1"/>
  <c r="AY321" i="28"/>
  <c r="AZ321" i="28"/>
  <c r="AE321" i="28" s="1"/>
  <c r="AX321" i="28"/>
  <c r="AV321" i="28"/>
  <c r="AW321" i="28" s="1"/>
  <c r="AT321" i="28"/>
  <c r="AU321" i="28"/>
  <c r="AZ328" i="28"/>
  <c r="AE328" i="28" s="1"/>
  <c r="AY328" i="28"/>
  <c r="AV328" i="28"/>
  <c r="AW328" i="28" s="1"/>
  <c r="AU328" i="28"/>
  <c r="AX328" i="28"/>
  <c r="AT328" i="28"/>
  <c r="AY335" i="28"/>
  <c r="AZ335" i="28"/>
  <c r="AE335" i="28" s="1"/>
  <c r="AX335" i="28"/>
  <c r="AV335" i="28"/>
  <c r="AW335" i="28" s="1"/>
  <c r="AT335" i="28"/>
  <c r="AU335" i="28"/>
  <c r="AZ342" i="28"/>
  <c r="AE342" i="28" s="1"/>
  <c r="AV342" i="28"/>
  <c r="AW342" i="28" s="1"/>
  <c r="AT342" i="28"/>
  <c r="AY342" i="28"/>
  <c r="AU342" i="28"/>
  <c r="AX342" i="28"/>
  <c r="AY349" i="28"/>
  <c r="AZ349" i="28"/>
  <c r="AE349" i="28" s="1"/>
  <c r="AX349" i="28"/>
  <c r="AV349" i="28"/>
  <c r="AW349" i="28" s="1"/>
  <c r="AT349" i="28"/>
  <c r="AU349" i="28"/>
  <c r="AZ356" i="28"/>
  <c r="AE356" i="28" s="1"/>
  <c r="AX356" i="28"/>
  <c r="AU356" i="28"/>
  <c r="AY356" i="28"/>
  <c r="AV356" i="28"/>
  <c r="AW356" i="28" s="1"/>
  <c r="AT356" i="28"/>
  <c r="AY363" i="28"/>
  <c r="AZ363" i="28"/>
  <c r="AE363" i="28" s="1"/>
  <c r="AX363" i="28"/>
  <c r="AV363" i="28"/>
  <c r="AW363" i="28" s="1"/>
  <c r="AU363" i="28"/>
  <c r="AT363" i="28"/>
  <c r="AZ370" i="28"/>
  <c r="AE370" i="28" s="1"/>
  <c r="AY370" i="28"/>
  <c r="AU370" i="28"/>
  <c r="AT370" i="28"/>
  <c r="AV370" i="28"/>
  <c r="AW370" i="28" s="1"/>
  <c r="AX370" i="28"/>
  <c r="AY377" i="28"/>
  <c r="AZ377" i="28"/>
  <c r="AE377" i="28" s="1"/>
  <c r="AX377" i="28"/>
  <c r="AT377" i="28"/>
  <c r="AU377" i="28"/>
  <c r="AV377" i="28"/>
  <c r="AW377" i="28" s="1"/>
  <c r="AZ384" i="28"/>
  <c r="AE384" i="28" s="1"/>
  <c r="AX384" i="28"/>
  <c r="AY384" i="28"/>
  <c r="AU384" i="28"/>
  <c r="AV384" i="28"/>
  <c r="AW384" i="28" s="1"/>
  <c r="AT384" i="28"/>
  <c r="AY391" i="28"/>
  <c r="AZ391" i="28"/>
  <c r="AE391" i="28" s="1"/>
  <c r="AV391" i="28"/>
  <c r="AW391" i="28" s="1"/>
  <c r="AT391" i="28"/>
  <c r="AU391" i="28"/>
  <c r="AX391" i="28"/>
  <c r="AZ398" i="28"/>
  <c r="AE398" i="28" s="1"/>
  <c r="AY398" i="28"/>
  <c r="AU398" i="28"/>
  <c r="AV398" i="28"/>
  <c r="AW398" i="28" s="1"/>
  <c r="AT398" i="28"/>
  <c r="AX398" i="28"/>
  <c r="AY405" i="28"/>
  <c r="AZ405" i="28"/>
  <c r="AE405" i="28" s="1"/>
  <c r="AV405" i="28"/>
  <c r="AW405" i="28" s="1"/>
  <c r="AX405" i="28"/>
  <c r="AU405" i="28"/>
  <c r="AT405" i="28"/>
  <c r="AZ412" i="28"/>
  <c r="AE412" i="28" s="1"/>
  <c r="AX412" i="28"/>
  <c r="AY412" i="28"/>
  <c r="AV412" i="28"/>
  <c r="AW412" i="28" s="1"/>
  <c r="AU412" i="28"/>
  <c r="AT412" i="28"/>
  <c r="AY419" i="28"/>
  <c r="AZ419" i="28"/>
  <c r="AE419" i="28" s="1"/>
  <c r="AV419" i="28"/>
  <c r="AW419" i="28" s="1"/>
  <c r="AX419" i="28"/>
  <c r="AU419" i="28"/>
  <c r="AT419" i="28"/>
  <c r="AZ426" i="28"/>
  <c r="AE426" i="28" s="1"/>
  <c r="AY426" i="28"/>
  <c r="AU426" i="28"/>
  <c r="AV426" i="28"/>
  <c r="AW426" i="28" s="1"/>
  <c r="AT426" i="28"/>
  <c r="AX426" i="28"/>
  <c r="AY433" i="28"/>
  <c r="AZ433" i="28"/>
  <c r="AE433" i="28" s="1"/>
  <c r="AV433" i="28"/>
  <c r="AW433" i="28" s="1"/>
  <c r="AX433" i="28"/>
  <c r="AT433" i="28"/>
  <c r="AU433" i="28"/>
  <c r="AZ440" i="28"/>
  <c r="AE440" i="28" s="1"/>
  <c r="AX440" i="28"/>
  <c r="AU440" i="28"/>
  <c r="AY440" i="28"/>
  <c r="AV440" i="28"/>
  <c r="AW440" i="28" s="1"/>
  <c r="AT440" i="28"/>
  <c r="AY447" i="28"/>
  <c r="AZ447" i="28"/>
  <c r="AE447" i="28" s="1"/>
  <c r="AV447" i="28"/>
  <c r="AW447" i="28" s="1"/>
  <c r="AX447" i="28"/>
  <c r="AT447" i="28"/>
  <c r="AU447" i="28"/>
  <c r="AZ454" i="28"/>
  <c r="AE454" i="28" s="1"/>
  <c r="AY454" i="28"/>
  <c r="AV454" i="28"/>
  <c r="AW454" i="28" s="1"/>
  <c r="AX454" i="28"/>
  <c r="AT454" i="28"/>
  <c r="AU454" i="28"/>
  <c r="AY461" i="28"/>
  <c r="AZ461" i="28"/>
  <c r="AE461" i="28" s="1"/>
  <c r="AV461" i="28"/>
  <c r="AW461" i="28" s="1"/>
  <c r="AU461" i="28"/>
  <c r="AT461" i="28"/>
  <c r="AX461" i="28"/>
  <c r="AZ468" i="28"/>
  <c r="AE468" i="28" s="1"/>
  <c r="AT468" i="28"/>
  <c r="AX468" i="28"/>
  <c r="AU468" i="28"/>
  <c r="AY468" i="28"/>
  <c r="AV468" i="28"/>
  <c r="AW468" i="28" s="1"/>
  <c r="AY475" i="28"/>
  <c r="AZ475" i="28"/>
  <c r="AE475" i="28" s="1"/>
  <c r="AV475" i="28"/>
  <c r="AW475" i="28" s="1"/>
  <c r="AX475" i="28"/>
  <c r="AU475" i="28"/>
  <c r="AT475" i="28"/>
  <c r="AZ482" i="28"/>
  <c r="AE482" i="28" s="1"/>
  <c r="AX482" i="28"/>
  <c r="AY482" i="28"/>
  <c r="AU482" i="28"/>
  <c r="AV482" i="28"/>
  <c r="AW482" i="28" s="1"/>
  <c r="AT482" i="28"/>
  <c r="AY489" i="28"/>
  <c r="AZ489" i="28"/>
  <c r="AE489" i="28" s="1"/>
  <c r="AV489" i="28"/>
  <c r="AW489" i="28" s="1"/>
  <c r="AU489" i="28"/>
  <c r="AX489" i="28"/>
  <c r="AT489" i="28"/>
  <c r="AZ496" i="28"/>
  <c r="AE496" i="28" s="1"/>
  <c r="AX496" i="28"/>
  <c r="AV496" i="28"/>
  <c r="AW496" i="28" s="1"/>
  <c r="AU496" i="28"/>
  <c r="AY496" i="28"/>
  <c r="AT496" i="28"/>
  <c r="AY503" i="28"/>
  <c r="AZ503" i="28"/>
  <c r="AE503" i="28" s="1"/>
  <c r="AX503" i="28"/>
  <c r="AV503" i="28"/>
  <c r="AW503" i="28" s="1"/>
  <c r="AU503" i="28"/>
  <c r="AT503" i="28"/>
  <c r="AY225" i="28"/>
  <c r="AX225" i="28"/>
  <c r="AZ225" i="28"/>
  <c r="AE225" i="28" s="1"/>
  <c r="AT225" i="28"/>
  <c r="AU225" i="28"/>
  <c r="AV225" i="28"/>
  <c r="AW225" i="28" s="1"/>
  <c r="AV232" i="28"/>
  <c r="AW232" i="28" s="1"/>
  <c r="AU232" i="28"/>
  <c r="AZ232" i="28"/>
  <c r="AE232" i="28" s="1"/>
  <c r="AX232" i="28"/>
  <c r="AY232" i="28"/>
  <c r="AT232" i="28"/>
  <c r="AX239" i="28"/>
  <c r="AT239" i="28"/>
  <c r="AZ239" i="28"/>
  <c r="AE239" i="28" s="1"/>
  <c r="AU239" i="28"/>
  <c r="AY239" i="28"/>
  <c r="AV239" i="28"/>
  <c r="AW239" i="28" s="1"/>
  <c r="AY260" i="28"/>
  <c r="AV260" i="28"/>
  <c r="AW260" i="28" s="1"/>
  <c r="AU260" i="28"/>
  <c r="AX260" i="28"/>
  <c r="AZ260" i="28"/>
  <c r="AE260" i="28" s="1"/>
  <c r="AT260" i="28"/>
  <c r="AZ39" i="28"/>
  <c r="AE39" i="28" s="1"/>
  <c r="AT39" i="28"/>
  <c r="AV39" i="28" s="1"/>
  <c r="AY39" i="28"/>
  <c r="AX39" i="28"/>
  <c r="AU60" i="28"/>
  <c r="AT60" i="28"/>
  <c r="AY60" i="28"/>
  <c r="AV60" i="28"/>
  <c r="AW60" i="28" s="1"/>
  <c r="AX60" i="28"/>
  <c r="AZ60" i="28"/>
  <c r="AE60" i="28" s="1"/>
  <c r="AZ74" i="28"/>
  <c r="AE74" i="28" s="1"/>
  <c r="AU74" i="28"/>
  <c r="AT74" i="28"/>
  <c r="AV74" i="28"/>
  <c r="AW74" i="28" s="1"/>
  <c r="AY74" i="28"/>
  <c r="AX74" i="28"/>
  <c r="AZ95" i="28"/>
  <c r="AE95" i="28" s="1"/>
  <c r="AY95" i="28"/>
  <c r="AX95" i="28"/>
  <c r="AT95" i="28"/>
  <c r="AU95" i="28"/>
  <c r="AV95" i="28"/>
  <c r="AW95" i="28" s="1"/>
  <c r="AY102" i="28"/>
  <c r="AU102" i="28"/>
  <c r="AT102" i="28"/>
  <c r="AX102" i="28"/>
  <c r="AV102" i="28"/>
  <c r="AW102" i="28" s="1"/>
  <c r="AZ102" i="28"/>
  <c r="AE102" i="28" s="1"/>
  <c r="AZ109" i="28"/>
  <c r="AE109" i="28" s="1"/>
  <c r="AY109" i="28"/>
  <c r="AX109" i="28"/>
  <c r="AT109" i="28"/>
  <c r="AU109" i="28"/>
  <c r="AV109" i="28"/>
  <c r="AW109" i="28" s="1"/>
  <c r="AX123" i="28"/>
  <c r="AZ123" i="28"/>
  <c r="AE123" i="28" s="1"/>
  <c r="AV123" i="28"/>
  <c r="AW123" i="28" s="1"/>
  <c r="AY123" i="28"/>
  <c r="AU123" i="28"/>
  <c r="AT123" i="28"/>
  <c r="AZ144" i="28"/>
  <c r="AE144" i="28" s="1"/>
  <c r="AU144" i="28"/>
  <c r="AT144" i="28"/>
  <c r="AX144" i="28"/>
  <c r="AV144" i="28"/>
  <c r="AW144" i="28" s="1"/>
  <c r="AY144" i="28"/>
  <c r="AZ151" i="28"/>
  <c r="AE151" i="28" s="1"/>
  <c r="AY151" i="28"/>
  <c r="AT151" i="28"/>
  <c r="AX151" i="28"/>
  <c r="AU151" i="28"/>
  <c r="AV151" i="28"/>
  <c r="AW151" i="28" s="1"/>
  <c r="AX85" i="28"/>
  <c r="AT85" i="28"/>
  <c r="AV85" i="28"/>
  <c r="AW85" i="28" s="1"/>
  <c r="AU85" i="28"/>
  <c r="AY85" i="28"/>
  <c r="AZ85" i="28"/>
  <c r="AE85" i="28" s="1"/>
  <c r="AX253" i="28"/>
  <c r="AT253" i="28"/>
  <c r="AY253" i="28"/>
  <c r="AZ253" i="28"/>
  <c r="AE253" i="28" s="1"/>
  <c r="AV253" i="28"/>
  <c r="AW253" i="28" s="1"/>
  <c r="AU253" i="28"/>
  <c r="AZ337" i="28"/>
  <c r="AE337" i="28" s="1"/>
  <c r="AT337" i="28"/>
  <c r="AV337" i="28"/>
  <c r="AW337" i="28" s="1"/>
  <c r="AU337" i="28"/>
  <c r="AY337" i="28"/>
  <c r="AX337" i="28"/>
  <c r="AX358" i="28"/>
  <c r="AV358" i="28"/>
  <c r="AW358" i="28" s="1"/>
  <c r="AU358" i="28"/>
  <c r="AY358" i="28"/>
  <c r="AZ358" i="28"/>
  <c r="AE358" i="28" s="1"/>
  <c r="AT358" i="28"/>
  <c r="AX470" i="28"/>
  <c r="AV470" i="28"/>
  <c r="AW470" i="28" s="1"/>
  <c r="AU470" i="28"/>
  <c r="AY470" i="28"/>
  <c r="AZ470" i="28"/>
  <c r="AE470" i="28" s="1"/>
  <c r="AT470" i="28"/>
  <c r="AV262" i="28"/>
  <c r="AW262" i="28" s="1"/>
  <c r="AU262" i="28"/>
  <c r="AY262" i="28"/>
  <c r="AX262" i="28"/>
  <c r="AZ262" i="28"/>
  <c r="AE262" i="28" s="1"/>
  <c r="AT262" i="28"/>
  <c r="AZ269" i="28"/>
  <c r="AE269" i="28" s="1"/>
  <c r="AX269" i="28"/>
  <c r="AV269" i="28"/>
  <c r="AW269" i="28" s="1"/>
  <c r="AT269" i="28"/>
  <c r="AY269" i="28"/>
  <c r="AU269" i="28"/>
  <c r="AV50" i="28"/>
  <c r="AW50" i="28" s="1"/>
  <c r="AY50" i="28"/>
  <c r="AU50" i="28"/>
  <c r="AX50" i="28"/>
  <c r="AT50" i="28"/>
  <c r="AZ50" i="28"/>
  <c r="AE50" i="28" s="1"/>
  <c r="AX57" i="28"/>
  <c r="AT57" i="28"/>
  <c r="AV57" i="28"/>
  <c r="AW57" i="28" s="1"/>
  <c r="AZ57" i="28"/>
  <c r="AE57" i="28" s="1"/>
  <c r="AY57" i="28"/>
  <c r="AU57" i="28"/>
  <c r="AV246" i="28"/>
  <c r="AW246" i="28" s="1"/>
  <c r="AU246" i="28"/>
  <c r="AY246" i="28"/>
  <c r="AX246" i="28"/>
  <c r="AZ246" i="28"/>
  <c r="AE246" i="28" s="1"/>
  <c r="AT246" i="28"/>
  <c r="AT309" i="28"/>
  <c r="AZ309" i="28"/>
  <c r="AE309" i="28" s="1"/>
  <c r="AV309" i="28"/>
  <c r="AW309" i="28" s="1"/>
  <c r="AY309" i="28"/>
  <c r="AU309" i="28"/>
  <c r="AX309" i="28"/>
  <c r="AX316" i="28"/>
  <c r="AV316" i="28"/>
  <c r="AW316" i="28" s="1"/>
  <c r="AU316" i="28"/>
  <c r="AZ316" i="28"/>
  <c r="AE316" i="28" s="1"/>
  <c r="AY316" i="28"/>
  <c r="AT316" i="28"/>
  <c r="AX323" i="28"/>
  <c r="AT323" i="28"/>
  <c r="AY323" i="28"/>
  <c r="AU323" i="28"/>
  <c r="AZ323" i="28"/>
  <c r="AE323" i="28" s="1"/>
  <c r="AV323" i="28"/>
  <c r="AW323" i="28" s="1"/>
  <c r="AX330" i="28"/>
  <c r="AY330" i="28"/>
  <c r="AV330" i="28"/>
  <c r="AW330" i="28" s="1"/>
  <c r="AU330" i="28"/>
  <c r="AZ330" i="28"/>
  <c r="AE330" i="28" s="1"/>
  <c r="AT330" i="28"/>
  <c r="AZ87" i="28"/>
  <c r="AE87" i="28" s="1"/>
  <c r="AX87" i="28"/>
  <c r="AU87" i="28"/>
  <c r="AT87" i="28"/>
  <c r="AY87" i="28"/>
  <c r="AV87" i="28"/>
  <c r="AW87" i="28" s="1"/>
  <c r="AZ143" i="28"/>
  <c r="AE143" i="28" s="1"/>
  <c r="AX143" i="28"/>
  <c r="AT143" i="28"/>
  <c r="AU143" i="28"/>
  <c r="AV143" i="28"/>
  <c r="AW143" i="28" s="1"/>
  <c r="AY143" i="28"/>
  <c r="AZ150" i="28"/>
  <c r="AE150" i="28" s="1"/>
  <c r="AV150" i="28"/>
  <c r="AW150" i="28" s="1"/>
  <c r="AU150" i="28"/>
  <c r="AY150" i="28"/>
  <c r="AX150" i="28"/>
  <c r="AT150" i="28"/>
  <c r="AZ171" i="28"/>
  <c r="AE171" i="28" s="1"/>
  <c r="AX171" i="28"/>
  <c r="AY171" i="28"/>
  <c r="AU171" i="28"/>
  <c r="AV171" i="28"/>
  <c r="AW171" i="28" s="1"/>
  <c r="AT171" i="28"/>
  <c r="AV220" i="28"/>
  <c r="AW220" i="28" s="1"/>
  <c r="AY220" i="28"/>
  <c r="AT220" i="28"/>
  <c r="AX220" i="28"/>
  <c r="AU220" i="28"/>
  <c r="AZ220" i="28"/>
  <c r="AE220" i="28" s="1"/>
  <c r="AZ248" i="28"/>
  <c r="AE248" i="28" s="1"/>
  <c r="AY248" i="28"/>
  <c r="AX248" i="28"/>
  <c r="AV248" i="28"/>
  <c r="AW248" i="28" s="1"/>
  <c r="AU248" i="28"/>
  <c r="AT248" i="28"/>
  <c r="AZ381" i="28"/>
  <c r="AE381" i="28" s="1"/>
  <c r="AX381" i="28"/>
  <c r="AY381" i="28"/>
  <c r="AT381" i="28"/>
  <c r="AU381" i="28"/>
  <c r="AV381" i="28"/>
  <c r="AW381" i="28" s="1"/>
  <c r="AY388" i="28"/>
  <c r="AV388" i="28"/>
  <c r="AW388" i="28" s="1"/>
  <c r="AU388" i="28"/>
  <c r="AZ388" i="28"/>
  <c r="AE388" i="28" s="1"/>
  <c r="AX388" i="28"/>
  <c r="AT388" i="28"/>
  <c r="AX430" i="28"/>
  <c r="AY430" i="28"/>
  <c r="AZ430" i="28"/>
  <c r="AE430" i="28" s="1"/>
  <c r="AT430" i="28"/>
  <c r="AV430" i="28"/>
  <c r="AW430" i="28" s="1"/>
  <c r="AU430" i="28"/>
  <c r="AZ437" i="28"/>
  <c r="AE437" i="28" s="1"/>
  <c r="AV437" i="28"/>
  <c r="AW437" i="28" s="1"/>
  <c r="AY437" i="28"/>
  <c r="AT437" i="28"/>
  <c r="AU437" i="28"/>
  <c r="AX437" i="28"/>
  <c r="AZ479" i="28"/>
  <c r="AE479" i="28" s="1"/>
  <c r="AY479" i="28"/>
  <c r="AV479" i="28"/>
  <c r="AW479" i="28" s="1"/>
  <c r="AX479" i="28"/>
  <c r="AT479" i="28"/>
  <c r="AU479" i="28"/>
  <c r="AY486" i="28"/>
  <c r="AV486" i="28"/>
  <c r="AW486" i="28" s="1"/>
  <c r="AZ486" i="28"/>
  <c r="AE486" i="28" s="1"/>
  <c r="AU486" i="28"/>
  <c r="AT486" i="28"/>
  <c r="AX486" i="28"/>
  <c r="AX507" i="28"/>
  <c r="AZ507" i="28" s="1"/>
  <c r="AT507" i="28"/>
  <c r="AV507" i="28" s="1"/>
  <c r="AW507" i="28" s="1"/>
  <c r="AY40" i="28"/>
  <c r="AZ40" i="28"/>
  <c r="AE40" i="28" s="1"/>
  <c r="AX40" i="28"/>
  <c r="AT40" i="28"/>
  <c r="AR40" i="28" s="1"/>
  <c r="AY47" i="28"/>
  <c r="AU47" i="28"/>
  <c r="AZ47" i="28"/>
  <c r="AE47" i="28" s="1"/>
  <c r="AX47" i="28"/>
  <c r="AT47" i="28"/>
  <c r="AV47" i="28"/>
  <c r="AW47" i="28" s="1"/>
  <c r="AY54" i="28"/>
  <c r="AV54" i="28"/>
  <c r="AW54" i="28" s="1"/>
  <c r="AX54" i="28"/>
  <c r="AZ54" i="28"/>
  <c r="AE54" i="28" s="1"/>
  <c r="AT54" i="28"/>
  <c r="AU54" i="28"/>
  <c r="AU61" i="28"/>
  <c r="AY61" i="28"/>
  <c r="AX61" i="28"/>
  <c r="AZ61" i="28"/>
  <c r="AE61" i="28" s="1"/>
  <c r="AV61" i="28"/>
  <c r="AW61" i="28" s="1"/>
  <c r="AT61" i="28"/>
  <c r="AY68" i="28"/>
  <c r="AX68" i="28"/>
  <c r="AV68" i="28"/>
  <c r="AW68" i="28" s="1"/>
  <c r="AZ68" i="28"/>
  <c r="AE68" i="28" s="1"/>
  <c r="AU68" i="28"/>
  <c r="AT68" i="28"/>
  <c r="AU75" i="28"/>
  <c r="AX75" i="28"/>
  <c r="AV75" i="28"/>
  <c r="AW75" i="28" s="1"/>
  <c r="AZ75" i="28"/>
  <c r="AE75" i="28" s="1"/>
  <c r="AT75" i="28"/>
  <c r="AY75" i="28"/>
  <c r="AY82" i="28"/>
  <c r="AV82" i="28"/>
  <c r="AW82" i="28" s="1"/>
  <c r="AZ82" i="28"/>
  <c r="AE82" i="28" s="1"/>
  <c r="AX82" i="28"/>
  <c r="AU82" i="28"/>
  <c r="AT82" i="28"/>
  <c r="AZ89" i="28"/>
  <c r="AE89" i="28" s="1"/>
  <c r="AX89" i="28"/>
  <c r="AU89" i="28"/>
  <c r="AY89" i="28"/>
  <c r="AV89" i="28"/>
  <c r="AW89" i="28" s="1"/>
  <c r="AT89" i="28"/>
  <c r="AY96" i="28"/>
  <c r="AV96" i="28"/>
  <c r="AW96" i="28" s="1"/>
  <c r="AZ96" i="28"/>
  <c r="AE96" i="28" s="1"/>
  <c r="AT96" i="28"/>
  <c r="AX96" i="28"/>
  <c r="AU96" i="28"/>
  <c r="AU103" i="28"/>
  <c r="AT103" i="28"/>
  <c r="AX103" i="28"/>
  <c r="AV103" i="28"/>
  <c r="AW103" i="28" s="1"/>
  <c r="AZ103" i="28"/>
  <c r="AE103" i="28" s="1"/>
  <c r="AY103" i="28"/>
  <c r="AY110" i="28"/>
  <c r="AZ110" i="28"/>
  <c r="AE110" i="28" s="1"/>
  <c r="AV110" i="28"/>
  <c r="AW110" i="28" s="1"/>
  <c r="AX110" i="28"/>
  <c r="AU110" i="28"/>
  <c r="AT110" i="28"/>
  <c r="AY117" i="28"/>
  <c r="AU117" i="28"/>
  <c r="AZ117" i="28"/>
  <c r="AE117" i="28" s="1"/>
  <c r="AT117" i="28"/>
  <c r="AV117" i="28"/>
  <c r="AW117" i="28" s="1"/>
  <c r="AX117" i="28"/>
  <c r="AY124" i="28"/>
  <c r="AV124" i="28"/>
  <c r="AW124" i="28" s="1"/>
  <c r="AX124" i="28"/>
  <c r="AZ124" i="28"/>
  <c r="AE124" i="28" s="1"/>
  <c r="AU124" i="28"/>
  <c r="AT124" i="28"/>
  <c r="AZ131" i="28"/>
  <c r="AE131" i="28" s="1"/>
  <c r="AU131" i="28"/>
  <c r="AX131" i="28"/>
  <c r="AY131" i="28"/>
  <c r="AV131" i="28"/>
  <c r="AW131" i="28" s="1"/>
  <c r="AT131" i="28"/>
  <c r="AY138" i="28"/>
  <c r="AV138" i="28"/>
  <c r="AW138" i="28" s="1"/>
  <c r="AU138" i="28"/>
  <c r="AZ138" i="28"/>
  <c r="AE138" i="28" s="1"/>
  <c r="AX138" i="28"/>
  <c r="AT138" i="28"/>
  <c r="AZ145" i="28"/>
  <c r="AE145" i="28" s="1"/>
  <c r="AU145" i="28"/>
  <c r="AT145" i="28"/>
  <c r="AV145" i="28"/>
  <c r="AW145" i="28" s="1"/>
  <c r="AX145" i="28"/>
  <c r="AY145" i="28"/>
  <c r="AY152" i="28"/>
  <c r="AZ152" i="28"/>
  <c r="AE152" i="28" s="1"/>
  <c r="AV152" i="28"/>
  <c r="AW152" i="28" s="1"/>
  <c r="AX152" i="28"/>
  <c r="AT152" i="28"/>
  <c r="AU152" i="28"/>
  <c r="AY159" i="28"/>
  <c r="AU159" i="28"/>
  <c r="AX159" i="28"/>
  <c r="AZ159" i="28"/>
  <c r="AE159" i="28" s="1"/>
  <c r="AT159" i="28"/>
  <c r="AV159" i="28"/>
  <c r="AW159" i="28" s="1"/>
  <c r="AY166" i="28"/>
  <c r="AV166" i="28"/>
  <c r="AW166" i="28" s="1"/>
  <c r="AX166" i="28"/>
  <c r="AZ166" i="28"/>
  <c r="AE166" i="28" s="1"/>
  <c r="AU166" i="28"/>
  <c r="AT166" i="28"/>
  <c r="AY173" i="28"/>
  <c r="AU173" i="28"/>
  <c r="AZ173" i="28"/>
  <c r="AE173" i="28" s="1"/>
  <c r="AV173" i="28"/>
  <c r="AW173" i="28" s="1"/>
  <c r="AT173" i="28"/>
  <c r="AX173" i="28"/>
  <c r="AY180" i="28"/>
  <c r="AX180" i="28"/>
  <c r="AV180" i="28"/>
  <c r="AW180" i="28" s="1"/>
  <c r="AT180" i="28"/>
  <c r="AU180" i="28"/>
  <c r="AZ180" i="28"/>
  <c r="AE180" i="28" s="1"/>
  <c r="AU187" i="28"/>
  <c r="AV187" i="28"/>
  <c r="AW187" i="28" s="1"/>
  <c r="AZ187" i="28"/>
  <c r="AE187" i="28" s="1"/>
  <c r="AY187" i="28"/>
  <c r="AX187" i="28"/>
  <c r="AT187" i="28"/>
  <c r="AY194" i="28"/>
  <c r="AX194" i="28"/>
  <c r="AV194" i="28"/>
  <c r="AW194" i="28" s="1"/>
  <c r="AZ194" i="28"/>
  <c r="AE194" i="28" s="1"/>
  <c r="AU194" i="28"/>
  <c r="AT194" i="28"/>
  <c r="AZ201" i="28"/>
  <c r="AE201" i="28" s="1"/>
  <c r="AU201" i="28"/>
  <c r="AY201" i="28"/>
  <c r="AT201" i="28"/>
  <c r="AX201" i="28"/>
  <c r="AV201" i="28"/>
  <c r="AW201" i="28" s="1"/>
  <c r="AY208" i="28"/>
  <c r="AZ208" i="28"/>
  <c r="AE208" i="28" s="1"/>
  <c r="AV208" i="28"/>
  <c r="AW208" i="28" s="1"/>
  <c r="AU208" i="28"/>
  <c r="AX208" i="28"/>
  <c r="AT208" i="28"/>
  <c r="AU215" i="28"/>
  <c r="AX215" i="28"/>
  <c r="AT215" i="28"/>
  <c r="AZ215" i="28"/>
  <c r="AE215" i="28" s="1"/>
  <c r="AY215" i="28"/>
  <c r="AV215" i="28"/>
  <c r="AW215" i="28" s="1"/>
  <c r="AY222" i="28"/>
  <c r="AV222" i="28"/>
  <c r="AW222" i="28" s="1"/>
  <c r="AZ222" i="28"/>
  <c r="AE222" i="28" s="1"/>
  <c r="AU222" i="28"/>
  <c r="AT222" i="28"/>
  <c r="AX222" i="28"/>
  <c r="AZ229" i="28"/>
  <c r="AE229" i="28" s="1"/>
  <c r="AU229" i="28"/>
  <c r="AY229" i="28"/>
  <c r="AX229" i="28"/>
  <c r="AV229" i="28"/>
  <c r="AW229" i="28" s="1"/>
  <c r="AT229" i="28"/>
  <c r="AY236" i="28"/>
  <c r="AV236" i="28"/>
  <c r="AW236" i="28" s="1"/>
  <c r="AZ236" i="28"/>
  <c r="AE236" i="28" s="1"/>
  <c r="AU236" i="28"/>
  <c r="AX236" i="28"/>
  <c r="AT236" i="28"/>
  <c r="AY243" i="28"/>
  <c r="AU243" i="28"/>
  <c r="AX243" i="28"/>
  <c r="AV243" i="28"/>
  <c r="AW243" i="28" s="1"/>
  <c r="AZ243" i="28"/>
  <c r="AE243" i="28" s="1"/>
  <c r="AT243" i="28"/>
  <c r="AY250" i="28"/>
  <c r="AV250" i="28"/>
  <c r="AW250" i="28" s="1"/>
  <c r="AZ250" i="28"/>
  <c r="AE250" i="28" s="1"/>
  <c r="AT250" i="28"/>
  <c r="AX250" i="28"/>
  <c r="AU250" i="28"/>
  <c r="AZ257" i="28"/>
  <c r="AE257" i="28" s="1"/>
  <c r="AU257" i="28"/>
  <c r="AY257" i="28"/>
  <c r="AX257" i="28"/>
  <c r="AV257" i="28"/>
  <c r="AW257" i="28" s="1"/>
  <c r="AT257" i="28"/>
  <c r="AY264" i="28"/>
  <c r="AX264" i="28"/>
  <c r="AV264" i="28"/>
  <c r="AW264" i="28" s="1"/>
  <c r="AZ264" i="28"/>
  <c r="AE264" i="28" s="1"/>
  <c r="AU264" i="28"/>
  <c r="AT264" i="28"/>
  <c r="AY271" i="28"/>
  <c r="AU271" i="28"/>
  <c r="AZ271" i="28"/>
  <c r="AE271" i="28" s="1"/>
  <c r="AV271" i="28"/>
  <c r="AW271" i="28" s="1"/>
  <c r="AX271" i="28"/>
  <c r="AT271" i="28"/>
  <c r="AY278" i="28"/>
  <c r="AX278" i="28"/>
  <c r="AV278" i="28"/>
  <c r="AW278" i="28" s="1"/>
  <c r="AZ278" i="28"/>
  <c r="AE278" i="28" s="1"/>
  <c r="AU278" i="28"/>
  <c r="AT278" i="28"/>
  <c r="AX285" i="28"/>
  <c r="AU285" i="28"/>
  <c r="AV285" i="28"/>
  <c r="AW285" i="28" s="1"/>
  <c r="AZ285" i="28"/>
  <c r="AE285" i="28" s="1"/>
  <c r="AY285" i="28"/>
  <c r="AT285" i="28"/>
  <c r="AY292" i="28"/>
  <c r="AX292" i="28"/>
  <c r="AV292" i="28"/>
  <c r="AW292" i="28" s="1"/>
  <c r="AT292" i="28"/>
  <c r="AU292" i="28"/>
  <c r="AZ292" i="28"/>
  <c r="AE292" i="28" s="1"/>
  <c r="AU299" i="28"/>
  <c r="AY299" i="28"/>
  <c r="AZ299" i="28"/>
  <c r="AE299" i="28" s="1"/>
  <c r="AV299" i="28"/>
  <c r="AW299" i="28" s="1"/>
  <c r="AT299" i="28"/>
  <c r="AX299" i="28"/>
  <c r="AY306" i="28"/>
  <c r="AX306" i="28"/>
  <c r="AZ306" i="28"/>
  <c r="AE306" i="28" s="1"/>
  <c r="AV306" i="28"/>
  <c r="AW306" i="28" s="1"/>
  <c r="AT306" i="28"/>
  <c r="AU306" i="28"/>
  <c r="AY313" i="28"/>
  <c r="AZ313" i="28"/>
  <c r="AE313" i="28" s="1"/>
  <c r="AU313" i="28"/>
  <c r="AX313" i="28"/>
  <c r="AT313" i="28"/>
  <c r="AV313" i="28"/>
  <c r="AW313" i="28" s="1"/>
  <c r="AY320" i="28"/>
  <c r="AX320" i="28"/>
  <c r="AV320" i="28"/>
  <c r="AW320" i="28" s="1"/>
  <c r="AZ320" i="28"/>
  <c r="AE320" i="28" s="1"/>
  <c r="AT320" i="28"/>
  <c r="AU320" i="28"/>
  <c r="AZ327" i="28"/>
  <c r="AE327" i="28" s="1"/>
  <c r="AU327" i="28"/>
  <c r="AY327" i="28"/>
  <c r="AV327" i="28"/>
  <c r="AW327" i="28" s="1"/>
  <c r="AX327" i="28"/>
  <c r="AT327" i="28"/>
  <c r="AY334" i="28"/>
  <c r="AX334" i="28"/>
  <c r="AV334" i="28"/>
  <c r="AW334" i="28" s="1"/>
  <c r="AU334" i="28"/>
  <c r="AZ334" i="28"/>
  <c r="AE334" i="28" s="1"/>
  <c r="AT334" i="28"/>
  <c r="AX341" i="28"/>
  <c r="AU341" i="28"/>
  <c r="AY341" i="28"/>
  <c r="AV341" i="28"/>
  <c r="AW341" i="28" s="1"/>
  <c r="AZ341" i="28"/>
  <c r="AE341" i="28" s="1"/>
  <c r="AT341" i="28"/>
  <c r="AY348" i="28"/>
  <c r="AX348" i="28"/>
  <c r="AV348" i="28"/>
  <c r="AW348" i="28" s="1"/>
  <c r="AZ348" i="28"/>
  <c r="AE348" i="28" s="1"/>
  <c r="AU348" i="28"/>
  <c r="AT348" i="28"/>
  <c r="AX355" i="28"/>
  <c r="AU355" i="28"/>
  <c r="AZ355" i="28"/>
  <c r="AE355" i="28" s="1"/>
  <c r="AV355" i="28"/>
  <c r="AW355" i="28" s="1"/>
  <c r="AY355" i="28"/>
  <c r="AT355" i="28"/>
  <c r="AY362" i="28"/>
  <c r="AX362" i="28"/>
  <c r="AZ362" i="28"/>
  <c r="AE362" i="28" s="1"/>
  <c r="AV362" i="28"/>
  <c r="AW362" i="28" s="1"/>
  <c r="AT362" i="28"/>
  <c r="AU362" i="28"/>
  <c r="AY369" i="28"/>
  <c r="AU369" i="28"/>
  <c r="AZ369" i="28"/>
  <c r="AE369" i="28" s="1"/>
  <c r="AT369" i="28"/>
  <c r="AV369" i="28"/>
  <c r="AW369" i="28" s="1"/>
  <c r="AX369" i="28"/>
  <c r="AY376" i="28"/>
  <c r="AX376" i="28"/>
  <c r="AV376" i="28"/>
  <c r="AW376" i="28" s="1"/>
  <c r="AT376" i="28"/>
  <c r="AU376" i="28"/>
  <c r="AZ376" i="28"/>
  <c r="AE376" i="28" s="1"/>
  <c r="AU383" i="28"/>
  <c r="AZ383" i="28"/>
  <c r="AE383" i="28" s="1"/>
  <c r="AV383" i="28"/>
  <c r="AW383" i="28" s="1"/>
  <c r="AX383" i="28"/>
  <c r="AT383" i="28"/>
  <c r="AY383" i="28"/>
  <c r="AY390" i="28"/>
  <c r="AX390" i="28"/>
  <c r="AV390" i="28"/>
  <c r="AW390" i="28" s="1"/>
  <c r="AZ390" i="28"/>
  <c r="AE390" i="28" s="1"/>
  <c r="AU390" i="28"/>
  <c r="AT390" i="28"/>
  <c r="AU397" i="28"/>
  <c r="AY397" i="28"/>
  <c r="AT397" i="28"/>
  <c r="AX397" i="28"/>
  <c r="AV397" i="28"/>
  <c r="AW397" i="28" s="1"/>
  <c r="AZ397" i="28"/>
  <c r="AE397" i="28" s="1"/>
  <c r="AY404" i="28"/>
  <c r="AX404" i="28"/>
  <c r="AZ404" i="28"/>
  <c r="AE404" i="28" s="1"/>
  <c r="AV404" i="28"/>
  <c r="AW404" i="28" s="1"/>
  <c r="AU404" i="28"/>
  <c r="AT404" i="28"/>
  <c r="AX411" i="28"/>
  <c r="AY411" i="28"/>
  <c r="AU411" i="28"/>
  <c r="AV411" i="28"/>
  <c r="AW411" i="28" s="1"/>
  <c r="AT411" i="28"/>
  <c r="AZ411" i="28"/>
  <c r="AE411" i="28" s="1"/>
  <c r="AY418" i="28"/>
  <c r="AX418" i="28"/>
  <c r="AV418" i="28"/>
  <c r="AW418" i="28" s="1"/>
  <c r="AZ418" i="28"/>
  <c r="AE418" i="28" s="1"/>
  <c r="AU418" i="28"/>
  <c r="AT418" i="28"/>
  <c r="AZ425" i="28"/>
  <c r="AE425" i="28" s="1"/>
  <c r="AY425" i="28"/>
  <c r="AU425" i="28"/>
  <c r="AX425" i="28"/>
  <c r="AV425" i="28"/>
  <c r="AW425" i="28" s="1"/>
  <c r="AT425" i="28"/>
  <c r="AY432" i="28"/>
  <c r="AX432" i="28"/>
  <c r="AV432" i="28"/>
  <c r="AW432" i="28" s="1"/>
  <c r="AZ432" i="28"/>
  <c r="AE432" i="28" s="1"/>
  <c r="AT432" i="28"/>
  <c r="AU432" i="28"/>
  <c r="AU439" i="28"/>
  <c r="AV439" i="28"/>
  <c r="AW439" i="28" s="1"/>
  <c r="AX439" i="28"/>
  <c r="AY439" i="28"/>
  <c r="AT439" i="28"/>
  <c r="AZ439" i="28"/>
  <c r="AE439" i="28" s="1"/>
  <c r="AY446" i="28"/>
  <c r="AX446" i="28"/>
  <c r="AV446" i="28"/>
  <c r="AW446" i="28" s="1"/>
  <c r="AZ446" i="28"/>
  <c r="AE446" i="28" s="1"/>
  <c r="AU446" i="28"/>
  <c r="AT446" i="28"/>
  <c r="AV453" i="28"/>
  <c r="AW453" i="28" s="1"/>
  <c r="AU453" i="28"/>
  <c r="AY453" i="28"/>
  <c r="AX453" i="28"/>
  <c r="AT453" i="28"/>
  <c r="AZ453" i="28"/>
  <c r="AE453" i="28" s="1"/>
  <c r="AY460" i="28"/>
  <c r="AX460" i="28"/>
  <c r="AV460" i="28"/>
  <c r="AW460" i="28" s="1"/>
  <c r="AZ460" i="28"/>
  <c r="AE460" i="28" s="1"/>
  <c r="AU460" i="28"/>
  <c r="AT460" i="28"/>
  <c r="AY467" i="28"/>
  <c r="AU467" i="28"/>
  <c r="AT467" i="28"/>
  <c r="AZ467" i="28"/>
  <c r="AE467" i="28" s="1"/>
  <c r="AV467" i="28"/>
  <c r="AW467" i="28" s="1"/>
  <c r="AX467" i="28"/>
  <c r="AY474" i="28"/>
  <c r="AX474" i="28"/>
  <c r="AV474" i="28"/>
  <c r="AW474" i="28" s="1"/>
  <c r="AZ474" i="28"/>
  <c r="AE474" i="28" s="1"/>
  <c r="AU474" i="28"/>
  <c r="AT474" i="28"/>
  <c r="AX481" i="28"/>
  <c r="AU481" i="28"/>
  <c r="AY481" i="28"/>
  <c r="AV481" i="28"/>
  <c r="AW481" i="28" s="1"/>
  <c r="AZ481" i="28"/>
  <c r="AE481" i="28" s="1"/>
  <c r="AT481" i="28"/>
  <c r="AY488" i="28"/>
  <c r="AX488" i="28"/>
  <c r="AV488" i="28"/>
  <c r="AW488" i="28" s="1"/>
  <c r="AU488" i="28"/>
  <c r="AZ488" i="28"/>
  <c r="AE488" i="28" s="1"/>
  <c r="AT488" i="28"/>
  <c r="AU495" i="28"/>
  <c r="AZ495" i="28"/>
  <c r="AE495" i="28" s="1"/>
  <c r="AT495" i="28"/>
  <c r="AY495" i="28"/>
  <c r="AX495" i="28"/>
  <c r="AV495" i="28"/>
  <c r="AW495" i="28" s="1"/>
  <c r="AY502" i="28"/>
  <c r="AX502" i="28"/>
  <c r="AZ502" i="28"/>
  <c r="AE502" i="28" s="1"/>
  <c r="AV502" i="28"/>
  <c r="AW502" i="28" s="1"/>
  <c r="AT502" i="28"/>
  <c r="AU502" i="28"/>
  <c r="AZ444" i="28"/>
  <c r="AE444" i="28" s="1"/>
  <c r="AY444" i="28"/>
  <c r="AX444" i="28"/>
  <c r="AU444" i="28"/>
  <c r="AT444" i="28"/>
  <c r="AV444" i="28"/>
  <c r="AW444" i="28" s="1"/>
  <c r="AZ451" i="28"/>
  <c r="AE451" i="28" s="1"/>
  <c r="AY451" i="28"/>
  <c r="AX451" i="28"/>
  <c r="AV451" i="28"/>
  <c r="AW451" i="28" s="1"/>
  <c r="AT451" i="28"/>
  <c r="AU451" i="28"/>
  <c r="AX43" i="28"/>
  <c r="AY43" i="28"/>
  <c r="AT43" i="28"/>
  <c r="AZ43" i="28"/>
  <c r="AE43" i="28" s="1"/>
  <c r="AV43" i="28"/>
  <c r="AW43" i="28" s="1"/>
  <c r="AU43" i="28"/>
  <c r="AY64" i="28"/>
  <c r="AZ64" i="28"/>
  <c r="AE64" i="28" s="1"/>
  <c r="AV64" i="28"/>
  <c r="AW64" i="28" s="1"/>
  <c r="AU64" i="28"/>
  <c r="AX64" i="28"/>
  <c r="AT64" i="28"/>
  <c r="AZ71" i="28"/>
  <c r="AE71" i="28" s="1"/>
  <c r="AX71" i="28"/>
  <c r="AT71" i="28"/>
  <c r="AY71" i="28"/>
  <c r="AV71" i="28"/>
  <c r="AW71" i="28" s="1"/>
  <c r="AU71" i="28"/>
  <c r="AV78" i="28"/>
  <c r="AW78" i="28" s="1"/>
  <c r="AU78" i="28"/>
  <c r="AZ78" i="28"/>
  <c r="AE78" i="28" s="1"/>
  <c r="AX78" i="28"/>
  <c r="AY78" i="28"/>
  <c r="AT78" i="28"/>
  <c r="AZ281" i="28"/>
  <c r="AE281" i="28" s="1"/>
  <c r="AT281" i="28"/>
  <c r="AX281" i="28"/>
  <c r="AV281" i="28"/>
  <c r="AW281" i="28" s="1"/>
  <c r="AU281" i="28"/>
  <c r="AY281" i="28"/>
  <c r="AX288" i="28"/>
  <c r="AZ288" i="28"/>
  <c r="AE288" i="28" s="1"/>
  <c r="AV288" i="28"/>
  <c r="AW288" i="28" s="1"/>
  <c r="AU288" i="28"/>
  <c r="AY288" i="28"/>
  <c r="AT288" i="28"/>
  <c r="AX344" i="28"/>
  <c r="AY344" i="28"/>
  <c r="AV344" i="28"/>
  <c r="AW344" i="28" s="1"/>
  <c r="AU344" i="28"/>
  <c r="AZ344" i="28"/>
  <c r="AE344" i="28" s="1"/>
  <c r="AT344" i="28"/>
  <c r="AY351" i="28"/>
  <c r="AT351" i="28"/>
  <c r="AZ351" i="28"/>
  <c r="AE351" i="28" s="1"/>
  <c r="AU351" i="28"/>
  <c r="AX351" i="28"/>
  <c r="AV351" i="28"/>
  <c r="AW351" i="28" s="1"/>
  <c r="AT379" i="28"/>
  <c r="AX379" i="28"/>
  <c r="AZ379" i="28"/>
  <c r="AE379" i="28" s="1"/>
  <c r="AV379" i="28"/>
  <c r="AW379" i="28" s="1"/>
  <c r="AU379" i="28"/>
  <c r="AY379" i="28"/>
  <c r="AT435" i="28"/>
  <c r="AV435" i="28"/>
  <c r="AW435" i="28" s="1"/>
  <c r="AY435" i="28"/>
  <c r="AZ435" i="28"/>
  <c r="AE435" i="28" s="1"/>
  <c r="AU435" i="28"/>
  <c r="AX435" i="28"/>
  <c r="AT477" i="28"/>
  <c r="AX477" i="28"/>
  <c r="AV477" i="28"/>
  <c r="AW477" i="28" s="1"/>
  <c r="AY477" i="28"/>
  <c r="AZ477" i="28"/>
  <c r="AE477" i="28" s="1"/>
  <c r="AU477" i="28"/>
  <c r="AX484" i="28"/>
  <c r="AZ484" i="28"/>
  <c r="AE484" i="28" s="1"/>
  <c r="AY484" i="28"/>
  <c r="AU484" i="28"/>
  <c r="AT484" i="28"/>
  <c r="AV484" i="28"/>
  <c r="AW484" i="28" s="1"/>
  <c r="AY66" i="28"/>
  <c r="AU66" i="28"/>
  <c r="AX66" i="28"/>
  <c r="AV66" i="28"/>
  <c r="AW66" i="28" s="1"/>
  <c r="AT66" i="28"/>
  <c r="AZ66" i="28"/>
  <c r="AE66" i="28" s="1"/>
  <c r="AX122" i="28"/>
  <c r="AZ122" i="28"/>
  <c r="AE122" i="28" s="1"/>
  <c r="AV122" i="28"/>
  <c r="AW122" i="28" s="1"/>
  <c r="AU122" i="28"/>
  <c r="AY122" i="28"/>
  <c r="AT122" i="28"/>
  <c r="AZ129" i="28"/>
  <c r="AE129" i="28" s="1"/>
  <c r="AX129" i="28"/>
  <c r="AY129" i="28"/>
  <c r="AV129" i="28"/>
  <c r="AW129" i="28" s="1"/>
  <c r="AU129" i="28"/>
  <c r="AT129" i="28"/>
  <c r="AZ157" i="28"/>
  <c r="AE157" i="28" s="1"/>
  <c r="AX157" i="28"/>
  <c r="AY157" i="28"/>
  <c r="AV157" i="28"/>
  <c r="AW157" i="28" s="1"/>
  <c r="AT157" i="28"/>
  <c r="AU157" i="28"/>
  <c r="AV164" i="28"/>
  <c r="AW164" i="28" s="1"/>
  <c r="AY164" i="28"/>
  <c r="AX164" i="28"/>
  <c r="AU164" i="28"/>
  <c r="AT164" i="28"/>
  <c r="AZ164" i="28"/>
  <c r="AE164" i="28" s="1"/>
  <c r="AZ199" i="28"/>
  <c r="AE199" i="28" s="1"/>
  <c r="AX199" i="28"/>
  <c r="AY199" i="28"/>
  <c r="AV199" i="28"/>
  <c r="AW199" i="28" s="1"/>
  <c r="AT199" i="28"/>
  <c r="AU199" i="28"/>
  <c r="AY206" i="28"/>
  <c r="AV206" i="28"/>
  <c r="AW206" i="28" s="1"/>
  <c r="AX206" i="28"/>
  <c r="AT206" i="28"/>
  <c r="AZ206" i="28"/>
  <c r="AE206" i="28" s="1"/>
  <c r="AU206" i="28"/>
  <c r="AZ213" i="28"/>
  <c r="AE213" i="28" s="1"/>
  <c r="AX213" i="28"/>
  <c r="AY213" i="28"/>
  <c r="AU213" i="28"/>
  <c r="AV213" i="28"/>
  <c r="AW213" i="28" s="1"/>
  <c r="AT213" i="28"/>
  <c r="AZ255" i="28"/>
  <c r="AE255" i="28" s="1"/>
  <c r="AX255" i="28"/>
  <c r="AY255" i="28"/>
  <c r="AT255" i="28"/>
  <c r="AV255" i="28"/>
  <c r="AW255" i="28" s="1"/>
  <c r="AU255" i="28"/>
  <c r="AY276" i="28"/>
  <c r="AV276" i="28"/>
  <c r="AW276" i="28" s="1"/>
  <c r="AZ276" i="28"/>
  <c r="AE276" i="28" s="1"/>
  <c r="AU276" i="28"/>
  <c r="AX276" i="28"/>
  <c r="AT276" i="28"/>
  <c r="AZ297" i="28"/>
  <c r="AE297" i="28" s="1"/>
  <c r="AY297" i="28"/>
  <c r="AU297" i="28"/>
  <c r="AV297" i="28"/>
  <c r="AW297" i="28" s="1"/>
  <c r="AX297" i="28"/>
  <c r="AT297" i="28"/>
  <c r="AX304" i="28"/>
  <c r="AV304" i="28"/>
  <c r="AW304" i="28" s="1"/>
  <c r="AZ304" i="28"/>
  <c r="AE304" i="28" s="1"/>
  <c r="AU304" i="28"/>
  <c r="AT304" i="28"/>
  <c r="AY304" i="28"/>
  <c r="AZ325" i="28"/>
  <c r="AE325" i="28" s="1"/>
  <c r="AV325" i="28"/>
  <c r="AW325" i="28" s="1"/>
  <c r="AT325" i="28"/>
  <c r="AY325" i="28"/>
  <c r="AU325" i="28"/>
  <c r="AX325" i="28"/>
  <c r="AY42" i="28"/>
  <c r="AZ42" i="28"/>
  <c r="AE42" i="28" s="1"/>
  <c r="AV42" i="28"/>
  <c r="AW42" i="28" s="1"/>
  <c r="AU42" i="28"/>
  <c r="AT42" i="28"/>
  <c r="AX42" i="28"/>
  <c r="AU49" i="28"/>
  <c r="AX49" i="28"/>
  <c r="AT49" i="28"/>
  <c r="AV49" i="28"/>
  <c r="AW49" i="28" s="1"/>
  <c r="AZ49" i="28"/>
  <c r="AE49" i="28" s="1"/>
  <c r="AY49" i="28"/>
  <c r="AZ56" i="28"/>
  <c r="AE56" i="28" s="1"/>
  <c r="AX56" i="28"/>
  <c r="AT56" i="28"/>
  <c r="AY56" i="28"/>
  <c r="AV56" i="28"/>
  <c r="AW56" i="28" s="1"/>
  <c r="AU56" i="28"/>
  <c r="AY63" i="28"/>
  <c r="AZ63" i="28"/>
  <c r="AE63" i="28" s="1"/>
  <c r="AV63" i="28"/>
  <c r="AW63" i="28" s="1"/>
  <c r="AX63" i="28"/>
  <c r="AU63" i="28"/>
  <c r="AT63" i="28"/>
  <c r="AZ70" i="28"/>
  <c r="AE70" i="28" s="1"/>
  <c r="AY70" i="28"/>
  <c r="AX70" i="28"/>
  <c r="AT70" i="28"/>
  <c r="AV70" i="28"/>
  <c r="AW70" i="28" s="1"/>
  <c r="AU70" i="28"/>
  <c r="AZ77" i="28"/>
  <c r="AE77" i="28" s="1"/>
  <c r="AV77" i="28"/>
  <c r="AW77" i="28" s="1"/>
  <c r="AY77" i="28"/>
  <c r="AU77" i="28"/>
  <c r="AT77" i="28"/>
  <c r="AX77" i="28"/>
  <c r="AY84" i="28"/>
  <c r="AU84" i="28"/>
  <c r="AX84" i="28"/>
  <c r="AZ84" i="28"/>
  <c r="AE84" i="28" s="1"/>
  <c r="AV84" i="28"/>
  <c r="AW84" i="28" s="1"/>
  <c r="AT84" i="28"/>
  <c r="AZ91" i="28"/>
  <c r="AE91" i="28" s="1"/>
  <c r="AY91" i="28"/>
  <c r="AV91" i="28"/>
  <c r="AW91" i="28" s="1"/>
  <c r="AT91" i="28"/>
  <c r="AX91" i="28"/>
  <c r="AU91" i="28"/>
  <c r="AZ98" i="28"/>
  <c r="AE98" i="28" s="1"/>
  <c r="AY98" i="28"/>
  <c r="AX98" i="28"/>
  <c r="AV98" i="28"/>
  <c r="AW98" i="28" s="1"/>
  <c r="AU98" i="28"/>
  <c r="AT98" i="28"/>
  <c r="AX105" i="28"/>
  <c r="AV105" i="28"/>
  <c r="AW105" i="28" s="1"/>
  <c r="AY105" i="28"/>
  <c r="AU105" i="28"/>
  <c r="AT105" i="28"/>
  <c r="AZ105" i="28"/>
  <c r="AE105" i="28" s="1"/>
  <c r="AZ112" i="28"/>
  <c r="AE112" i="28" s="1"/>
  <c r="AY112" i="28"/>
  <c r="AV112" i="28"/>
  <c r="AW112" i="28" s="1"/>
  <c r="AX112" i="28"/>
  <c r="AT112" i="28"/>
  <c r="AU112" i="28"/>
  <c r="AY119" i="28"/>
  <c r="AZ119" i="28"/>
  <c r="AE119" i="28" s="1"/>
  <c r="AT119" i="28"/>
  <c r="AU119" i="28"/>
  <c r="AX119" i="28"/>
  <c r="AV119" i="28"/>
  <c r="AW119" i="28" s="1"/>
  <c r="AX126" i="28"/>
  <c r="AY126" i="28"/>
  <c r="AT126" i="28"/>
  <c r="AV126" i="28"/>
  <c r="AW126" i="28" s="1"/>
  <c r="AU126" i="28"/>
  <c r="AZ126" i="28"/>
  <c r="AE126" i="28" s="1"/>
  <c r="AZ133" i="28"/>
  <c r="AE133" i="28" s="1"/>
  <c r="AY133" i="28"/>
  <c r="AX133" i="28"/>
  <c r="AT133" i="28"/>
  <c r="AU133" i="28"/>
  <c r="AV133" i="28"/>
  <c r="AW133" i="28" s="1"/>
  <c r="AX140" i="28"/>
  <c r="AZ140" i="28"/>
  <c r="AE140" i="28" s="1"/>
  <c r="AV140" i="28"/>
  <c r="AW140" i="28" s="1"/>
  <c r="AU140" i="28"/>
  <c r="AT140" i="28"/>
  <c r="AY140" i="28"/>
  <c r="AZ147" i="28"/>
  <c r="AE147" i="28" s="1"/>
  <c r="AV147" i="28"/>
  <c r="AW147" i="28" s="1"/>
  <c r="AU147" i="28"/>
  <c r="AY147" i="28"/>
  <c r="AX147" i="28"/>
  <c r="AT147" i="28"/>
  <c r="AY154" i="28"/>
  <c r="AZ154" i="28"/>
  <c r="AE154" i="28" s="1"/>
  <c r="AU154" i="28"/>
  <c r="AV154" i="28"/>
  <c r="AW154" i="28" s="1"/>
  <c r="AT154" i="28"/>
  <c r="AX154" i="28"/>
  <c r="AX161" i="28"/>
  <c r="AY161" i="28"/>
  <c r="AZ161" i="28"/>
  <c r="AE161" i="28" s="1"/>
  <c r="AT161" i="28"/>
  <c r="AV161" i="28"/>
  <c r="AW161" i="28" s="1"/>
  <c r="AU161" i="28"/>
  <c r="AZ168" i="28"/>
  <c r="AE168" i="28" s="1"/>
  <c r="AV168" i="28"/>
  <c r="AW168" i="28" s="1"/>
  <c r="AY168" i="28"/>
  <c r="AX168" i="28"/>
  <c r="AU168" i="28"/>
  <c r="AT168" i="28"/>
  <c r="AZ175" i="28"/>
  <c r="AE175" i="28" s="1"/>
  <c r="AX175" i="28"/>
  <c r="AV175" i="28"/>
  <c r="AW175" i="28" s="1"/>
  <c r="AY175" i="28"/>
  <c r="AU175" i="28"/>
  <c r="AT175" i="28"/>
  <c r="AY182" i="28"/>
  <c r="AV182" i="28"/>
  <c r="AW182" i="28" s="1"/>
  <c r="AZ182" i="28"/>
  <c r="AE182" i="28" s="1"/>
  <c r="AX182" i="28"/>
  <c r="AU182" i="28"/>
  <c r="AT182" i="28"/>
  <c r="AY189" i="28"/>
  <c r="AZ189" i="28"/>
  <c r="AE189" i="28" s="1"/>
  <c r="AV189" i="28"/>
  <c r="AW189" i="28" s="1"/>
  <c r="AU189" i="28"/>
  <c r="AX189" i="28"/>
  <c r="AT189" i="28"/>
  <c r="AZ196" i="28"/>
  <c r="AE196" i="28" s="1"/>
  <c r="AY196" i="28"/>
  <c r="AU196" i="28"/>
  <c r="AT196" i="28"/>
  <c r="AX196" i="28"/>
  <c r="AV196" i="28"/>
  <c r="AW196" i="28" s="1"/>
  <c r="AZ203" i="28"/>
  <c r="AE203" i="28" s="1"/>
  <c r="AY203" i="28"/>
  <c r="AX203" i="28"/>
  <c r="AV203" i="28"/>
  <c r="AW203" i="28" s="1"/>
  <c r="AU203" i="28"/>
  <c r="AT203" i="28"/>
  <c r="AZ210" i="28"/>
  <c r="AE210" i="28" s="1"/>
  <c r="AX210" i="28"/>
  <c r="AT210" i="28"/>
  <c r="AY210" i="28"/>
  <c r="AU210" i="28"/>
  <c r="AV210" i="28"/>
  <c r="AW210" i="28" s="1"/>
  <c r="AX217" i="28"/>
  <c r="AU217" i="28"/>
  <c r="AY217" i="28"/>
  <c r="AT217" i="28"/>
  <c r="AZ217" i="28"/>
  <c r="AE217" i="28" s="1"/>
  <c r="AV217" i="28"/>
  <c r="AW217" i="28" s="1"/>
  <c r="AY224" i="28"/>
  <c r="AZ224" i="28"/>
  <c r="AE224" i="28" s="1"/>
  <c r="AT224" i="28"/>
  <c r="AX224" i="28"/>
  <c r="AU224" i="28"/>
  <c r="AV224" i="28"/>
  <c r="AW224" i="28" s="1"/>
  <c r="AZ231" i="28"/>
  <c r="AE231" i="28" s="1"/>
  <c r="AX231" i="28"/>
  <c r="AY231" i="28"/>
  <c r="AV231" i="28"/>
  <c r="AW231" i="28" s="1"/>
  <c r="AT231" i="28"/>
  <c r="AU231" i="28"/>
  <c r="AT238" i="28"/>
  <c r="AZ238" i="28"/>
  <c r="AE238" i="28" s="1"/>
  <c r="AU238" i="28"/>
  <c r="AV238" i="28"/>
  <c r="AW238" i="28" s="1"/>
  <c r="AY238" i="28"/>
  <c r="AX238" i="28"/>
  <c r="AV245" i="28"/>
  <c r="AW245" i="28" s="1"/>
  <c r="AU245" i="28"/>
  <c r="AZ245" i="28"/>
  <c r="AE245" i="28" s="1"/>
  <c r="AX245" i="28"/>
  <c r="AY245" i="28"/>
  <c r="AT245" i="28"/>
  <c r="AZ252" i="28"/>
  <c r="AE252" i="28" s="1"/>
  <c r="AT252" i="28"/>
  <c r="AX252" i="28"/>
  <c r="AY252" i="28"/>
  <c r="AU252" i="28"/>
  <c r="AV252" i="28"/>
  <c r="AW252" i="28" s="1"/>
  <c r="AY259" i="28"/>
  <c r="AZ259" i="28"/>
  <c r="AE259" i="28" s="1"/>
  <c r="AX259" i="28"/>
  <c r="AV259" i="28"/>
  <c r="AW259" i="28" s="1"/>
  <c r="AU259" i="28"/>
  <c r="AT259" i="28"/>
  <c r="AZ266" i="28"/>
  <c r="AE266" i="28" s="1"/>
  <c r="AX266" i="28"/>
  <c r="AT266" i="28"/>
  <c r="AV266" i="28"/>
  <c r="AW266" i="28" s="1"/>
  <c r="AY266" i="28"/>
  <c r="AU266" i="28"/>
  <c r="AZ273" i="28"/>
  <c r="AE273" i="28" s="1"/>
  <c r="AT273" i="28"/>
  <c r="AX273" i="28"/>
  <c r="AY273" i="28"/>
  <c r="AV273" i="28"/>
  <c r="AW273" i="28" s="1"/>
  <c r="AU273" i="28"/>
  <c r="AY280" i="28"/>
  <c r="AZ280" i="28"/>
  <c r="AE280" i="28" s="1"/>
  <c r="AT280" i="28"/>
  <c r="AU280" i="28"/>
  <c r="AX280" i="28"/>
  <c r="AV280" i="28"/>
  <c r="AW280" i="28" s="1"/>
  <c r="AX287" i="28"/>
  <c r="AZ287" i="28"/>
  <c r="AE287" i="28" s="1"/>
  <c r="AY287" i="28"/>
  <c r="AV287" i="28"/>
  <c r="AW287" i="28" s="1"/>
  <c r="AU287" i="28"/>
  <c r="AT287" i="28"/>
  <c r="AY294" i="28"/>
  <c r="AT294" i="28"/>
  <c r="AZ294" i="28"/>
  <c r="AE294" i="28" s="1"/>
  <c r="AX294" i="28"/>
  <c r="AU294" i="28"/>
  <c r="AV294" i="28"/>
  <c r="AW294" i="28" s="1"/>
  <c r="AU301" i="28"/>
  <c r="AV301" i="28"/>
  <c r="AW301" i="28" s="1"/>
  <c r="AY301" i="28"/>
  <c r="AX301" i="28"/>
  <c r="AZ301" i="28"/>
  <c r="AE301" i="28" s="1"/>
  <c r="AT301" i="28"/>
  <c r="AZ308" i="28"/>
  <c r="AE308" i="28" s="1"/>
  <c r="AT308" i="28"/>
  <c r="AV308" i="28"/>
  <c r="AW308" i="28" s="1"/>
  <c r="AU308" i="28"/>
  <c r="AX308" i="28"/>
  <c r="AY308" i="28"/>
  <c r="AY315" i="28"/>
  <c r="AX315" i="28"/>
  <c r="AZ315" i="28"/>
  <c r="AE315" i="28" s="1"/>
  <c r="AU315" i="28"/>
  <c r="AV315" i="28"/>
  <c r="AW315" i="28" s="1"/>
  <c r="AT315" i="28"/>
  <c r="AX322" i="28"/>
  <c r="AY322" i="28"/>
  <c r="AT322" i="28"/>
  <c r="AV322" i="28"/>
  <c r="AW322" i="28" s="1"/>
  <c r="AU322" i="28"/>
  <c r="AZ322" i="28"/>
  <c r="AE322" i="28" s="1"/>
  <c r="AZ329" i="28"/>
  <c r="AE329" i="28" s="1"/>
  <c r="AY329" i="28"/>
  <c r="AV329" i="28"/>
  <c r="AW329" i="28" s="1"/>
  <c r="AU329" i="28"/>
  <c r="AT329" i="28"/>
  <c r="AX329" i="28"/>
  <c r="AY336" i="28"/>
  <c r="AZ336" i="28"/>
  <c r="AE336" i="28" s="1"/>
  <c r="AT336" i="28"/>
  <c r="AX336" i="28"/>
  <c r="AU336" i="28"/>
  <c r="AV336" i="28"/>
  <c r="AW336" i="28" s="1"/>
  <c r="AY343" i="28"/>
  <c r="AZ343" i="28"/>
  <c r="AE343" i="28" s="1"/>
  <c r="AV343" i="28"/>
  <c r="AW343" i="28" s="1"/>
  <c r="AT343" i="28"/>
  <c r="AX343" i="28"/>
  <c r="AU343" i="28"/>
  <c r="AY350" i="28"/>
  <c r="AZ350" i="28"/>
  <c r="AE350" i="28" s="1"/>
  <c r="AT350" i="28"/>
  <c r="AU350" i="28"/>
  <c r="AV350" i="28"/>
  <c r="AW350" i="28" s="1"/>
  <c r="AX350" i="28"/>
  <c r="AX357" i="28"/>
  <c r="AY357" i="28"/>
  <c r="AZ357" i="28"/>
  <c r="AE357" i="28" s="1"/>
  <c r="AT357" i="28"/>
  <c r="AU357" i="28"/>
  <c r="AV357" i="28"/>
  <c r="AW357" i="28" s="1"/>
  <c r="AZ364" i="28"/>
  <c r="AE364" i="28" s="1"/>
  <c r="AT364" i="28"/>
  <c r="AX364" i="28"/>
  <c r="AV364" i="28"/>
  <c r="AW364" i="28" s="1"/>
  <c r="AY364" i="28"/>
  <c r="AU364" i="28"/>
  <c r="AZ371" i="28"/>
  <c r="AE371" i="28" s="1"/>
  <c r="AY371" i="28"/>
  <c r="AX371" i="28"/>
  <c r="AV371" i="28"/>
  <c r="AW371" i="28" s="1"/>
  <c r="AU371" i="28"/>
  <c r="AT371" i="28"/>
  <c r="AX378" i="28"/>
  <c r="AT378" i="28"/>
  <c r="AY378" i="28"/>
  <c r="AZ378" i="28"/>
  <c r="AE378" i="28" s="1"/>
  <c r="AU378" i="28"/>
  <c r="AV378" i="28"/>
  <c r="AW378" i="28" s="1"/>
  <c r="AZ385" i="28"/>
  <c r="AE385" i="28" s="1"/>
  <c r="AY385" i="28"/>
  <c r="AX385" i="28"/>
  <c r="AV385" i="28"/>
  <c r="AW385" i="28" s="1"/>
  <c r="AU385" i="28"/>
  <c r="AT385" i="28"/>
  <c r="AY392" i="28"/>
  <c r="AZ392" i="28"/>
  <c r="AE392" i="28" s="1"/>
  <c r="AT392" i="28"/>
  <c r="AU392" i="28"/>
  <c r="AV392" i="28"/>
  <c r="AW392" i="28" s="1"/>
  <c r="AX392" i="28"/>
  <c r="AZ399" i="28"/>
  <c r="AE399" i="28" s="1"/>
  <c r="AY399" i="28"/>
  <c r="AU399" i="28"/>
  <c r="AX399" i="28"/>
  <c r="AV399" i="28"/>
  <c r="AW399" i="28" s="1"/>
  <c r="AT399" i="28"/>
  <c r="AZ406" i="28"/>
  <c r="AE406" i="28" s="1"/>
  <c r="AY406" i="28"/>
  <c r="AT406" i="28"/>
  <c r="AV406" i="28"/>
  <c r="AW406" i="28" s="1"/>
  <c r="AX406" i="28"/>
  <c r="AU406" i="28"/>
  <c r="AX413" i="28"/>
  <c r="AT413" i="28"/>
  <c r="AZ413" i="28"/>
  <c r="AE413" i="28" s="1"/>
  <c r="AY413" i="28"/>
  <c r="AU413" i="28"/>
  <c r="AV413" i="28"/>
  <c r="AW413" i="28" s="1"/>
  <c r="AV420" i="28"/>
  <c r="AW420" i="28" s="1"/>
  <c r="AT420" i="28"/>
  <c r="AZ420" i="28"/>
  <c r="AE420" i="28" s="1"/>
  <c r="AU420" i="28"/>
  <c r="AY420" i="28"/>
  <c r="AX420" i="28"/>
  <c r="AZ427" i="28"/>
  <c r="AE427" i="28" s="1"/>
  <c r="AY427" i="28"/>
  <c r="AX427" i="28"/>
  <c r="AV427" i="28"/>
  <c r="AW427" i="28" s="1"/>
  <c r="AU427" i="28"/>
  <c r="AT427" i="28"/>
  <c r="AT434" i="28"/>
  <c r="AY434" i="28"/>
  <c r="AU434" i="28"/>
  <c r="AZ434" i="28"/>
  <c r="AE434" i="28" s="1"/>
  <c r="AV434" i="28"/>
  <c r="AW434" i="28" s="1"/>
  <c r="AX434" i="28"/>
  <c r="AU441" i="28"/>
  <c r="AX441" i="28"/>
  <c r="AZ441" i="28"/>
  <c r="AE441" i="28" s="1"/>
  <c r="AY441" i="28"/>
  <c r="AT441" i="28"/>
  <c r="AV441" i="28"/>
  <c r="AW441" i="28" s="1"/>
  <c r="AY448" i="28"/>
  <c r="AX448" i="28"/>
  <c r="AZ448" i="28"/>
  <c r="AE448" i="28" s="1"/>
  <c r="AT448" i="28"/>
  <c r="AV448" i="28"/>
  <c r="AW448" i="28" s="1"/>
  <c r="AU448" i="28"/>
  <c r="AZ455" i="28"/>
  <c r="AE455" i="28" s="1"/>
  <c r="AY455" i="28"/>
  <c r="AX455" i="28"/>
  <c r="AU455" i="28"/>
  <c r="AT455" i="28"/>
  <c r="AV455" i="28"/>
  <c r="AW455" i="28" s="1"/>
  <c r="AZ462" i="28"/>
  <c r="AE462" i="28" s="1"/>
  <c r="AT462" i="28"/>
  <c r="AV462" i="28"/>
  <c r="AW462" i="28" s="1"/>
  <c r="AY462" i="28"/>
  <c r="AX462" i="28"/>
  <c r="AU462" i="28"/>
  <c r="AZ469" i="28"/>
  <c r="AE469" i="28" s="1"/>
  <c r="AY469" i="28"/>
  <c r="AX469" i="28"/>
  <c r="AV469" i="28"/>
  <c r="AW469" i="28" s="1"/>
  <c r="AU469" i="28"/>
  <c r="AT469" i="28"/>
  <c r="AT476" i="28"/>
  <c r="AX476" i="28"/>
  <c r="AV476" i="28"/>
  <c r="AW476" i="28" s="1"/>
  <c r="AZ476" i="28"/>
  <c r="AE476" i="28" s="1"/>
  <c r="AU476" i="28"/>
  <c r="AY476" i="28"/>
  <c r="AX483" i="28"/>
  <c r="AZ483" i="28"/>
  <c r="AE483" i="28" s="1"/>
  <c r="AY483" i="28"/>
  <c r="AU483" i="28"/>
  <c r="AV483" i="28"/>
  <c r="AW483" i="28" s="1"/>
  <c r="AT483" i="28"/>
  <c r="AY490" i="28"/>
  <c r="AV490" i="28"/>
  <c r="AW490" i="28" s="1"/>
  <c r="AT490" i="28"/>
  <c r="AZ490" i="28"/>
  <c r="AE490" i="28" s="1"/>
  <c r="AU490" i="28"/>
  <c r="AX490" i="28"/>
  <c r="AZ497" i="28"/>
  <c r="AE497" i="28" s="1"/>
  <c r="AU497" i="28"/>
  <c r="AX497" i="28"/>
  <c r="AT497" i="28"/>
  <c r="AY497" i="28"/>
  <c r="AV497" i="28"/>
  <c r="AW497" i="28" s="1"/>
  <c r="AZ504" i="28"/>
  <c r="AE504" i="28" s="1"/>
  <c r="AY504" i="28"/>
  <c r="AT504" i="28"/>
  <c r="AX504" i="28"/>
  <c r="AV504" i="28"/>
  <c r="AW504" i="28" s="1"/>
  <c r="AU504" i="28"/>
  <c r="AZ92" i="28"/>
  <c r="AE92" i="28" s="1"/>
  <c r="AV92" i="28"/>
  <c r="AW92" i="28" s="1"/>
  <c r="AX92" i="28"/>
  <c r="AU92" i="28"/>
  <c r="AT92" i="28"/>
  <c r="AY92" i="28"/>
  <c r="AX393" i="28"/>
  <c r="AZ393" i="28"/>
  <c r="AE393" i="28" s="1"/>
  <c r="AT393" i="28"/>
  <c r="AY393" i="28"/>
  <c r="AU393" i="28"/>
  <c r="AV393" i="28"/>
  <c r="AW393" i="28" s="1"/>
  <c r="AX400" i="28"/>
  <c r="AU400" i="28"/>
  <c r="AY400" i="28"/>
  <c r="AT400" i="28"/>
  <c r="AZ400" i="28"/>
  <c r="AE400" i="28" s="1"/>
  <c r="AV400" i="28"/>
  <c r="AW400" i="28" s="1"/>
  <c r="AY407" i="28"/>
  <c r="AT407" i="28"/>
  <c r="AX407" i="28"/>
  <c r="AV407" i="28"/>
  <c r="AW407" i="28" s="1"/>
  <c r="AU407" i="28"/>
  <c r="AZ407" i="28"/>
  <c r="AE407" i="28" s="1"/>
  <c r="AX414" i="28"/>
  <c r="AU414" i="28"/>
  <c r="AT414" i="28"/>
  <c r="AV414" i="28"/>
  <c r="AW414" i="28" s="1"/>
  <c r="AY414" i="28"/>
  <c r="AZ414" i="28"/>
  <c r="AE414" i="28" s="1"/>
  <c r="AT421" i="28"/>
  <c r="AV421" i="28"/>
  <c r="AW421" i="28" s="1"/>
  <c r="AZ421" i="28"/>
  <c r="AE421" i="28" s="1"/>
  <c r="AU421" i="28"/>
  <c r="AY421" i="28"/>
  <c r="AX421" i="28"/>
  <c r="AX428" i="28"/>
  <c r="AZ428" i="28"/>
  <c r="AE428" i="28" s="1"/>
  <c r="AU428" i="28"/>
  <c r="AY428" i="28"/>
  <c r="AV428" i="28"/>
  <c r="AW428" i="28" s="1"/>
  <c r="AT428" i="28"/>
  <c r="AT491" i="28"/>
  <c r="AV491" i="28"/>
  <c r="AW491" i="28" s="1"/>
  <c r="AZ491" i="28"/>
  <c r="AE491" i="28" s="1"/>
  <c r="AX491" i="28"/>
  <c r="AY491" i="28"/>
  <c r="AU491" i="28"/>
  <c r="AZ505" i="28"/>
  <c r="AE505" i="28" s="1"/>
  <c r="AY505" i="28"/>
  <c r="AT505" i="28"/>
  <c r="AX505" i="28"/>
  <c r="AV505" i="28"/>
  <c r="AW505" i="28" s="1"/>
  <c r="AU505" i="28"/>
  <c r="AZ101" i="28"/>
  <c r="AE101" i="28" s="1"/>
  <c r="AX101" i="28"/>
  <c r="AY101" i="28"/>
  <c r="AU101" i="28"/>
  <c r="AV101" i="28"/>
  <c r="AW101" i="28" s="1"/>
  <c r="AT101" i="28"/>
  <c r="AY178" i="28"/>
  <c r="AX178" i="28"/>
  <c r="AV178" i="28"/>
  <c r="AW178" i="28" s="1"/>
  <c r="AT178" i="28"/>
  <c r="AZ178" i="28"/>
  <c r="AE178" i="28" s="1"/>
  <c r="AU178" i="28"/>
  <c r="AZ283" i="28"/>
  <c r="AE283" i="28" s="1"/>
  <c r="AY283" i="28"/>
  <c r="AV283" i="28"/>
  <c r="AW283" i="28" s="1"/>
  <c r="AX283" i="28"/>
  <c r="AT283" i="28"/>
  <c r="AU283" i="28"/>
  <c r="AX290" i="28"/>
  <c r="AZ290" i="28"/>
  <c r="AE290" i="28" s="1"/>
  <c r="AV290" i="28"/>
  <c r="AW290" i="28" s="1"/>
  <c r="AY290" i="28"/>
  <c r="AT290" i="28"/>
  <c r="AU290" i="28"/>
  <c r="AZ311" i="28"/>
  <c r="AE311" i="28" s="1"/>
  <c r="AX311" i="28"/>
  <c r="AY311" i="28"/>
  <c r="AT311" i="28"/>
  <c r="AU311" i="28"/>
  <c r="AV311" i="28"/>
  <c r="AW311" i="28" s="1"/>
  <c r="AY374" i="28"/>
  <c r="AV374" i="28"/>
  <c r="AW374" i="28" s="1"/>
  <c r="AX374" i="28"/>
  <c r="AZ374" i="28"/>
  <c r="AE374" i="28" s="1"/>
  <c r="AU374" i="28"/>
  <c r="AT374" i="28"/>
  <c r="AZ423" i="28"/>
  <c r="AE423" i="28" s="1"/>
  <c r="AY423" i="28"/>
  <c r="AX423" i="28"/>
  <c r="AV423" i="28"/>
  <c r="AW423" i="28" s="1"/>
  <c r="AU423" i="28"/>
  <c r="AT423" i="28"/>
  <c r="AX141" i="28"/>
  <c r="AT141" i="28"/>
  <c r="AY141" i="28"/>
  <c r="AZ141" i="28"/>
  <c r="AE141" i="28" s="1"/>
  <c r="AU141" i="28"/>
  <c r="AV141" i="28"/>
  <c r="AW141" i="28" s="1"/>
  <c r="AV148" i="28"/>
  <c r="AW148" i="28" s="1"/>
  <c r="AU148" i="28"/>
  <c r="AY148" i="28"/>
  <c r="AZ148" i="28"/>
  <c r="AE148" i="28" s="1"/>
  <c r="AX148" i="28"/>
  <c r="AT148" i="28"/>
  <c r="AZ176" i="28"/>
  <c r="AE176" i="28" s="1"/>
  <c r="AX176" i="28"/>
  <c r="AV176" i="28"/>
  <c r="AW176" i="28" s="1"/>
  <c r="AU176" i="28"/>
  <c r="AY176" i="28"/>
  <c r="AT176" i="28"/>
  <c r="AX449" i="28"/>
  <c r="AZ449" i="28"/>
  <c r="AE449" i="28" s="1"/>
  <c r="AT449" i="28"/>
  <c r="AU449" i="28"/>
  <c r="AV449" i="28"/>
  <c r="AW449" i="28" s="1"/>
  <c r="AY449" i="28"/>
  <c r="AX456" i="28"/>
  <c r="AV456" i="28"/>
  <c r="AW456" i="28" s="1"/>
  <c r="AU456" i="28"/>
  <c r="AT456" i="28"/>
  <c r="AY456" i="28"/>
  <c r="AZ456" i="28"/>
  <c r="AE456" i="28" s="1"/>
  <c r="AX498" i="28"/>
  <c r="AU498" i="28"/>
  <c r="AZ498" i="28"/>
  <c r="AE498" i="28" s="1"/>
  <c r="AV498" i="28"/>
  <c r="AW498" i="28" s="1"/>
  <c r="AT498" i="28"/>
  <c r="AY498" i="28"/>
  <c r="AX38" i="28"/>
  <c r="AZ38" i="28" s="1"/>
  <c r="AT38" i="28"/>
  <c r="AV38" i="28" s="1"/>
  <c r="AZ45" i="28"/>
  <c r="AE45" i="28" s="1"/>
  <c r="AX45" i="28"/>
  <c r="AY45" i="28"/>
  <c r="AU45" i="28"/>
  <c r="AV45" i="28"/>
  <c r="AW45" i="28" s="1"/>
  <c r="AT45" i="28"/>
  <c r="AZ185" i="28"/>
  <c r="AE185" i="28" s="1"/>
  <c r="AX185" i="28"/>
  <c r="AY185" i="28"/>
  <c r="AU185" i="28"/>
  <c r="AV185" i="28"/>
  <c r="AW185" i="28" s="1"/>
  <c r="AT185" i="28"/>
  <c r="AZ346" i="28"/>
  <c r="AE346" i="28" s="1"/>
  <c r="AV346" i="28"/>
  <c r="AW346" i="28" s="1"/>
  <c r="AX346" i="28"/>
  <c r="AY346" i="28"/>
  <c r="AU346" i="28"/>
  <c r="AT346" i="28"/>
  <c r="AZ353" i="28"/>
  <c r="AE353" i="28" s="1"/>
  <c r="AY353" i="28"/>
  <c r="AU353" i="28"/>
  <c r="AT353" i="28"/>
  <c r="AX353" i="28"/>
  <c r="AV353" i="28"/>
  <c r="AW353" i="28" s="1"/>
  <c r="AX360" i="28"/>
  <c r="AV360" i="28"/>
  <c r="AW360" i="28" s="1"/>
  <c r="AT360" i="28"/>
  <c r="AY360" i="28"/>
  <c r="AZ360" i="28"/>
  <c r="AE360" i="28" s="1"/>
  <c r="AU360" i="28"/>
  <c r="AZ465" i="28"/>
  <c r="AE465" i="28" s="1"/>
  <c r="AX465" i="28"/>
  <c r="AY465" i="28"/>
  <c r="AU465" i="28"/>
  <c r="AV465" i="28"/>
  <c r="AW465" i="28" s="1"/>
  <c r="AT465" i="28"/>
  <c r="AX500" i="28"/>
  <c r="AZ500" i="28"/>
  <c r="AE500" i="28" s="1"/>
  <c r="AV500" i="28"/>
  <c r="AW500" i="28" s="1"/>
  <c r="AU500" i="28"/>
  <c r="AY500" i="28"/>
  <c r="AT500" i="28"/>
  <c r="AZ86" i="28"/>
  <c r="AE86" i="28" s="1"/>
  <c r="AY86" i="28"/>
  <c r="AX86" i="28"/>
  <c r="AT86" i="28"/>
  <c r="AV86" i="28"/>
  <c r="AW86" i="28" s="1"/>
  <c r="AU86" i="28"/>
  <c r="AZ93" i="28"/>
  <c r="AE93" i="28" s="1"/>
  <c r="AV93" i="28"/>
  <c r="AW93" i="28" s="1"/>
  <c r="AY93" i="28"/>
  <c r="AX93" i="28"/>
  <c r="AT93" i="28"/>
  <c r="AU93" i="28"/>
  <c r="AZ100" i="28"/>
  <c r="AE100" i="28" s="1"/>
  <c r="AY100" i="28"/>
  <c r="AX100" i="28"/>
  <c r="AU100" i="28"/>
  <c r="AV100" i="28"/>
  <c r="AW100" i="28" s="1"/>
  <c r="AT100" i="28"/>
  <c r="AV107" i="28"/>
  <c r="AW107" i="28" s="1"/>
  <c r="AX107" i="28"/>
  <c r="AU107" i="28"/>
  <c r="AZ107" i="28"/>
  <c r="AE107" i="28" s="1"/>
  <c r="AT107" i="28"/>
  <c r="AY107" i="28"/>
  <c r="AZ114" i="28"/>
  <c r="AE114" i="28" s="1"/>
  <c r="AY114" i="28"/>
  <c r="AX114" i="28"/>
  <c r="AV114" i="28"/>
  <c r="AW114" i="28" s="1"/>
  <c r="AT114" i="28"/>
  <c r="AU114" i="28"/>
  <c r="AV121" i="28"/>
  <c r="AW121" i="28" s="1"/>
  <c r="AZ121" i="28"/>
  <c r="AE121" i="28" s="1"/>
  <c r="AU121" i="28"/>
  <c r="AY121" i="28"/>
  <c r="AX121" i="28"/>
  <c r="AT121" i="28"/>
  <c r="AZ128" i="28"/>
  <c r="AE128" i="28" s="1"/>
  <c r="AY128" i="28"/>
  <c r="AX128" i="28"/>
  <c r="AV128" i="28"/>
  <c r="AW128" i="28" s="1"/>
  <c r="AU128" i="28"/>
  <c r="AT128" i="28"/>
  <c r="AY135" i="28"/>
  <c r="AZ135" i="28"/>
  <c r="AE135" i="28" s="1"/>
  <c r="AV135" i="28"/>
  <c r="AW135" i="28" s="1"/>
  <c r="AT135" i="28"/>
  <c r="AX135" i="28"/>
  <c r="AU135" i="28"/>
  <c r="AZ142" i="28"/>
  <c r="AE142" i="28" s="1"/>
  <c r="AY142" i="28"/>
  <c r="AX142" i="28"/>
  <c r="AV142" i="28"/>
  <c r="AW142" i="28" s="1"/>
  <c r="AT142" i="28"/>
  <c r="AU142" i="28"/>
  <c r="AZ149" i="28"/>
  <c r="AE149" i="28" s="1"/>
  <c r="AV149" i="28"/>
  <c r="AW149" i="28" s="1"/>
  <c r="AY149" i="28"/>
  <c r="AT149" i="28"/>
  <c r="AX149" i="28"/>
  <c r="AU149" i="28"/>
  <c r="AZ156" i="28"/>
  <c r="AE156" i="28" s="1"/>
  <c r="AY156" i="28"/>
  <c r="AX156" i="28"/>
  <c r="AV156" i="28"/>
  <c r="AW156" i="28" s="1"/>
  <c r="AT156" i="28"/>
  <c r="AU156" i="28"/>
  <c r="AV163" i="28"/>
  <c r="AW163" i="28" s="1"/>
  <c r="AX163" i="28"/>
  <c r="AY163" i="28"/>
  <c r="AU163" i="28"/>
  <c r="AZ163" i="28"/>
  <c r="AE163" i="28" s="1"/>
  <c r="AT163" i="28"/>
  <c r="AZ170" i="28"/>
  <c r="AE170" i="28" s="1"/>
  <c r="AY170" i="28"/>
  <c r="AX170" i="28"/>
  <c r="AU170" i="28"/>
  <c r="AT170" i="28"/>
  <c r="AV170" i="28"/>
  <c r="AW170" i="28" s="1"/>
  <c r="AX177" i="28"/>
  <c r="AV177" i="28"/>
  <c r="AW177" i="28" s="1"/>
  <c r="AZ177" i="28"/>
  <c r="AE177" i="28" s="1"/>
  <c r="AU177" i="28"/>
  <c r="AY177" i="28"/>
  <c r="AT177" i="28"/>
  <c r="AZ184" i="28"/>
  <c r="AE184" i="28" s="1"/>
  <c r="AY184" i="28"/>
  <c r="AX184" i="28"/>
  <c r="AT184" i="28"/>
  <c r="AV184" i="28"/>
  <c r="AW184" i="28" s="1"/>
  <c r="AU184" i="28"/>
  <c r="AZ191" i="28"/>
  <c r="AE191" i="28" s="1"/>
  <c r="AV191" i="28"/>
  <c r="AW191" i="28" s="1"/>
  <c r="AU191" i="28"/>
  <c r="AY191" i="28"/>
  <c r="AX191" i="28"/>
  <c r="AT191" i="28"/>
  <c r="AZ198" i="28"/>
  <c r="AE198" i="28" s="1"/>
  <c r="AY198" i="28"/>
  <c r="AX198" i="28"/>
  <c r="AV198" i="28"/>
  <c r="AW198" i="28" s="1"/>
  <c r="AU198" i="28"/>
  <c r="AT198" i="28"/>
  <c r="AY205" i="28"/>
  <c r="AV205" i="28"/>
  <c r="AW205" i="28" s="1"/>
  <c r="AZ205" i="28"/>
  <c r="AE205" i="28" s="1"/>
  <c r="AX205" i="28"/>
  <c r="AU205" i="28"/>
  <c r="AT205" i="28"/>
  <c r="AZ212" i="28"/>
  <c r="AE212" i="28" s="1"/>
  <c r="AY212" i="28"/>
  <c r="AX212" i="28"/>
  <c r="AT212" i="28"/>
  <c r="AV212" i="28"/>
  <c r="AW212" i="28" s="1"/>
  <c r="AU212" i="28"/>
  <c r="AV219" i="28"/>
  <c r="AW219" i="28" s="1"/>
  <c r="AY219" i="28"/>
  <c r="AU219" i="28"/>
  <c r="AT219" i="28"/>
  <c r="AZ219" i="28"/>
  <c r="AE219" i="28" s="1"/>
  <c r="AX219" i="28"/>
  <c r="AZ226" i="28"/>
  <c r="AE226" i="28" s="1"/>
  <c r="AY226" i="28"/>
  <c r="AX226" i="28"/>
  <c r="AU226" i="28"/>
  <c r="AV226" i="28"/>
  <c r="AW226" i="28" s="1"/>
  <c r="AT226" i="28"/>
  <c r="AZ233" i="28"/>
  <c r="AE233" i="28" s="1"/>
  <c r="AV233" i="28"/>
  <c r="AW233" i="28" s="1"/>
  <c r="AT233" i="28"/>
  <c r="AX233" i="28"/>
  <c r="AU233" i="28"/>
  <c r="AY233" i="28"/>
  <c r="AZ240" i="28"/>
  <c r="AE240" i="28" s="1"/>
  <c r="AY240" i="28"/>
  <c r="AX240" i="28"/>
  <c r="AT240" i="28"/>
  <c r="AV240" i="28"/>
  <c r="AW240" i="28" s="1"/>
  <c r="AU240" i="28"/>
  <c r="AZ247" i="28"/>
  <c r="AE247" i="28" s="1"/>
  <c r="AV247" i="28"/>
  <c r="AW247" i="28" s="1"/>
  <c r="AY247" i="28"/>
  <c r="AX247" i="28"/>
  <c r="AT247" i="28"/>
  <c r="AU247" i="28"/>
  <c r="AZ254" i="28"/>
  <c r="AE254" i="28" s="1"/>
  <c r="AY254" i="28"/>
  <c r="AX254" i="28"/>
  <c r="AT254" i="28"/>
  <c r="AU254" i="28"/>
  <c r="AV254" i="28"/>
  <c r="AW254" i="28" s="1"/>
  <c r="AY261" i="28"/>
  <c r="AV261" i="28"/>
  <c r="AW261" i="28" s="1"/>
  <c r="AZ261" i="28"/>
  <c r="AE261" i="28" s="1"/>
  <c r="AU261" i="28"/>
  <c r="AX261" i="28"/>
  <c r="AT261" i="28"/>
  <c r="AZ268" i="28"/>
  <c r="AE268" i="28" s="1"/>
  <c r="AY268" i="28"/>
  <c r="AX268" i="28"/>
  <c r="AU268" i="28"/>
  <c r="AV268" i="28"/>
  <c r="AW268" i="28" s="1"/>
  <c r="AT268" i="28"/>
  <c r="AX275" i="28"/>
  <c r="AV275" i="28"/>
  <c r="AW275" i="28" s="1"/>
  <c r="AZ275" i="28"/>
  <c r="AE275" i="28" s="1"/>
  <c r="AT275" i="28"/>
  <c r="AY275" i="28"/>
  <c r="AU275" i="28"/>
  <c r="AZ282" i="28"/>
  <c r="AE282" i="28" s="1"/>
  <c r="AY282" i="28"/>
  <c r="AX282" i="28"/>
  <c r="AU282" i="28"/>
  <c r="AV282" i="28"/>
  <c r="AW282" i="28" s="1"/>
  <c r="AT282" i="28"/>
  <c r="AX289" i="28"/>
  <c r="AZ289" i="28"/>
  <c r="AE289" i="28" s="1"/>
  <c r="AV289" i="28"/>
  <c r="AW289" i="28" s="1"/>
  <c r="AT289" i="28"/>
  <c r="AY289" i="28"/>
  <c r="AU289" i="28"/>
  <c r="AZ296" i="28"/>
  <c r="AE296" i="28" s="1"/>
  <c r="AY296" i="28"/>
  <c r="AU296" i="28"/>
  <c r="AV296" i="28"/>
  <c r="AW296" i="28" s="1"/>
  <c r="AX296" i="28"/>
  <c r="AT296" i="28"/>
  <c r="AX303" i="28"/>
  <c r="AV303" i="28"/>
  <c r="AW303" i="28" s="1"/>
  <c r="AZ303" i="28"/>
  <c r="AE303" i="28" s="1"/>
  <c r="AY303" i="28"/>
  <c r="AU303" i="28"/>
  <c r="AT303" i="28"/>
  <c r="AZ310" i="28"/>
  <c r="AE310" i="28" s="1"/>
  <c r="AY310" i="28"/>
  <c r="AX310" i="28"/>
  <c r="AU310" i="28"/>
  <c r="AV310" i="28"/>
  <c r="AW310" i="28" s="1"/>
  <c r="AT310" i="28"/>
  <c r="AX317" i="28"/>
  <c r="AY317" i="28"/>
  <c r="AV317" i="28"/>
  <c r="AW317" i="28" s="1"/>
  <c r="AZ317" i="28"/>
  <c r="AE317" i="28" s="1"/>
  <c r="AU317" i="28"/>
  <c r="AT317" i="28"/>
  <c r="AZ324" i="28"/>
  <c r="AE324" i="28" s="1"/>
  <c r="AY324" i="28"/>
  <c r="AX324" i="28"/>
  <c r="AV324" i="28"/>
  <c r="AW324" i="28" s="1"/>
  <c r="AT324" i="28"/>
  <c r="AU324" i="28"/>
  <c r="AX331" i="28"/>
  <c r="AY331" i="28"/>
  <c r="AZ331" i="28"/>
  <c r="AE331" i="28" s="1"/>
  <c r="AV331" i="28"/>
  <c r="AW331" i="28" s="1"/>
  <c r="AU331" i="28"/>
  <c r="AT331" i="28"/>
  <c r="AZ338" i="28"/>
  <c r="AE338" i="28" s="1"/>
  <c r="AY338" i="28"/>
  <c r="AX338" i="28"/>
  <c r="AU338" i="28"/>
  <c r="AV338" i="28"/>
  <c r="AW338" i="28" s="1"/>
  <c r="AT338" i="28"/>
  <c r="AX345" i="28"/>
  <c r="AZ345" i="28"/>
  <c r="AE345" i="28" s="1"/>
  <c r="AV345" i="28"/>
  <c r="AW345" i="28" s="1"/>
  <c r="AY345" i="28"/>
  <c r="AU345" i="28"/>
  <c r="AT345" i="28"/>
  <c r="AZ352" i="28"/>
  <c r="AE352" i="28" s="1"/>
  <c r="AY352" i="28"/>
  <c r="AU352" i="28"/>
  <c r="AT352" i="28"/>
  <c r="AV352" i="28"/>
  <c r="AW352" i="28" s="1"/>
  <c r="AX352" i="28"/>
  <c r="AX359" i="28"/>
  <c r="AV359" i="28"/>
  <c r="AW359" i="28" s="1"/>
  <c r="AY359" i="28"/>
  <c r="AT359" i="28"/>
  <c r="AZ359" i="28"/>
  <c r="AE359" i="28" s="1"/>
  <c r="AU359" i="28"/>
  <c r="AZ366" i="28"/>
  <c r="AE366" i="28" s="1"/>
  <c r="AY366" i="28"/>
  <c r="AU366" i="28"/>
  <c r="AX366" i="28"/>
  <c r="AV366" i="28"/>
  <c r="AW366" i="28" s="1"/>
  <c r="AT366" i="28"/>
  <c r="AX373" i="28"/>
  <c r="AY373" i="28"/>
  <c r="AV373" i="28"/>
  <c r="AW373" i="28" s="1"/>
  <c r="AZ373" i="28"/>
  <c r="AE373" i="28" s="1"/>
  <c r="AU373" i="28"/>
  <c r="AT373" i="28"/>
  <c r="AZ380" i="28"/>
  <c r="AE380" i="28" s="1"/>
  <c r="AY380" i="28"/>
  <c r="AX380" i="28"/>
  <c r="AV380" i="28"/>
  <c r="AW380" i="28" s="1"/>
  <c r="AU380" i="28"/>
  <c r="AT380" i="28"/>
  <c r="AX387" i="28"/>
  <c r="AY387" i="28"/>
  <c r="AZ387" i="28"/>
  <c r="AE387" i="28" s="1"/>
  <c r="AV387" i="28"/>
  <c r="AW387" i="28" s="1"/>
  <c r="AU387" i="28"/>
  <c r="AT387" i="28"/>
  <c r="AZ394" i="28"/>
  <c r="AE394" i="28" s="1"/>
  <c r="AY394" i="28"/>
  <c r="AX394" i="28"/>
  <c r="AT394" i="28"/>
  <c r="AU394" i="28"/>
  <c r="AV394" i="28"/>
  <c r="AW394" i="28" s="1"/>
  <c r="AX401" i="28"/>
  <c r="AY401" i="28"/>
  <c r="AV401" i="28"/>
  <c r="AW401" i="28" s="1"/>
  <c r="AZ401" i="28"/>
  <c r="AE401" i="28" s="1"/>
  <c r="AT401" i="28"/>
  <c r="AU401" i="28"/>
  <c r="AZ408" i="28"/>
  <c r="AE408" i="28" s="1"/>
  <c r="AY408" i="28"/>
  <c r="AV408" i="28"/>
  <c r="AW408" i="28" s="1"/>
  <c r="AX408" i="28"/>
  <c r="AT408" i="28"/>
  <c r="AU408" i="28"/>
  <c r="AX415" i="28"/>
  <c r="AY415" i="28"/>
  <c r="AT415" i="28"/>
  <c r="AZ415" i="28"/>
  <c r="AE415" i="28" s="1"/>
  <c r="AU415" i="28"/>
  <c r="AV415" i="28"/>
  <c r="AW415" i="28" s="1"/>
  <c r="AZ422" i="28"/>
  <c r="AE422" i="28" s="1"/>
  <c r="AY422" i="28"/>
  <c r="AU422" i="28"/>
  <c r="AX422" i="28"/>
  <c r="AV422" i="28"/>
  <c r="AW422" i="28" s="1"/>
  <c r="AT422" i="28"/>
  <c r="AX429" i="28"/>
  <c r="AY429" i="28"/>
  <c r="AZ429" i="28"/>
  <c r="AE429" i="28" s="1"/>
  <c r="AU429" i="28"/>
  <c r="AT429" i="28"/>
  <c r="AV429" i="28"/>
  <c r="AW429" i="28" s="1"/>
  <c r="AZ436" i="28"/>
  <c r="AE436" i="28" s="1"/>
  <c r="AY436" i="28"/>
  <c r="AV436" i="28"/>
  <c r="AW436" i="28" s="1"/>
  <c r="AT436" i="28"/>
  <c r="AU436" i="28"/>
  <c r="AX436" i="28"/>
  <c r="AX443" i="28"/>
  <c r="AY443" i="28"/>
  <c r="AZ443" i="28"/>
  <c r="AE443" i="28" s="1"/>
  <c r="AV443" i="28"/>
  <c r="AW443" i="28" s="1"/>
  <c r="AU443" i="28"/>
  <c r="AT443" i="28"/>
  <c r="AZ450" i="28"/>
  <c r="AE450" i="28" s="1"/>
  <c r="AY450" i="28"/>
  <c r="AX450" i="28"/>
  <c r="AT450" i="28"/>
  <c r="AV450" i="28"/>
  <c r="AW450" i="28" s="1"/>
  <c r="AU450" i="28"/>
  <c r="AX457" i="28"/>
  <c r="AY457" i="28"/>
  <c r="AV457" i="28"/>
  <c r="AW457" i="28" s="1"/>
  <c r="AT457" i="28"/>
  <c r="AU457" i="28"/>
  <c r="AZ457" i="28"/>
  <c r="AE457" i="28" s="1"/>
  <c r="AZ464" i="28"/>
  <c r="AE464" i="28" s="1"/>
  <c r="AY464" i="28"/>
  <c r="AX464" i="28"/>
  <c r="AV464" i="28"/>
  <c r="AW464" i="28" s="1"/>
  <c r="AU464" i="28"/>
  <c r="AT464" i="28"/>
  <c r="AX471" i="28"/>
  <c r="AY471" i="28"/>
  <c r="AV471" i="28"/>
  <c r="AW471" i="28" s="1"/>
  <c r="AT471" i="28"/>
  <c r="AZ471" i="28"/>
  <c r="AE471" i="28" s="1"/>
  <c r="AU471" i="28"/>
  <c r="AZ478" i="28"/>
  <c r="AE478" i="28" s="1"/>
  <c r="AY478" i="28"/>
  <c r="AV478" i="28"/>
  <c r="AW478" i="28" s="1"/>
  <c r="AU478" i="28"/>
  <c r="AT478" i="28"/>
  <c r="AX478" i="28"/>
  <c r="AX485" i="28"/>
  <c r="AY485" i="28"/>
  <c r="AZ485" i="28"/>
  <c r="AE485" i="28" s="1"/>
  <c r="AT485" i="28"/>
  <c r="AV485" i="28"/>
  <c r="AW485" i="28" s="1"/>
  <c r="AU485" i="28"/>
  <c r="AZ492" i="28"/>
  <c r="AE492" i="28" s="1"/>
  <c r="AY492" i="28"/>
  <c r="AX492" i="28"/>
  <c r="AU492" i="28"/>
  <c r="AT492" i="28"/>
  <c r="AV492" i="28"/>
  <c r="AW492" i="28" s="1"/>
  <c r="AX499" i="28"/>
  <c r="AY499" i="28"/>
  <c r="AZ499" i="28"/>
  <c r="AE499" i="28" s="1"/>
  <c r="AV499" i="28"/>
  <c r="AW499" i="28" s="1"/>
  <c r="AU499" i="28"/>
  <c r="AT499" i="28"/>
  <c r="AZ506" i="28"/>
  <c r="AE506" i="28" s="1"/>
  <c r="AY506" i="28"/>
  <c r="AV506" i="28"/>
  <c r="AW506" i="28" s="1"/>
  <c r="AX506" i="28"/>
  <c r="AU506" i="28"/>
  <c r="AT506" i="28"/>
  <c r="AX127" i="28"/>
  <c r="AT127" i="28"/>
  <c r="AY127" i="28"/>
  <c r="AZ127" i="28"/>
  <c r="AE127" i="28" s="1"/>
  <c r="AU127" i="28"/>
  <c r="AV127" i="28"/>
  <c r="AW127" i="28" s="1"/>
  <c r="AY134" i="28"/>
  <c r="AV134" i="28"/>
  <c r="AW134" i="28" s="1"/>
  <c r="AU134" i="28"/>
  <c r="AX134" i="28"/>
  <c r="AZ134" i="28"/>
  <c r="AE134" i="28" s="1"/>
  <c r="AT134" i="28"/>
  <c r="AY155" i="28"/>
  <c r="AX155" i="28"/>
  <c r="AT155" i="28"/>
  <c r="AU155" i="28"/>
  <c r="AZ155" i="28"/>
  <c r="AE155" i="28" s="1"/>
  <c r="AV155" i="28"/>
  <c r="AW155" i="28" s="1"/>
  <c r="AV162" i="28"/>
  <c r="AW162" i="28" s="1"/>
  <c r="AY162" i="28"/>
  <c r="AU162" i="28"/>
  <c r="AZ162" i="28"/>
  <c r="AE162" i="28" s="1"/>
  <c r="AT162" i="28"/>
  <c r="AX162" i="28"/>
  <c r="AZ169" i="28"/>
  <c r="AE169" i="28" s="1"/>
  <c r="AX169" i="28"/>
  <c r="AT169" i="28"/>
  <c r="AV169" i="28"/>
  <c r="AW169" i="28" s="1"/>
  <c r="AU169" i="28"/>
  <c r="AY169" i="28"/>
  <c r="AX197" i="28"/>
  <c r="AT197" i="28"/>
  <c r="AZ197" i="28"/>
  <c r="AE197" i="28" s="1"/>
  <c r="AY197" i="28"/>
  <c r="AV197" i="28"/>
  <c r="AW197" i="28" s="1"/>
  <c r="AU197" i="28"/>
  <c r="AV204" i="28"/>
  <c r="AW204" i="28" s="1"/>
  <c r="AU204" i="28"/>
  <c r="AX204" i="28"/>
  <c r="AZ204" i="28"/>
  <c r="AE204" i="28" s="1"/>
  <c r="AY204" i="28"/>
  <c r="AT204" i="28"/>
  <c r="AX211" i="28"/>
  <c r="AT211" i="28"/>
  <c r="AV211" i="28"/>
  <c r="AW211" i="28" s="1"/>
  <c r="AU211" i="28"/>
  <c r="AZ211" i="28"/>
  <c r="AE211" i="28" s="1"/>
  <c r="AY211" i="28"/>
  <c r="AY295" i="28"/>
  <c r="AT295" i="28"/>
  <c r="AX295" i="28"/>
  <c r="AZ295" i="28"/>
  <c r="AE295" i="28" s="1"/>
  <c r="AU295" i="28"/>
  <c r="AV295" i="28"/>
  <c r="AW295" i="28" s="1"/>
  <c r="AZ365" i="28"/>
  <c r="AE365" i="28" s="1"/>
  <c r="AT365" i="28"/>
  <c r="AV365" i="28"/>
  <c r="AW365" i="28" s="1"/>
  <c r="AY365" i="28"/>
  <c r="AX365" i="28"/>
  <c r="AU365" i="28"/>
  <c r="AX386" i="28"/>
  <c r="AZ386" i="28"/>
  <c r="AE386" i="28" s="1"/>
  <c r="AY386" i="28"/>
  <c r="AV386" i="28"/>
  <c r="AW386" i="28" s="1"/>
  <c r="AU386" i="28"/>
  <c r="AT386" i="28"/>
  <c r="AX442" i="28"/>
  <c r="AU442" i="28"/>
  <c r="AZ442" i="28"/>
  <c r="AE442" i="28" s="1"/>
  <c r="AY442" i="28"/>
  <c r="AV442" i="28"/>
  <c r="AW442" i="28" s="1"/>
  <c r="AT442" i="28"/>
  <c r="AZ463" i="28"/>
  <c r="AE463" i="28" s="1"/>
  <c r="AT463" i="28"/>
  <c r="AU463" i="28"/>
  <c r="AY463" i="28"/>
  <c r="AX463" i="28"/>
  <c r="AV463" i="28"/>
  <c r="AW463" i="28" s="1"/>
  <c r="AZ52" i="28"/>
  <c r="AE52" i="28" s="1"/>
  <c r="AX52" i="28"/>
  <c r="AU52" i="28"/>
  <c r="AY52" i="28"/>
  <c r="AT52" i="28"/>
  <c r="AV52" i="28"/>
  <c r="AW52" i="28" s="1"/>
  <c r="AZ59" i="28"/>
  <c r="AE59" i="28" s="1"/>
  <c r="AX59" i="28"/>
  <c r="AV59" i="28"/>
  <c r="AW59" i="28" s="1"/>
  <c r="AU59" i="28"/>
  <c r="AY59" i="28"/>
  <c r="AT59" i="28"/>
  <c r="AZ73" i="28"/>
  <c r="AE73" i="28" s="1"/>
  <c r="AX73" i="28"/>
  <c r="AY73" i="28"/>
  <c r="AT73" i="28"/>
  <c r="AV73" i="28"/>
  <c r="AW73" i="28" s="1"/>
  <c r="AU73" i="28"/>
  <c r="AY80" i="28"/>
  <c r="AZ80" i="28"/>
  <c r="AE80" i="28" s="1"/>
  <c r="AX80" i="28"/>
  <c r="AV80" i="28"/>
  <c r="AW80" i="28" s="1"/>
  <c r="AU80" i="28"/>
  <c r="AT80" i="28"/>
  <c r="AZ94" i="28"/>
  <c r="AE94" i="28" s="1"/>
  <c r="AV94" i="28"/>
  <c r="AW94" i="28" s="1"/>
  <c r="AY94" i="28"/>
  <c r="AT94" i="28"/>
  <c r="AX94" i="28"/>
  <c r="AU94" i="28"/>
  <c r="AZ108" i="28"/>
  <c r="AE108" i="28" s="1"/>
  <c r="AV108" i="28"/>
  <c r="AW108" i="28" s="1"/>
  <c r="AT108" i="28"/>
  <c r="AY108" i="28"/>
  <c r="AU108" i="28"/>
  <c r="AX108" i="28"/>
  <c r="AZ115" i="28"/>
  <c r="AE115" i="28" s="1"/>
  <c r="AX115" i="28"/>
  <c r="AV115" i="28"/>
  <c r="AW115" i="28" s="1"/>
  <c r="AT115" i="28"/>
  <c r="AY115" i="28"/>
  <c r="AU115" i="28"/>
  <c r="AY136" i="28"/>
  <c r="AV136" i="28"/>
  <c r="AW136" i="28" s="1"/>
  <c r="AZ136" i="28"/>
  <c r="AE136" i="28" s="1"/>
  <c r="AX136" i="28"/>
  <c r="AU136" i="28"/>
  <c r="AT136" i="28"/>
  <c r="AV192" i="28"/>
  <c r="AW192" i="28" s="1"/>
  <c r="AU192" i="28"/>
  <c r="AZ192" i="28"/>
  <c r="AE192" i="28" s="1"/>
  <c r="AY192" i="28"/>
  <c r="AX192" i="28"/>
  <c r="AT192" i="28"/>
  <c r="AZ227" i="28"/>
  <c r="AE227" i="28" s="1"/>
  <c r="AY227" i="28"/>
  <c r="AX227" i="28"/>
  <c r="AV227" i="28"/>
  <c r="AW227" i="28" s="1"/>
  <c r="AU227" i="28"/>
  <c r="AT227" i="28"/>
  <c r="AX234" i="28"/>
  <c r="AV234" i="28"/>
  <c r="AW234" i="28" s="1"/>
  <c r="AZ234" i="28"/>
  <c r="AE234" i="28" s="1"/>
  <c r="AT234" i="28"/>
  <c r="AU234" i="28"/>
  <c r="AY234" i="28"/>
  <c r="AZ241" i="28"/>
  <c r="AE241" i="28" s="1"/>
  <c r="AX241" i="28"/>
  <c r="AY241" i="28"/>
  <c r="AV241" i="28"/>
  <c r="AW241" i="28" s="1"/>
  <c r="AU241" i="28"/>
  <c r="AT241" i="28"/>
  <c r="AV318" i="28"/>
  <c r="AW318" i="28" s="1"/>
  <c r="AX318" i="28"/>
  <c r="AY318" i="28"/>
  <c r="AZ318" i="28"/>
  <c r="AE318" i="28" s="1"/>
  <c r="AT318" i="28"/>
  <c r="AU318" i="28"/>
  <c r="AY332" i="28"/>
  <c r="AV332" i="28"/>
  <c r="AW332" i="28" s="1"/>
  <c r="AT332" i="28"/>
  <c r="AX332" i="28"/>
  <c r="AU332" i="28"/>
  <c r="AZ332" i="28"/>
  <c r="AE332" i="28" s="1"/>
  <c r="AZ339" i="28"/>
  <c r="AE339" i="28" s="1"/>
  <c r="AX339" i="28"/>
  <c r="AU339" i="28"/>
  <c r="AT339" i="28"/>
  <c r="AV339" i="28"/>
  <c r="AW339" i="28" s="1"/>
  <c r="AY339" i="28"/>
  <c r="AZ367" i="28"/>
  <c r="AE367" i="28" s="1"/>
  <c r="AY367" i="28"/>
  <c r="AU367" i="28"/>
  <c r="AV367" i="28"/>
  <c r="AW367" i="28" s="1"/>
  <c r="AX367" i="28"/>
  <c r="AT367" i="28"/>
  <c r="AZ395" i="28"/>
  <c r="AE395" i="28" s="1"/>
  <c r="AX395" i="28"/>
  <c r="AY395" i="28"/>
  <c r="AT395" i="28"/>
  <c r="AU395" i="28"/>
  <c r="AV395" i="28"/>
  <c r="AW395" i="28" s="1"/>
  <c r="AV402" i="28"/>
  <c r="AW402" i="28" s="1"/>
  <c r="AX402" i="28"/>
  <c r="AY402" i="28"/>
  <c r="AT402" i="28"/>
  <c r="AU402" i="28"/>
  <c r="AZ402" i="28"/>
  <c r="AE402" i="28" s="1"/>
  <c r="AZ409" i="28"/>
  <c r="AE409" i="28" s="1"/>
  <c r="AY409" i="28"/>
  <c r="AX409" i="28"/>
  <c r="AV409" i="28"/>
  <c r="AW409" i="28" s="1"/>
  <c r="AU409" i="28"/>
  <c r="AT409" i="28"/>
  <c r="AZ416" i="28"/>
  <c r="AE416" i="28" s="1"/>
  <c r="AT416" i="28"/>
  <c r="AX416" i="28"/>
  <c r="AY416" i="28"/>
  <c r="AU416" i="28"/>
  <c r="AV416" i="28"/>
  <c r="AW416" i="28" s="1"/>
  <c r="AY458" i="28"/>
  <c r="AU458" i="28"/>
  <c r="AZ458" i="28"/>
  <c r="AE458" i="28" s="1"/>
  <c r="AX458" i="28"/>
  <c r="AV458" i="28"/>
  <c r="AW458" i="28" s="1"/>
  <c r="AT458" i="28"/>
  <c r="AX472" i="28"/>
  <c r="AY472" i="28"/>
  <c r="AZ472" i="28"/>
  <c r="AE472" i="28" s="1"/>
  <c r="AU472" i="28"/>
  <c r="AV472" i="28"/>
  <c r="AW472" i="28" s="1"/>
  <c r="AT472" i="28"/>
  <c r="AZ493" i="28"/>
  <c r="AE493" i="28" s="1"/>
  <c r="AX493" i="28"/>
  <c r="AV493" i="28"/>
  <c r="AW493" i="28" s="1"/>
  <c r="AU493" i="28"/>
  <c r="AY493" i="28"/>
  <c r="AT493" i="28"/>
  <c r="AT37" i="28"/>
  <c r="AR37" i="28" s="1"/>
  <c r="AX37" i="28"/>
  <c r="AZ37" i="28" s="1"/>
  <c r="AZ44" i="28"/>
  <c r="AE44" i="28" s="1"/>
  <c r="AY44" i="28"/>
  <c r="AX44" i="28"/>
  <c r="AU44" i="28"/>
  <c r="AV44" i="28"/>
  <c r="AW44" i="28" s="1"/>
  <c r="AT44" i="28"/>
  <c r="AZ51" i="28"/>
  <c r="AE51" i="28" s="1"/>
  <c r="AV51" i="28"/>
  <c r="AW51" i="28" s="1"/>
  <c r="AX51" i="28"/>
  <c r="AU51" i="28"/>
  <c r="AT51" i="28"/>
  <c r="AY51" i="28"/>
  <c r="AZ58" i="28"/>
  <c r="AE58" i="28" s="1"/>
  <c r="AY58" i="28"/>
  <c r="AX58" i="28"/>
  <c r="AV58" i="28"/>
  <c r="AW58" i="28" s="1"/>
  <c r="AT58" i="28"/>
  <c r="AU58" i="28"/>
  <c r="AY65" i="28"/>
  <c r="AV65" i="28"/>
  <c r="AW65" i="28" s="1"/>
  <c r="AZ65" i="28"/>
  <c r="AE65" i="28" s="1"/>
  <c r="AX65" i="28"/>
  <c r="AT65" i="28"/>
  <c r="AU65" i="28"/>
  <c r="AZ72" i="28"/>
  <c r="AE72" i="28" s="1"/>
  <c r="AY72" i="28"/>
  <c r="AX72" i="28"/>
  <c r="AU72" i="28"/>
  <c r="AV72" i="28"/>
  <c r="AW72" i="28" s="1"/>
  <c r="AT72" i="28"/>
  <c r="AV79" i="28"/>
  <c r="AW79" i="28" s="1"/>
  <c r="AZ79" i="28"/>
  <c r="AE79" i="28" s="1"/>
  <c r="AX79" i="28"/>
  <c r="AY79" i="28"/>
  <c r="AU79" i="28"/>
  <c r="AT79" i="28"/>
  <c r="AX34" i="28"/>
  <c r="AZ34" i="28" s="1"/>
  <c r="AT34" i="28"/>
  <c r="AR34" i="28" s="1"/>
  <c r="AX32" i="28"/>
  <c r="AZ32" i="28" s="1"/>
  <c r="AT32" i="28"/>
  <c r="AU32" i="28" s="1"/>
  <c r="AX33" i="28"/>
  <c r="AT33" i="28"/>
  <c r="AU33" i="28" s="1"/>
  <c r="AY33" i="28"/>
  <c r="AZ33" i="28"/>
  <c r="AE33" i="28" s="1"/>
  <c r="AX35" i="28"/>
  <c r="AY35" i="28" s="1"/>
  <c r="AT35" i="28"/>
  <c r="AR35" i="28" s="1"/>
  <c r="BD501" i="28"/>
  <c r="BD78" i="28"/>
  <c r="BD85" i="28"/>
  <c r="BD92" i="28"/>
  <c r="BD246" i="28"/>
  <c r="BD400" i="28"/>
  <c r="BD407" i="28"/>
  <c r="BD130" i="28"/>
  <c r="BD137" i="28"/>
  <c r="BD144" i="28"/>
  <c r="BD151" i="28"/>
  <c r="BD158" i="28"/>
  <c r="BD207" i="28"/>
  <c r="BD214" i="28"/>
  <c r="BD228" i="28"/>
  <c r="BD389" i="28"/>
  <c r="BD494" i="28"/>
  <c r="BD344" i="28"/>
  <c r="BD414" i="28"/>
  <c r="BD477" i="28"/>
  <c r="BD88" i="28"/>
  <c r="BD95" i="28"/>
  <c r="BD165" i="28"/>
  <c r="BD172" i="28"/>
  <c r="BD312" i="28"/>
  <c r="BD382" i="28"/>
  <c r="BD403" i="28"/>
  <c r="BD106" i="28"/>
  <c r="BD113" i="28"/>
  <c r="BD120" i="28"/>
  <c r="BD127" i="28"/>
  <c r="BD134" i="28"/>
  <c r="BD351" i="28"/>
  <c r="BD421" i="28"/>
  <c r="BD435" i="28"/>
  <c r="BD442" i="28"/>
  <c r="BD449" i="28"/>
  <c r="BD498" i="28"/>
  <c r="BD32" i="28"/>
  <c r="BD46" i="28"/>
  <c r="BD60" i="28"/>
  <c r="BD109" i="28"/>
  <c r="BD123" i="28"/>
  <c r="BD249" i="28"/>
  <c r="BD298" i="28"/>
  <c r="BD305" i="28"/>
  <c r="BD319" i="28"/>
  <c r="BD466" i="28"/>
  <c r="BD473" i="28"/>
  <c r="BD70" i="28"/>
  <c r="BD77" i="28"/>
  <c r="BD84" i="28"/>
  <c r="BD112" i="28"/>
  <c r="BD147" i="28"/>
  <c r="BD175" i="28"/>
  <c r="BD231" i="28"/>
  <c r="BD245" i="28"/>
  <c r="BD287" i="28"/>
  <c r="BD294" i="28"/>
  <c r="BD301" i="28"/>
  <c r="BD329" i="28"/>
  <c r="BD371" i="28"/>
  <c r="BD413" i="28"/>
  <c r="BD441" i="28"/>
  <c r="BD483" i="28"/>
  <c r="BD43" i="28"/>
  <c r="BD197" i="28"/>
  <c r="BD204" i="28"/>
  <c r="BD358" i="28"/>
  <c r="BD365" i="28"/>
  <c r="BD81" i="28"/>
  <c r="BD242" i="28"/>
  <c r="BD291" i="28"/>
  <c r="BD368" i="28"/>
  <c r="BD49" i="28"/>
  <c r="BD91" i="28"/>
  <c r="BD98" i="28"/>
  <c r="BD126" i="28"/>
  <c r="BD133" i="28"/>
  <c r="BD161" i="28"/>
  <c r="BD189" i="28"/>
  <c r="BD196" i="28"/>
  <c r="BD203" i="28"/>
  <c r="BD210" i="28"/>
  <c r="BD280" i="28"/>
  <c r="BD343" i="28"/>
  <c r="BD378" i="28"/>
  <c r="BD385" i="28"/>
  <c r="BD420" i="28"/>
  <c r="BD448" i="28"/>
  <c r="BD455" i="28"/>
  <c r="BD504" i="28"/>
  <c r="BD45" i="28"/>
  <c r="BD73" i="28"/>
  <c r="BD80" i="28"/>
  <c r="BD87" i="28"/>
  <c r="BD94" i="28"/>
  <c r="BD122" i="28"/>
  <c r="BD136" i="28"/>
  <c r="BD143" i="28"/>
  <c r="BD150" i="28"/>
  <c r="BD157" i="28"/>
  <c r="BD164" i="28"/>
  <c r="BD171" i="28"/>
  <c r="BD178" i="28"/>
  <c r="BD185" i="28"/>
  <c r="BD192" i="28"/>
  <c r="BD199" i="28"/>
  <c r="BD206" i="28"/>
  <c r="BD213" i="28"/>
  <c r="BD220" i="28"/>
  <c r="BD227" i="28"/>
  <c r="BD234" i="28"/>
  <c r="BD241" i="28"/>
  <c r="BD248" i="28"/>
  <c r="BD255" i="28"/>
  <c r="BD262" i="28"/>
  <c r="BD269" i="28"/>
  <c r="BD276" i="28"/>
  <c r="BD283" i="28"/>
  <c r="BD290" i="28"/>
  <c r="BD297" i="28"/>
  <c r="BD304" i="28"/>
  <c r="BD311" i="28"/>
  <c r="BD318" i="28"/>
  <c r="BD325" i="28"/>
  <c r="BD332" i="28"/>
  <c r="BD339" i="28"/>
  <c r="BD346" i="28"/>
  <c r="BD353" i="28"/>
  <c r="BD360" i="28"/>
  <c r="BD367" i="28"/>
  <c r="BD374" i="28"/>
  <c r="BD381" i="28"/>
  <c r="BD388" i="28"/>
  <c r="BD395" i="28"/>
  <c r="BD402" i="28"/>
  <c r="BD409" i="28"/>
  <c r="BD416" i="28"/>
  <c r="BD423" i="28"/>
  <c r="BD430" i="28"/>
  <c r="BD437" i="28"/>
  <c r="BD444" i="28"/>
  <c r="BD451" i="28"/>
  <c r="BD458" i="28"/>
  <c r="BD465" i="28"/>
  <c r="BD472" i="28"/>
  <c r="BD479" i="28"/>
  <c r="BD486" i="28"/>
  <c r="BD493" i="28"/>
  <c r="BD500" i="28"/>
  <c r="BD507" i="28"/>
  <c r="BD217" i="28"/>
  <c r="BD252" i="28"/>
  <c r="BD273" i="28"/>
  <c r="BD322" i="28"/>
  <c r="BD357" i="28"/>
  <c r="BD399" i="28"/>
  <c r="BD406" i="28"/>
  <c r="BD434" i="28"/>
  <c r="BD462" i="28"/>
  <c r="BD469" i="28"/>
  <c r="BD490" i="28"/>
  <c r="BD38" i="28"/>
  <c r="BD59" i="28"/>
  <c r="BD108" i="28"/>
  <c r="BD129" i="28"/>
  <c r="BD50" i="28"/>
  <c r="BD190" i="28"/>
  <c r="BD218" i="28"/>
  <c r="BD225" i="28"/>
  <c r="BD253" i="28"/>
  <c r="BD330" i="28"/>
  <c r="BD386" i="28"/>
  <c r="BD456" i="28"/>
  <c r="BD463" i="28"/>
  <c r="BD484" i="28"/>
  <c r="BD39" i="28"/>
  <c r="BD67" i="28"/>
  <c r="BD116" i="28"/>
  <c r="BD186" i="28"/>
  <c r="BD193" i="28"/>
  <c r="BD235" i="28"/>
  <c r="BD256" i="28"/>
  <c r="BD284" i="28"/>
  <c r="BD326" i="28"/>
  <c r="BD333" i="28"/>
  <c r="BD354" i="28"/>
  <c r="BD410" i="28"/>
  <c r="BD417" i="28"/>
  <c r="BD424" i="28"/>
  <c r="BD452" i="28"/>
  <c r="BD56" i="28"/>
  <c r="BD105" i="28"/>
  <c r="BD119" i="28"/>
  <c r="BD140" i="28"/>
  <c r="BD154" i="28"/>
  <c r="BD168" i="28"/>
  <c r="BD182" i="28"/>
  <c r="BD224" i="28"/>
  <c r="BD238" i="28"/>
  <c r="BD259" i="28"/>
  <c r="BD266" i="28"/>
  <c r="BD308" i="28"/>
  <c r="BD315" i="28"/>
  <c r="BD336" i="28"/>
  <c r="BD350" i="28"/>
  <c r="BD364" i="28"/>
  <c r="BD392" i="28"/>
  <c r="BD427" i="28"/>
  <c r="BD476" i="28"/>
  <c r="BD497" i="28"/>
  <c r="BD52" i="28"/>
  <c r="BD66" i="28"/>
  <c r="BD101" i="28"/>
  <c r="BD115" i="28"/>
  <c r="BD41" i="28"/>
  <c r="BD48" i="28"/>
  <c r="BD55" i="28"/>
  <c r="BD62" i="28"/>
  <c r="BD69" i="28"/>
  <c r="BD76" i="28"/>
  <c r="BD83" i="28"/>
  <c r="BD90" i="28"/>
  <c r="BD97" i="28"/>
  <c r="BD104" i="28"/>
  <c r="BD111" i="28"/>
  <c r="BD118" i="28"/>
  <c r="BD125" i="28"/>
  <c r="BD132" i="28"/>
  <c r="BD139" i="28"/>
  <c r="BD146" i="28"/>
  <c r="BD153" i="28"/>
  <c r="BD160" i="28"/>
  <c r="BD167" i="28"/>
  <c r="BD174" i="28"/>
  <c r="BD181" i="28"/>
  <c r="BD188" i="28"/>
  <c r="BD195" i="28"/>
  <c r="BD202" i="28"/>
  <c r="BD209" i="28"/>
  <c r="BD216" i="28"/>
  <c r="BD223" i="28"/>
  <c r="BD230" i="28"/>
  <c r="BD237" i="28"/>
  <c r="BD244" i="28"/>
  <c r="BD251" i="28"/>
  <c r="BD258" i="28"/>
  <c r="BD265" i="28"/>
  <c r="BD272" i="28"/>
  <c r="BD279" i="28"/>
  <c r="BD286" i="28"/>
  <c r="BD293" i="28"/>
  <c r="BD300" i="28"/>
  <c r="BD307" i="28"/>
  <c r="BD314" i="28"/>
  <c r="BD321" i="28"/>
  <c r="BD328" i="28"/>
  <c r="BD335" i="28"/>
  <c r="BD342" i="28"/>
  <c r="BD349" i="28"/>
  <c r="BD356" i="28"/>
  <c r="BD363" i="28"/>
  <c r="BD370" i="28"/>
  <c r="BD377" i="28"/>
  <c r="BD384" i="28"/>
  <c r="BD391" i="28"/>
  <c r="BD398" i="28"/>
  <c r="BD405" i="28"/>
  <c r="BD412" i="28"/>
  <c r="BD419" i="28"/>
  <c r="BD426" i="28"/>
  <c r="BD433" i="28"/>
  <c r="BD440" i="28"/>
  <c r="BD447" i="28"/>
  <c r="BD454" i="28"/>
  <c r="BD461" i="28"/>
  <c r="BD468" i="28"/>
  <c r="BD475" i="28"/>
  <c r="BD482" i="28"/>
  <c r="BD489" i="28"/>
  <c r="BD496" i="28"/>
  <c r="BD503" i="28"/>
  <c r="BD99" i="28"/>
  <c r="BD281" i="28"/>
  <c r="BD288" i="28"/>
  <c r="BD295" i="28"/>
  <c r="BD302" i="28"/>
  <c r="BD309" i="28"/>
  <c r="BD316" i="28"/>
  <c r="BD337" i="28"/>
  <c r="BD393" i="28"/>
  <c r="BD74" i="28"/>
  <c r="BD200" i="28"/>
  <c r="BD263" i="28"/>
  <c r="BD277" i="28"/>
  <c r="BD347" i="28"/>
  <c r="BD361" i="28"/>
  <c r="BD375" i="28"/>
  <c r="BD42" i="28"/>
  <c r="BD141" i="28"/>
  <c r="BD148" i="28"/>
  <c r="BD155" i="28"/>
  <c r="BD162" i="28"/>
  <c r="BD169" i="28"/>
  <c r="BD232" i="28"/>
  <c r="BD372" i="28"/>
  <c r="BD428" i="28"/>
  <c r="BD470" i="28"/>
  <c r="BD491" i="28"/>
  <c r="BD53" i="28"/>
  <c r="BD102" i="28"/>
  <c r="BD179" i="28"/>
  <c r="BD221" i="28"/>
  <c r="BD270" i="28"/>
  <c r="BD340" i="28"/>
  <c r="BD396" i="28"/>
  <c r="BD431" i="28"/>
  <c r="BD438" i="28"/>
  <c r="BD445" i="28"/>
  <c r="BD459" i="28"/>
  <c r="BD480" i="28"/>
  <c r="BD487" i="28"/>
  <c r="BD63" i="28"/>
  <c r="BD37" i="28"/>
  <c r="BD44" i="28"/>
  <c r="BD51" i="28"/>
  <c r="BD58" i="28"/>
  <c r="BD65" i="28"/>
  <c r="BD72" i="28"/>
  <c r="BD79" i="28"/>
  <c r="BD86" i="28"/>
  <c r="BD93" i="28"/>
  <c r="BD100" i="28"/>
  <c r="BD107" i="28"/>
  <c r="BD114" i="28"/>
  <c r="BD121" i="28"/>
  <c r="BD128" i="28"/>
  <c r="BD135" i="28"/>
  <c r="BD142" i="28"/>
  <c r="BD149" i="28"/>
  <c r="BD156" i="28"/>
  <c r="BD163" i="28"/>
  <c r="BD170" i="28"/>
  <c r="BD177" i="28"/>
  <c r="BD184" i="28"/>
  <c r="BD191" i="28"/>
  <c r="BD198" i="28"/>
  <c r="BD205" i="28"/>
  <c r="BD212" i="28"/>
  <c r="BD219" i="28"/>
  <c r="BD226" i="28"/>
  <c r="BD233" i="28"/>
  <c r="BD240" i="28"/>
  <c r="BD247" i="28"/>
  <c r="BD254" i="28"/>
  <c r="BD261" i="28"/>
  <c r="BD268" i="28"/>
  <c r="BD275" i="28"/>
  <c r="BD282" i="28"/>
  <c r="BD289" i="28"/>
  <c r="BD296" i="28"/>
  <c r="BD303" i="28"/>
  <c r="BD310" i="28"/>
  <c r="BD317" i="28"/>
  <c r="BD324" i="28"/>
  <c r="BD331" i="28"/>
  <c r="BD338" i="28"/>
  <c r="BD345" i="28"/>
  <c r="BD352" i="28"/>
  <c r="BD359" i="28"/>
  <c r="BD366" i="28"/>
  <c r="BD373" i="28"/>
  <c r="BD380" i="28"/>
  <c r="BD387" i="28"/>
  <c r="BD394" i="28"/>
  <c r="BD401" i="28"/>
  <c r="BD408" i="28"/>
  <c r="BD415" i="28"/>
  <c r="BD422" i="28"/>
  <c r="BD429" i="28"/>
  <c r="BD436" i="28"/>
  <c r="BD443" i="28"/>
  <c r="BD450" i="28"/>
  <c r="BD457" i="28"/>
  <c r="BD464" i="28"/>
  <c r="BD471" i="28"/>
  <c r="BD478" i="28"/>
  <c r="BD485" i="28"/>
  <c r="BD492" i="28"/>
  <c r="BD499" i="28"/>
  <c r="BD506" i="28"/>
  <c r="BD57" i="28"/>
  <c r="BD64" i="28"/>
  <c r="BD71" i="28"/>
  <c r="BD183" i="28"/>
  <c r="BD239" i="28"/>
  <c r="BD260" i="28"/>
  <c r="BD323" i="28"/>
  <c r="BD379" i="28"/>
  <c r="BD176" i="28"/>
  <c r="BD211" i="28"/>
  <c r="BD267" i="28"/>
  <c r="BD274" i="28"/>
  <c r="BD40" i="28"/>
  <c r="BD47" i="28"/>
  <c r="BD54" i="28"/>
  <c r="BD61" i="28"/>
  <c r="BD68" i="28"/>
  <c r="BD75" i="28"/>
  <c r="BD82" i="28"/>
  <c r="BD89" i="28"/>
  <c r="BD96" i="28"/>
  <c r="BD103" i="28"/>
  <c r="BD110" i="28"/>
  <c r="BD117" i="28"/>
  <c r="BD124" i="28"/>
  <c r="BD131" i="28"/>
  <c r="BD138" i="28"/>
  <c r="BD145" i="28"/>
  <c r="BD152" i="28"/>
  <c r="BD159" i="28"/>
  <c r="BD166" i="28"/>
  <c r="BD173" i="28"/>
  <c r="BD180" i="28"/>
  <c r="BD187" i="28"/>
  <c r="BD194" i="28"/>
  <c r="BD201" i="28"/>
  <c r="BD208" i="28"/>
  <c r="BD215" i="28"/>
  <c r="BD222" i="28"/>
  <c r="BD229" i="28"/>
  <c r="BD236" i="28"/>
  <c r="BD243" i="28"/>
  <c r="BD250" i="28"/>
  <c r="BD257" i="28"/>
  <c r="BD264" i="28"/>
  <c r="BD271" i="28"/>
  <c r="BD278" i="28"/>
  <c r="BD285" i="28"/>
  <c r="BD292" i="28"/>
  <c r="BD299" i="28"/>
  <c r="BD306" i="28"/>
  <c r="BD313" i="28"/>
  <c r="BD320" i="28"/>
  <c r="BD327" i="28"/>
  <c r="BD334" i="28"/>
  <c r="BD341" i="28"/>
  <c r="BD348" i="28"/>
  <c r="BD355" i="28"/>
  <c r="BD362" i="28"/>
  <c r="BD369" i="28"/>
  <c r="BD376" i="28"/>
  <c r="BD383" i="28"/>
  <c r="BD390" i="28"/>
  <c r="BD397" i="28"/>
  <c r="BD404" i="28"/>
  <c r="BD411" i="28"/>
  <c r="BD418" i="28"/>
  <c r="BD425" i="28"/>
  <c r="BD432" i="28"/>
  <c r="BD439" i="28"/>
  <c r="BD446" i="28"/>
  <c r="BD453" i="28"/>
  <c r="BD460" i="28"/>
  <c r="BD467" i="28"/>
  <c r="BD474" i="28"/>
  <c r="BD481" i="28"/>
  <c r="BD488" i="28"/>
  <c r="BD495" i="28"/>
  <c r="BD502" i="28"/>
  <c r="BD505" i="28"/>
  <c r="BD34" i="28"/>
  <c r="BD33" i="28"/>
  <c r="BD36" i="28"/>
  <c r="BD35" i="28"/>
  <c r="BE37" i="28"/>
  <c r="BE93" i="28"/>
  <c r="BE100" i="28"/>
  <c r="BE135" i="28"/>
  <c r="BE67" i="28"/>
  <c r="BE95" i="28"/>
  <c r="BE116" i="28"/>
  <c r="BE123" i="28"/>
  <c r="BE137" i="28"/>
  <c r="BE144" i="28"/>
  <c r="BE151" i="28"/>
  <c r="BE158" i="28"/>
  <c r="BE165" i="28"/>
  <c r="BE172" i="28"/>
  <c r="BE179" i="28"/>
  <c r="BE186" i="28"/>
  <c r="BE193" i="28"/>
  <c r="BE200" i="28"/>
  <c r="BE207" i="28"/>
  <c r="BE214" i="28"/>
  <c r="BE221" i="28"/>
  <c r="BE228" i="28"/>
  <c r="BE235" i="28"/>
  <c r="BE242" i="28"/>
  <c r="BE249" i="28"/>
  <c r="BE256" i="28"/>
  <c r="BE263" i="28"/>
  <c r="BE270" i="28"/>
  <c r="BE277" i="28"/>
  <c r="BE284" i="28"/>
  <c r="BE291" i="28"/>
  <c r="BE298" i="28"/>
  <c r="BE305" i="28"/>
  <c r="BE312" i="28"/>
  <c r="BE319" i="28"/>
  <c r="BE326" i="28"/>
  <c r="BE333" i="28"/>
  <c r="BE340" i="28"/>
  <c r="BE347" i="28"/>
  <c r="BE354" i="28"/>
  <c r="BE361" i="28"/>
  <c r="BE368" i="28"/>
  <c r="BE375" i="28"/>
  <c r="BE382" i="28"/>
  <c r="BE389" i="28"/>
  <c r="BE396" i="28"/>
  <c r="BE403" i="28"/>
  <c r="BE410" i="28"/>
  <c r="BE417" i="28"/>
  <c r="BE424" i="28"/>
  <c r="BE431" i="28"/>
  <c r="BE438" i="28"/>
  <c r="BE445" i="28"/>
  <c r="BE452" i="28"/>
  <c r="BE459" i="28"/>
  <c r="BE466" i="28"/>
  <c r="BE473" i="28"/>
  <c r="BE480" i="28"/>
  <c r="BE487" i="28"/>
  <c r="BE494" i="28"/>
  <c r="BE501" i="28"/>
  <c r="BE32" i="28"/>
  <c r="BE74" i="28"/>
  <c r="BE81" i="28"/>
  <c r="BE109" i="28"/>
  <c r="BE252" i="28"/>
  <c r="BE266" i="28"/>
  <c r="BE301" i="28"/>
  <c r="BE322" i="28"/>
  <c r="BE336" i="28"/>
  <c r="BE357" i="28"/>
  <c r="BE371" i="28"/>
  <c r="BE392" i="28"/>
  <c r="BE406" i="28"/>
  <c r="BE427" i="28"/>
  <c r="BE441" i="28"/>
  <c r="BE462" i="28"/>
  <c r="BE469" i="28"/>
  <c r="BE483" i="28"/>
  <c r="BE490" i="28"/>
  <c r="BE51" i="28"/>
  <c r="BE46" i="28"/>
  <c r="BE53" i="28"/>
  <c r="BE102" i="28"/>
  <c r="BE130" i="28"/>
  <c r="BE42" i="28"/>
  <c r="BE56" i="28"/>
  <c r="BE70" i="28"/>
  <c r="BE77" i="28"/>
  <c r="BE84" i="28"/>
  <c r="BE91" i="28"/>
  <c r="BE98" i="28"/>
  <c r="BE105" i="28"/>
  <c r="BE112" i="28"/>
  <c r="BE119" i="28"/>
  <c r="BE126" i="28"/>
  <c r="BE133" i="28"/>
  <c r="BE140" i="28"/>
  <c r="BE147" i="28"/>
  <c r="BE154" i="28"/>
  <c r="BE161" i="28"/>
  <c r="BE168" i="28"/>
  <c r="BE175" i="28"/>
  <c r="BE182" i="28"/>
  <c r="BE189" i="28"/>
  <c r="BE196" i="28"/>
  <c r="BE203" i="28"/>
  <c r="BE210" i="28"/>
  <c r="BE217" i="28"/>
  <c r="BE224" i="28"/>
  <c r="BE245" i="28"/>
  <c r="BE280" i="28"/>
  <c r="BE287" i="28"/>
  <c r="BE315" i="28"/>
  <c r="BE350" i="28"/>
  <c r="BE385" i="28"/>
  <c r="BE420" i="28"/>
  <c r="BE455" i="28"/>
  <c r="BE504" i="28"/>
  <c r="BE45" i="28"/>
  <c r="BE52" i="28"/>
  <c r="BE59" i="28"/>
  <c r="BE66" i="28"/>
  <c r="BE73" i="28"/>
  <c r="BE80" i="28"/>
  <c r="BE87" i="28"/>
  <c r="BE94" i="28"/>
  <c r="BE101" i="28"/>
  <c r="BE108" i="28"/>
  <c r="BE115" i="28"/>
  <c r="BE122" i="28"/>
  <c r="BE129" i="28"/>
  <c r="BE136" i="28"/>
  <c r="BE143" i="28"/>
  <c r="BE150" i="28"/>
  <c r="BE157" i="28"/>
  <c r="BE164" i="28"/>
  <c r="BE171" i="28"/>
  <c r="BE178" i="28"/>
  <c r="BE185" i="28"/>
  <c r="BE192" i="28"/>
  <c r="BE199" i="28"/>
  <c r="BE206" i="28"/>
  <c r="BE213" i="28"/>
  <c r="BE220" i="28"/>
  <c r="BE227" i="28"/>
  <c r="BE234" i="28"/>
  <c r="BE241" i="28"/>
  <c r="BE248" i="28"/>
  <c r="BE255" i="28"/>
  <c r="BE262" i="28"/>
  <c r="BE269" i="28"/>
  <c r="BE276" i="28"/>
  <c r="BE283" i="28"/>
  <c r="BE290" i="28"/>
  <c r="BE297" i="28"/>
  <c r="BE304" i="28"/>
  <c r="BE311" i="28"/>
  <c r="BE318" i="28"/>
  <c r="BE325" i="28"/>
  <c r="BE332" i="28"/>
  <c r="BE339" i="28"/>
  <c r="BE346" i="28"/>
  <c r="BE353" i="28"/>
  <c r="BE360" i="28"/>
  <c r="BE367" i="28"/>
  <c r="BE374" i="28"/>
  <c r="BE381" i="28"/>
  <c r="BE388" i="28"/>
  <c r="BE395" i="28"/>
  <c r="BE402" i="28"/>
  <c r="BE409" i="28"/>
  <c r="BE416" i="28"/>
  <c r="BE423" i="28"/>
  <c r="BE430" i="28"/>
  <c r="BE437" i="28"/>
  <c r="BE444" i="28"/>
  <c r="BE451" i="28"/>
  <c r="BE458" i="28"/>
  <c r="BE465" i="28"/>
  <c r="BE472" i="28"/>
  <c r="BE479" i="28"/>
  <c r="BE486" i="28"/>
  <c r="BE493" i="28"/>
  <c r="BE500" i="28"/>
  <c r="BE507" i="28"/>
  <c r="BE231" i="28"/>
  <c r="BE238" i="28"/>
  <c r="BE259" i="28"/>
  <c r="BE273" i="28"/>
  <c r="BE294" i="28"/>
  <c r="BE308" i="28"/>
  <c r="BE329" i="28"/>
  <c r="BE343" i="28"/>
  <c r="BE364" i="28"/>
  <c r="BE378" i="28"/>
  <c r="BE399" i="28"/>
  <c r="BE413" i="28"/>
  <c r="BE434" i="28"/>
  <c r="BE448" i="28"/>
  <c r="BE476" i="28"/>
  <c r="BE497" i="28"/>
  <c r="BE38" i="28"/>
  <c r="BE39" i="28"/>
  <c r="BE60" i="28"/>
  <c r="BE88" i="28"/>
  <c r="BE35" i="28"/>
  <c r="BE49" i="28"/>
  <c r="BE63" i="28"/>
  <c r="BE34" i="28"/>
  <c r="BE41" i="28"/>
  <c r="BE48" i="28"/>
  <c r="BE55" i="28"/>
  <c r="BE62" i="28"/>
  <c r="BE69" i="28"/>
  <c r="BE76" i="28"/>
  <c r="BE83" i="28"/>
  <c r="BE90" i="28"/>
  <c r="BE97" i="28"/>
  <c r="BE104" i="28"/>
  <c r="BE111" i="28"/>
  <c r="BE118" i="28"/>
  <c r="BE125" i="28"/>
  <c r="BE132" i="28"/>
  <c r="BE139" i="28"/>
  <c r="BE146" i="28"/>
  <c r="BE153" i="28"/>
  <c r="BE160" i="28"/>
  <c r="BE167" i="28"/>
  <c r="BE174" i="28"/>
  <c r="BE181" i="28"/>
  <c r="BE188" i="28"/>
  <c r="BE195" i="28"/>
  <c r="BE202" i="28"/>
  <c r="BE209" i="28"/>
  <c r="BE216" i="28"/>
  <c r="BE223" i="28"/>
  <c r="BE230" i="28"/>
  <c r="BE237" i="28"/>
  <c r="BE244" i="28"/>
  <c r="BE251" i="28"/>
  <c r="BE258" i="28"/>
  <c r="BE265" i="28"/>
  <c r="BE272" i="28"/>
  <c r="BE279" i="28"/>
  <c r="BE286" i="28"/>
  <c r="BE293" i="28"/>
  <c r="BE300" i="28"/>
  <c r="BE307" i="28"/>
  <c r="BE314" i="28"/>
  <c r="BE321" i="28"/>
  <c r="BE328" i="28"/>
  <c r="BE335" i="28"/>
  <c r="BE342" i="28"/>
  <c r="BE349" i="28"/>
  <c r="BE356" i="28"/>
  <c r="BE363" i="28"/>
  <c r="BE370" i="28"/>
  <c r="BE377" i="28"/>
  <c r="BE384" i="28"/>
  <c r="BE391" i="28"/>
  <c r="BE398" i="28"/>
  <c r="BE405" i="28"/>
  <c r="BE412" i="28"/>
  <c r="BE419" i="28"/>
  <c r="BE426" i="28"/>
  <c r="BE433" i="28"/>
  <c r="BE440" i="28"/>
  <c r="BE447" i="28"/>
  <c r="BE454" i="28"/>
  <c r="BE461" i="28"/>
  <c r="BE468" i="28"/>
  <c r="BE475" i="28"/>
  <c r="BE482" i="28"/>
  <c r="BE489" i="28"/>
  <c r="BE496" i="28"/>
  <c r="BE503" i="28"/>
  <c r="BE58" i="28"/>
  <c r="BE114" i="28"/>
  <c r="BE170" i="28"/>
  <c r="BE177" i="28"/>
  <c r="BE184" i="28"/>
  <c r="BE191" i="28"/>
  <c r="BE198" i="28"/>
  <c r="BE205" i="28"/>
  <c r="BE212" i="28"/>
  <c r="BE219" i="28"/>
  <c r="BE226" i="28"/>
  <c r="BE233" i="28"/>
  <c r="BE240" i="28"/>
  <c r="BE247" i="28"/>
  <c r="BE254" i="28"/>
  <c r="BE261" i="28"/>
  <c r="BE268" i="28"/>
  <c r="BE275" i="28"/>
  <c r="BE282" i="28"/>
  <c r="BE289" i="28"/>
  <c r="BE296" i="28"/>
  <c r="BE303" i="28"/>
  <c r="BE310" i="28"/>
  <c r="BE317" i="28"/>
  <c r="BE324" i="28"/>
  <c r="BE331" i="28"/>
  <c r="BE338" i="28"/>
  <c r="BE345" i="28"/>
  <c r="BE352" i="28"/>
  <c r="BE359" i="28"/>
  <c r="BE366" i="28"/>
  <c r="BE373" i="28"/>
  <c r="BE380" i="28"/>
  <c r="BE387" i="28"/>
  <c r="BE394" i="28"/>
  <c r="BE401" i="28"/>
  <c r="BE408" i="28"/>
  <c r="BE415" i="28"/>
  <c r="BE422" i="28"/>
  <c r="BE429" i="28"/>
  <c r="BE436" i="28"/>
  <c r="BE443" i="28"/>
  <c r="BE450" i="28"/>
  <c r="BE457" i="28"/>
  <c r="BE464" i="28"/>
  <c r="BE471" i="28"/>
  <c r="BE478" i="28"/>
  <c r="BE485" i="28"/>
  <c r="BE492" i="28"/>
  <c r="BE499" i="28"/>
  <c r="BE506" i="28"/>
  <c r="BE65" i="28"/>
  <c r="BE107" i="28"/>
  <c r="BE149" i="28"/>
  <c r="BE163" i="28"/>
  <c r="BE33" i="28"/>
  <c r="BE54" i="28"/>
  <c r="BE75" i="28"/>
  <c r="BE96" i="28"/>
  <c r="BE103" i="28"/>
  <c r="BE110" i="28"/>
  <c r="BE117" i="28"/>
  <c r="BE124" i="28"/>
  <c r="BE131" i="28"/>
  <c r="BE138" i="28"/>
  <c r="BE145" i="28"/>
  <c r="BE152" i="28"/>
  <c r="BE159" i="28"/>
  <c r="BE166" i="28"/>
  <c r="BE173" i="28"/>
  <c r="BE180" i="28"/>
  <c r="BE187" i="28"/>
  <c r="BE194" i="28"/>
  <c r="BE201" i="28"/>
  <c r="BE208" i="28"/>
  <c r="BE215" i="28"/>
  <c r="BE222" i="28"/>
  <c r="BE229" i="28"/>
  <c r="BE236" i="28"/>
  <c r="BE243" i="28"/>
  <c r="BE250" i="28"/>
  <c r="BE257" i="28"/>
  <c r="BE264" i="28"/>
  <c r="BE271" i="28"/>
  <c r="BE278" i="28"/>
  <c r="BE285" i="28"/>
  <c r="BE292" i="28"/>
  <c r="BE299" i="28"/>
  <c r="BE306" i="28"/>
  <c r="BE313" i="28"/>
  <c r="BE320" i="28"/>
  <c r="BE327" i="28"/>
  <c r="BE334" i="28"/>
  <c r="BE341" i="28"/>
  <c r="BE348" i="28"/>
  <c r="BE355" i="28"/>
  <c r="BE362" i="28"/>
  <c r="BE369" i="28"/>
  <c r="BE376" i="28"/>
  <c r="BE383" i="28"/>
  <c r="BE390" i="28"/>
  <c r="BE397" i="28"/>
  <c r="BE404" i="28"/>
  <c r="BE411" i="28"/>
  <c r="BE418" i="28"/>
  <c r="BE425" i="28"/>
  <c r="BE432" i="28"/>
  <c r="BE439" i="28"/>
  <c r="BE446" i="28"/>
  <c r="BE453" i="28"/>
  <c r="BE460" i="28"/>
  <c r="BE467" i="28"/>
  <c r="BE474" i="28"/>
  <c r="BE481" i="28"/>
  <c r="BE488" i="28"/>
  <c r="BE495" i="28"/>
  <c r="BE502" i="28"/>
  <c r="BE44" i="28"/>
  <c r="BE156" i="28"/>
  <c r="BE47" i="28"/>
  <c r="BE68" i="28"/>
  <c r="BE89" i="28"/>
  <c r="BE72" i="28"/>
  <c r="BE79" i="28"/>
  <c r="BE86" i="28"/>
  <c r="BE40" i="28"/>
  <c r="BE61" i="28"/>
  <c r="BE82" i="28"/>
  <c r="BE36" i="28"/>
  <c r="BE43" i="28"/>
  <c r="BE50" i="28"/>
  <c r="BE57" i="28"/>
  <c r="BE64" i="28"/>
  <c r="BE71" i="28"/>
  <c r="BE78" i="28"/>
  <c r="BE85" i="28"/>
  <c r="BE92" i="28"/>
  <c r="BE99" i="28"/>
  <c r="BE106" i="28"/>
  <c r="BE113" i="28"/>
  <c r="BE120" i="28"/>
  <c r="BE127" i="28"/>
  <c r="BE134" i="28"/>
  <c r="BE141" i="28"/>
  <c r="BE148" i="28"/>
  <c r="BE155" i="28"/>
  <c r="BE162" i="28"/>
  <c r="BE169" i="28"/>
  <c r="BE176" i="28"/>
  <c r="BE183" i="28"/>
  <c r="BE190" i="28"/>
  <c r="BE197" i="28"/>
  <c r="BE204" i="28"/>
  <c r="BE211" i="28"/>
  <c r="BE218" i="28"/>
  <c r="BE225" i="28"/>
  <c r="BE232" i="28"/>
  <c r="BE239" i="28"/>
  <c r="BE246" i="28"/>
  <c r="BE253" i="28"/>
  <c r="BE260" i="28"/>
  <c r="BE267" i="28"/>
  <c r="BE274" i="28"/>
  <c r="BE281" i="28"/>
  <c r="BE288" i="28"/>
  <c r="BE295" i="28"/>
  <c r="BE302" i="28"/>
  <c r="BE309" i="28"/>
  <c r="BE316" i="28"/>
  <c r="BE323" i="28"/>
  <c r="BE330" i="28"/>
  <c r="BE337" i="28"/>
  <c r="BE344" i="28"/>
  <c r="BE351" i="28"/>
  <c r="BE358" i="28"/>
  <c r="BE365" i="28"/>
  <c r="BE372" i="28"/>
  <c r="BE379" i="28"/>
  <c r="BE386" i="28"/>
  <c r="BE393" i="28"/>
  <c r="BE400" i="28"/>
  <c r="BE407" i="28"/>
  <c r="BE414" i="28"/>
  <c r="BE421" i="28"/>
  <c r="BE428" i="28"/>
  <c r="BE435" i="28"/>
  <c r="BE442" i="28"/>
  <c r="BE449" i="28"/>
  <c r="BE456" i="28"/>
  <c r="BE463" i="28"/>
  <c r="BE470" i="28"/>
  <c r="BE477" i="28"/>
  <c r="BE484" i="28"/>
  <c r="BE491" i="28"/>
  <c r="BE498" i="28"/>
  <c r="BE505" i="28"/>
  <c r="BE121" i="28"/>
  <c r="BE128" i="28"/>
  <c r="BE142" i="28"/>
  <c r="W221" i="28"/>
  <c r="W139" i="28"/>
  <c r="W79" i="28"/>
  <c r="Z128" i="28"/>
  <c r="W268" i="28"/>
  <c r="Z282" i="28"/>
  <c r="W236" i="28"/>
  <c r="Z248" i="28"/>
  <c r="Z52" i="28"/>
  <c r="AJ75" i="28"/>
  <c r="AH75" i="28"/>
  <c r="AG75" i="28"/>
  <c r="AI75" i="28"/>
  <c r="W75" i="28"/>
  <c r="Z75" i="28"/>
  <c r="AJ142" i="28"/>
  <c r="AI142" i="28"/>
  <c r="AG142" i="28"/>
  <c r="AH142" i="28"/>
  <c r="Z142" i="28"/>
  <c r="W142" i="28"/>
  <c r="AI211" i="28"/>
  <c r="AH211" i="28"/>
  <c r="AG211" i="28"/>
  <c r="AJ211" i="28"/>
  <c r="Z211" i="28"/>
  <c r="W211" i="28"/>
  <c r="AH249" i="28"/>
  <c r="AJ249" i="28"/>
  <c r="AI249" i="28"/>
  <c r="AG249" i="28"/>
  <c r="Z249" i="28"/>
  <c r="W249" i="28"/>
  <c r="AJ417" i="28"/>
  <c r="AI417" i="28"/>
  <c r="AG417" i="28"/>
  <c r="AH417" i="28"/>
  <c r="W417" i="28"/>
  <c r="Z417" i="28"/>
  <c r="AH112" i="28"/>
  <c r="AJ112" i="28"/>
  <c r="AI112" i="28"/>
  <c r="AG112" i="28"/>
  <c r="Z112" i="28"/>
  <c r="W112" i="28"/>
  <c r="AJ61" i="28"/>
  <c r="AI61" i="28"/>
  <c r="AH61" i="28"/>
  <c r="AG61" i="28"/>
  <c r="W61" i="28"/>
  <c r="Z61" i="28"/>
  <c r="AH62" i="28"/>
  <c r="AJ62" i="28"/>
  <c r="AI62" i="28"/>
  <c r="AG62" i="28"/>
  <c r="Z62" i="28"/>
  <c r="W62" i="28"/>
  <c r="AI38" i="28"/>
  <c r="AI40" i="28"/>
  <c r="AH42" i="28"/>
  <c r="AJ42" i="28"/>
  <c r="AI42" i="28"/>
  <c r="AG42" i="28"/>
  <c r="Z42" i="28"/>
  <c r="W42" i="28"/>
  <c r="AJ57" i="28"/>
  <c r="AG57" i="28"/>
  <c r="AI57" i="28"/>
  <c r="AH57" i="28"/>
  <c r="Z57" i="28"/>
  <c r="AJ59" i="28"/>
  <c r="AI59" i="28"/>
  <c r="AH59" i="28"/>
  <c r="AG59" i="28"/>
  <c r="Z59" i="28"/>
  <c r="W59" i="28"/>
  <c r="AI60" i="28"/>
  <c r="AJ60" i="28"/>
  <c r="AG60" i="28"/>
  <c r="AH60" i="28"/>
  <c r="Z60" i="28"/>
  <c r="W60" i="28"/>
  <c r="AI74" i="28"/>
  <c r="AH74" i="28"/>
  <c r="AG74" i="28"/>
  <c r="AJ74" i="28"/>
  <c r="Z74" i="28"/>
  <c r="W74" i="28"/>
  <c r="AI94" i="28"/>
  <c r="AH94" i="28"/>
  <c r="AG94" i="28"/>
  <c r="AJ94" i="28"/>
  <c r="W94" i="28"/>
  <c r="Z94" i="28"/>
  <c r="AI153" i="28"/>
  <c r="AJ153" i="28"/>
  <c r="AG153" i="28"/>
  <c r="AH153" i="28"/>
  <c r="Z153" i="28"/>
  <c r="W153" i="28"/>
  <c r="AJ171" i="28"/>
  <c r="AI171" i="28"/>
  <c r="AH171" i="28"/>
  <c r="AG171" i="28"/>
  <c r="W171" i="28"/>
  <c r="Z171" i="28"/>
  <c r="AJ190" i="28"/>
  <c r="AI190" i="28"/>
  <c r="AH190" i="28"/>
  <c r="AG190" i="28"/>
  <c r="Z190" i="28"/>
  <c r="W190" i="28"/>
  <c r="AH192" i="28"/>
  <c r="AI192" i="28"/>
  <c r="AG192" i="28"/>
  <c r="AJ192" i="28"/>
  <c r="Z192" i="28"/>
  <c r="W192" i="28"/>
  <c r="AJ292" i="28"/>
  <c r="AI292" i="28"/>
  <c r="AH292" i="28"/>
  <c r="AG292" i="28"/>
  <c r="Z292" i="28"/>
  <c r="W292" i="28"/>
  <c r="AJ305" i="28"/>
  <c r="AI305" i="28"/>
  <c r="AH305" i="28"/>
  <c r="AG305" i="28"/>
  <c r="Z305" i="28"/>
  <c r="W305" i="28"/>
  <c r="AG342" i="28"/>
  <c r="AI342" i="28"/>
  <c r="AH343" i="28"/>
  <c r="AI343" i="28"/>
  <c r="AJ343" i="28"/>
  <c r="AG343" i="28"/>
  <c r="AJ368" i="28"/>
  <c r="AI368" i="28"/>
  <c r="AG368" i="28"/>
  <c r="AH368" i="28"/>
  <c r="W368" i="28"/>
  <c r="Z368" i="28"/>
  <c r="AI382" i="28"/>
  <c r="AJ382" i="28"/>
  <c r="AG382" i="28"/>
  <c r="AH382" i="28"/>
  <c r="Z382" i="28"/>
  <c r="W382" i="28"/>
  <c r="AI409" i="28"/>
  <c r="AG409" i="28"/>
  <c r="AJ409" i="28"/>
  <c r="AH409" i="28"/>
  <c r="W409" i="28"/>
  <c r="Z409" i="28"/>
  <c r="AI425" i="28"/>
  <c r="AG425" i="28"/>
  <c r="AJ425" i="28"/>
  <c r="AH425" i="28"/>
  <c r="Z425" i="28"/>
  <c r="W425" i="28"/>
  <c r="AG506" i="28"/>
  <c r="AI506" i="28"/>
  <c r="AJ506" i="28" s="1"/>
  <c r="AG55" i="28"/>
  <c r="AJ55" i="28"/>
  <c r="AI55" i="28"/>
  <c r="AH55" i="28"/>
  <c r="Z55" i="28"/>
  <c r="W55" i="28"/>
  <c r="AJ91" i="28"/>
  <c r="AH91" i="28"/>
  <c r="AI91" i="28"/>
  <c r="AG91" i="28"/>
  <c r="W91" i="28"/>
  <c r="Z91" i="28"/>
  <c r="AH140" i="28"/>
  <c r="AJ140" i="28"/>
  <c r="AI140" i="28"/>
  <c r="AG140" i="28"/>
  <c r="Z140" i="28"/>
  <c r="W140" i="28"/>
  <c r="AI58" i="28"/>
  <c r="AJ58" i="28"/>
  <c r="AH58" i="28"/>
  <c r="AG58" i="28"/>
  <c r="W58" i="28"/>
  <c r="Z58" i="28"/>
  <c r="AJ53" i="28"/>
  <c r="AI53" i="28"/>
  <c r="AG53" i="28"/>
  <c r="AH53" i="28"/>
  <c r="W53" i="28"/>
  <c r="Z53" i="28"/>
  <c r="AJ54" i="28"/>
  <c r="AI54" i="28"/>
  <c r="AH54" i="28"/>
  <c r="AG54" i="28"/>
  <c r="Z54" i="28"/>
  <c r="W54" i="28"/>
  <c r="AJ73" i="28"/>
  <c r="AI73" i="28"/>
  <c r="AH73" i="28"/>
  <c r="AG73" i="28"/>
  <c r="Z73" i="28"/>
  <c r="W73" i="28"/>
  <c r="AI90" i="28"/>
  <c r="AH90" i="28"/>
  <c r="AJ90" i="28"/>
  <c r="AG90" i="28"/>
  <c r="Z90" i="28"/>
  <c r="W90" i="28"/>
  <c r="AJ151" i="28"/>
  <c r="AI151" i="28"/>
  <c r="AH151" i="28"/>
  <c r="AG151" i="28"/>
  <c r="W151" i="28"/>
  <c r="Z151" i="28"/>
  <c r="AH152" i="28"/>
  <c r="AG152" i="28"/>
  <c r="AJ152" i="28"/>
  <c r="AI152" i="28"/>
  <c r="Z152" i="28"/>
  <c r="W152" i="28"/>
  <c r="AJ168" i="28"/>
  <c r="AI168" i="28"/>
  <c r="AH168" i="28"/>
  <c r="AG168" i="28"/>
  <c r="Z168" i="28"/>
  <c r="W168" i="28"/>
  <c r="AG170" i="28"/>
  <c r="AH170" i="28"/>
  <c r="AJ170" i="28"/>
  <c r="AI170" i="28"/>
  <c r="Z170" i="28"/>
  <c r="W170" i="28"/>
  <c r="AJ225" i="28"/>
  <c r="AI225" i="28"/>
  <c r="AG225" i="28"/>
  <c r="AH225" i="28"/>
  <c r="Z225" i="28"/>
  <c r="W225" i="28"/>
  <c r="AJ226" i="28"/>
  <c r="AH226" i="28"/>
  <c r="AG226" i="28"/>
  <c r="AI226" i="28"/>
  <c r="Z226" i="28"/>
  <c r="W226" i="28"/>
  <c r="AI271" i="28"/>
  <c r="AJ271" i="28"/>
  <c r="AH271" i="28"/>
  <c r="AG271" i="28"/>
  <c r="W271" i="28"/>
  <c r="Z271" i="28"/>
  <c r="AG488" i="28"/>
  <c r="AI488" i="28"/>
  <c r="AJ488" i="28"/>
  <c r="AJ367" i="28"/>
  <c r="AI367" i="28"/>
  <c r="AH367" i="28"/>
  <c r="AG367" i="28"/>
  <c r="Z367" i="28"/>
  <c r="W367" i="28"/>
  <c r="AH374" i="28"/>
  <c r="AG374" i="28"/>
  <c r="AI374" i="28"/>
  <c r="AJ374" i="28"/>
  <c r="W374" i="28"/>
  <c r="Z374" i="28"/>
  <c r="AG135" i="28"/>
  <c r="AJ135" i="28"/>
  <c r="AI135" i="28"/>
  <c r="AH135" i="28"/>
  <c r="Z135" i="28"/>
  <c r="W135" i="28"/>
  <c r="AI136" i="28"/>
  <c r="AH136" i="28"/>
  <c r="AG136" i="28"/>
  <c r="AJ136" i="28"/>
  <c r="Z136" i="28"/>
  <c r="W136" i="28"/>
  <c r="AG149" i="28"/>
  <c r="AJ149" i="28"/>
  <c r="AI149" i="28"/>
  <c r="AH149" i="28"/>
  <c r="Z149" i="28"/>
  <c r="W149" i="28"/>
  <c r="AJ158" i="28"/>
  <c r="AH158" i="28"/>
  <c r="AI158" i="28"/>
  <c r="AG158" i="28"/>
  <c r="Z158" i="28"/>
  <c r="W158" i="28"/>
  <c r="AJ179" i="28"/>
  <c r="AG179" i="28"/>
  <c r="AH179" i="28"/>
  <c r="AI179" i="28"/>
  <c r="Z179" i="28"/>
  <c r="W179" i="28"/>
  <c r="AH207" i="28"/>
  <c r="AJ207" i="28"/>
  <c r="AI207" i="28"/>
  <c r="AG207" i="28"/>
  <c r="Z207" i="28"/>
  <c r="W207" i="28"/>
  <c r="AJ215" i="28"/>
  <c r="AI215" i="28"/>
  <c r="AH215" i="28"/>
  <c r="AG215" i="28"/>
  <c r="W215" i="28"/>
  <c r="Z215" i="28"/>
  <c r="AG224" i="28"/>
  <c r="AI224" i="28"/>
  <c r="AH224" i="28"/>
  <c r="AJ224" i="28"/>
  <c r="Z224" i="28"/>
  <c r="W224" i="28"/>
  <c r="AJ289" i="28"/>
  <c r="AI289" i="28"/>
  <c r="AH289" i="28"/>
  <c r="AG289" i="28"/>
  <c r="W289" i="28"/>
  <c r="Z289" i="28"/>
  <c r="AJ346" i="28"/>
  <c r="AG346" i="28"/>
  <c r="Z346" i="28"/>
  <c r="AI346" i="28"/>
  <c r="W46" i="28"/>
  <c r="AH56" i="28"/>
  <c r="AJ56" i="28"/>
  <c r="AI56" i="28"/>
  <c r="AG56" i="28"/>
  <c r="W56" i="28"/>
  <c r="Z56" i="28"/>
  <c r="AI180" i="28"/>
  <c r="AJ180" i="28"/>
  <c r="AH180" i="28"/>
  <c r="AG180" i="28"/>
  <c r="Z180" i="28"/>
  <c r="W180" i="28"/>
  <c r="AH405" i="28"/>
  <c r="AG405" i="28"/>
  <c r="AJ405" i="28"/>
  <c r="AI405" i="28"/>
  <c r="Z405" i="28"/>
  <c r="W405" i="28"/>
  <c r="AJ85" i="28"/>
  <c r="AG85" i="28"/>
  <c r="AI85" i="28"/>
  <c r="AH85" i="28"/>
  <c r="Z85" i="28"/>
  <c r="W85" i="28"/>
  <c r="AJ109" i="28"/>
  <c r="AI109" i="28"/>
  <c r="AG109" i="28"/>
  <c r="AH109" i="28"/>
  <c r="W109" i="28"/>
  <c r="Z109" i="28"/>
  <c r="AJ110" i="28"/>
  <c r="AI110" i="28"/>
  <c r="AH110" i="28"/>
  <c r="AG110" i="28"/>
  <c r="Z110" i="28"/>
  <c r="W110" i="28"/>
  <c r="AJ134" i="28"/>
  <c r="AI134" i="28"/>
  <c r="AH134" i="28"/>
  <c r="AG134" i="28"/>
  <c r="Z134" i="28"/>
  <c r="W134" i="28"/>
  <c r="AJ148" i="28"/>
  <c r="AH148" i="28"/>
  <c r="AG148" i="28"/>
  <c r="AI148" i="28"/>
  <c r="W148" i="28"/>
  <c r="Z148" i="28"/>
  <c r="AJ166" i="28"/>
  <c r="AH166" i="28"/>
  <c r="AG166" i="28"/>
  <c r="AI166" i="28"/>
  <c r="Z166" i="28"/>
  <c r="W166" i="28"/>
  <c r="AG253" i="28"/>
  <c r="AJ253" i="28"/>
  <c r="AH253" i="28"/>
  <c r="AI253" i="28"/>
  <c r="Z253" i="28"/>
  <c r="W253" i="28"/>
  <c r="AI486" i="28"/>
  <c r="AJ486" i="28" s="1"/>
  <c r="AG486" i="28"/>
  <c r="Z486" i="28"/>
  <c r="AJ113" i="28"/>
  <c r="AH113" i="28"/>
  <c r="AG113" i="28"/>
  <c r="Z113" i="28"/>
  <c r="W113" i="28"/>
  <c r="AI113" i="28"/>
  <c r="AJ169" i="28"/>
  <c r="AI169" i="28"/>
  <c r="AH169" i="28"/>
  <c r="AG169" i="28"/>
  <c r="Z169" i="28"/>
  <c r="W169" i="28"/>
  <c r="AG51" i="28"/>
  <c r="AH51" i="28"/>
  <c r="AJ51" i="28"/>
  <c r="AI51" i="28"/>
  <c r="Z51" i="28"/>
  <c r="W51" i="28"/>
  <c r="AI72" i="28"/>
  <c r="AJ72" i="28"/>
  <c r="AH72" i="28"/>
  <c r="AG72" i="28"/>
  <c r="W72" i="28"/>
  <c r="AG270" i="28"/>
  <c r="AJ270" i="28"/>
  <c r="AI270" i="28"/>
  <c r="AH270" i="28"/>
  <c r="Z270" i="28"/>
  <c r="W270" i="28"/>
  <c r="AI341" i="28"/>
  <c r="AG341" i="28"/>
  <c r="AJ341" i="28"/>
  <c r="AJ111" i="28"/>
  <c r="AI111" i="28"/>
  <c r="AH111" i="28"/>
  <c r="AG111" i="28"/>
  <c r="Z111" i="28"/>
  <c r="W111" i="28"/>
  <c r="AJ232" i="28"/>
  <c r="AH232" i="28"/>
  <c r="AG232" i="28"/>
  <c r="AI232" i="28"/>
  <c r="W232" i="28"/>
  <c r="Z232" i="28"/>
  <c r="AG487" i="28"/>
  <c r="AJ487" i="28"/>
  <c r="AI487" i="28"/>
  <c r="Z72" i="28"/>
  <c r="AJ71" i="28"/>
  <c r="AG71" i="28"/>
  <c r="AI71" i="28"/>
  <c r="AH71" i="28"/>
  <c r="Z71" i="28"/>
  <c r="W71" i="28"/>
  <c r="AG65" i="28"/>
  <c r="AJ65" i="28"/>
  <c r="AI65" i="28"/>
  <c r="AH65" i="28"/>
  <c r="Z65" i="28"/>
  <c r="W65" i="28"/>
  <c r="AG107" i="28"/>
  <c r="AJ107" i="28"/>
  <c r="AI107" i="28"/>
  <c r="AH107" i="28"/>
  <c r="W107" i="28"/>
  <c r="Z107" i="28"/>
  <c r="AI108" i="28"/>
  <c r="AH108" i="28"/>
  <c r="AG108" i="28"/>
  <c r="AJ108" i="28"/>
  <c r="W108" i="28"/>
  <c r="Z108" i="28"/>
  <c r="AH178" i="28"/>
  <c r="AI178" i="28"/>
  <c r="AJ178" i="28"/>
  <c r="AG178" i="28"/>
  <c r="Z178" i="28"/>
  <c r="W178" i="28"/>
  <c r="AJ206" i="28"/>
  <c r="AH206" i="28"/>
  <c r="AG206" i="28"/>
  <c r="AI206" i="28"/>
  <c r="W206" i="28"/>
  <c r="Z206" i="28"/>
  <c r="AJ214" i="28"/>
  <c r="AI214" i="28"/>
  <c r="AG214" i="28"/>
  <c r="AH214" i="28"/>
  <c r="Z214" i="28"/>
  <c r="W214" i="28"/>
  <c r="AJ223" i="28"/>
  <c r="AH223" i="28"/>
  <c r="AI223" i="28"/>
  <c r="AG223" i="28"/>
  <c r="Z223" i="28"/>
  <c r="W223" i="28"/>
  <c r="AI231" i="28"/>
  <c r="AG231" i="28"/>
  <c r="AJ231" i="28"/>
  <c r="AH231" i="28"/>
  <c r="W231" i="28"/>
  <c r="Z231" i="28"/>
  <c r="AJ326" i="28"/>
  <c r="AI326" i="28"/>
  <c r="AH326" i="28"/>
  <c r="AG326" i="28"/>
  <c r="W326" i="28"/>
  <c r="Z326" i="28"/>
  <c r="AJ403" i="28"/>
  <c r="AI403" i="28"/>
  <c r="AG403" i="28"/>
  <c r="W403" i="28"/>
  <c r="AH403" i="28"/>
  <c r="Z403" i="28"/>
  <c r="Z50" i="28"/>
  <c r="AH48" i="28"/>
  <c r="AG48" i="28"/>
  <c r="AI48" i="28"/>
  <c r="AJ48" i="28"/>
  <c r="Z48" i="28"/>
  <c r="W48" i="28"/>
  <c r="AJ64" i="28"/>
  <c r="AI64" i="28"/>
  <c r="AH64" i="28"/>
  <c r="AG64" i="28"/>
  <c r="W64" i="28"/>
  <c r="Z64" i="28"/>
  <c r="AJ67" i="28"/>
  <c r="AI67" i="28"/>
  <c r="AH67" i="28"/>
  <c r="AG67" i="28"/>
  <c r="W67" i="28"/>
  <c r="Z67" i="28"/>
  <c r="AI68" i="28"/>
  <c r="AH68" i="28"/>
  <c r="AG68" i="28"/>
  <c r="AJ68" i="28"/>
  <c r="Z68" i="28"/>
  <c r="W68" i="28"/>
  <c r="AJ157" i="28"/>
  <c r="AI157" i="28"/>
  <c r="AG157" i="28"/>
  <c r="AH157" i="28"/>
  <c r="W157" i="28"/>
  <c r="Z157" i="28"/>
  <c r="AJ177" i="28"/>
  <c r="AI177" i="28"/>
  <c r="AH177" i="28"/>
  <c r="AG177" i="28"/>
  <c r="W177" i="28"/>
  <c r="Z177" i="28"/>
  <c r="AG205" i="28"/>
  <c r="AH205" i="28"/>
  <c r="AJ205" i="28"/>
  <c r="AI205" i="28"/>
  <c r="W205" i="28"/>
  <c r="Z205" i="28"/>
  <c r="AG230" i="28"/>
  <c r="AJ230" i="28"/>
  <c r="AI230" i="28"/>
  <c r="AH230" i="28"/>
  <c r="W230" i="28"/>
  <c r="Z230" i="28"/>
  <c r="AG244" i="28"/>
  <c r="AJ244" i="28"/>
  <c r="AI244" i="28"/>
  <c r="AH244" i="28"/>
  <c r="W244" i="28"/>
  <c r="Z244" i="28"/>
  <c r="AJ252" i="28"/>
  <c r="AH252" i="28"/>
  <c r="AG252" i="28"/>
  <c r="AI252" i="28"/>
  <c r="Z252" i="28"/>
  <c r="W252" i="28"/>
  <c r="AI345" i="28"/>
  <c r="AJ345" i="28"/>
  <c r="AG345" i="28"/>
  <c r="AJ412" i="28"/>
  <c r="AI412" i="28"/>
  <c r="AG412" i="28"/>
  <c r="AH412" i="28"/>
  <c r="Z412" i="28"/>
  <c r="W412" i="28"/>
  <c r="AH491" i="28"/>
  <c r="AG491" i="28"/>
  <c r="AI491" i="28"/>
  <c r="AJ491" i="28" s="1"/>
  <c r="AJ208" i="28"/>
  <c r="AH208" i="28"/>
  <c r="AI208" i="28"/>
  <c r="AG208" i="28"/>
  <c r="Z208" i="28"/>
  <c r="W208" i="28"/>
  <c r="AJ47" i="28"/>
  <c r="AI47" i="28"/>
  <c r="AH47" i="28"/>
  <c r="AG47" i="28"/>
  <c r="W47" i="28"/>
  <c r="Z47" i="28"/>
  <c r="AJ49" i="28"/>
  <c r="AI49" i="28"/>
  <c r="AH49" i="28"/>
  <c r="AG49" i="28"/>
  <c r="W49" i="28"/>
  <c r="Z49" i="28"/>
  <c r="AH83" i="28"/>
  <c r="AG83" i="28"/>
  <c r="AJ83" i="28"/>
  <c r="AI83" i="28"/>
  <c r="W83" i="28"/>
  <c r="Z83" i="28"/>
  <c r="AJ123" i="28"/>
  <c r="AI123" i="28"/>
  <c r="AH123" i="28"/>
  <c r="AG123" i="28"/>
  <c r="Z123" i="28"/>
  <c r="W123" i="28"/>
  <c r="AJ147" i="28"/>
  <c r="AH147" i="28"/>
  <c r="AI147" i="28"/>
  <c r="AG147" i="28"/>
  <c r="W147" i="28"/>
  <c r="Z147" i="28"/>
  <c r="AJ156" i="28"/>
  <c r="AI156" i="28"/>
  <c r="AH156" i="28"/>
  <c r="AG156" i="28"/>
  <c r="Z156" i="28"/>
  <c r="W156" i="28"/>
  <c r="AH176" i="28"/>
  <c r="AG176" i="28"/>
  <c r="AJ176" i="28"/>
  <c r="AI176" i="28"/>
  <c r="W176" i="28"/>
  <c r="Z176" i="28"/>
  <c r="AJ185" i="28"/>
  <c r="AG185" i="28"/>
  <c r="AH185" i="28"/>
  <c r="AI185" i="28"/>
  <c r="W185" i="28"/>
  <c r="Z185" i="28"/>
  <c r="AG213" i="28"/>
  <c r="AJ213" i="28"/>
  <c r="AI213" i="28"/>
  <c r="AH213" i="28"/>
  <c r="Z213" i="28"/>
  <c r="W213" i="28"/>
  <c r="AH221" i="28"/>
  <c r="AI221" i="28"/>
  <c r="AG221" i="28"/>
  <c r="AJ221" i="28"/>
  <c r="Z221" i="28"/>
  <c r="AJ229" i="28"/>
  <c r="AI229" i="28"/>
  <c r="AH229" i="28"/>
  <c r="AG229" i="28"/>
  <c r="W229" i="28"/>
  <c r="Z229" i="28"/>
  <c r="AJ243" i="28"/>
  <c r="AH243" i="28"/>
  <c r="AG243" i="28"/>
  <c r="AI243" i="28"/>
  <c r="W243" i="28"/>
  <c r="Z243" i="28"/>
  <c r="AH371" i="28"/>
  <c r="AG371" i="28"/>
  <c r="AI371" i="28"/>
  <c r="AJ371" i="28"/>
  <c r="W371" i="28"/>
  <c r="Z371" i="28"/>
  <c r="AG402" i="28"/>
  <c r="AI402" i="28"/>
  <c r="AJ402" i="28"/>
  <c r="AH402" i="28"/>
  <c r="Z402" i="28"/>
  <c r="W402" i="28"/>
  <c r="AJ484" i="28"/>
  <c r="AH484" i="28"/>
  <c r="AG484" i="28"/>
  <c r="AI484" i="28"/>
  <c r="Z484" i="28"/>
  <c r="W484" i="28"/>
  <c r="AJ139" i="28"/>
  <c r="AI139" i="28"/>
  <c r="AH139" i="28"/>
  <c r="AG139" i="28"/>
  <c r="Z139" i="28"/>
  <c r="AI210" i="28"/>
  <c r="AH210" i="28"/>
  <c r="AJ210" i="28"/>
  <c r="AG210" i="28"/>
  <c r="Z210" i="28"/>
  <c r="W210" i="28"/>
  <c r="AI167" i="28"/>
  <c r="AH167" i="28"/>
  <c r="AG167" i="28"/>
  <c r="AJ167" i="28"/>
  <c r="W167" i="28"/>
  <c r="Z167" i="28"/>
  <c r="AJ124" i="28"/>
  <c r="AI124" i="28"/>
  <c r="AH124" i="28"/>
  <c r="AG124" i="28"/>
  <c r="Z124" i="28"/>
  <c r="W124" i="28"/>
  <c r="AJ106" i="28"/>
  <c r="AI106" i="28"/>
  <c r="AH106" i="28"/>
  <c r="AG106" i="28"/>
  <c r="W106" i="28"/>
  <c r="Z106" i="28"/>
  <c r="AJ307" i="28"/>
  <c r="AI307" i="28"/>
  <c r="AH307" i="28"/>
  <c r="AG307" i="28"/>
  <c r="Z307" i="28"/>
  <c r="W307" i="28"/>
  <c r="AJ377" i="28"/>
  <c r="AH377" i="28"/>
  <c r="AI377" i="28"/>
  <c r="AG377" i="28"/>
  <c r="Z377" i="28"/>
  <c r="W377" i="28"/>
  <c r="AH445" i="28"/>
  <c r="AG445" i="28"/>
  <c r="AI445" i="28"/>
  <c r="AJ445" i="28"/>
  <c r="W445" i="28"/>
  <c r="Z445" i="28"/>
  <c r="AG375" i="28"/>
  <c r="AI375" i="28"/>
  <c r="AJ375" i="28"/>
  <c r="AH375" i="28"/>
  <c r="W375" i="28"/>
  <c r="Z375" i="28"/>
  <c r="AJ137" i="28"/>
  <c r="AI137" i="28"/>
  <c r="AG137" i="28"/>
  <c r="AH137" i="28"/>
  <c r="Z137" i="28"/>
  <c r="W137" i="28"/>
  <c r="AH246" i="28"/>
  <c r="AG246" i="28"/>
  <c r="AI246" i="28"/>
  <c r="W246" i="28"/>
  <c r="AJ246" i="28"/>
  <c r="Z246" i="28"/>
  <c r="AJ87" i="28"/>
  <c r="AI87" i="28"/>
  <c r="AG87" i="28"/>
  <c r="AH87" i="28"/>
  <c r="W87" i="28"/>
  <c r="Z87" i="28"/>
  <c r="AH89" i="28"/>
  <c r="AG89" i="28"/>
  <c r="AJ89" i="28"/>
  <c r="AI89" i="28"/>
  <c r="Z89" i="28"/>
  <c r="W89" i="28"/>
  <c r="AJ100" i="28"/>
  <c r="AI100" i="28"/>
  <c r="AG100" i="28"/>
  <c r="AH100" i="28"/>
  <c r="Z100" i="28"/>
  <c r="W100" i="28"/>
  <c r="AI150" i="28"/>
  <c r="AH150" i="28"/>
  <c r="AG150" i="28"/>
  <c r="AJ150" i="28"/>
  <c r="Z150" i="28"/>
  <c r="W150" i="28"/>
  <c r="AJ69" i="28"/>
  <c r="AH69" i="28"/>
  <c r="AI69" i="28"/>
  <c r="AG69" i="28"/>
  <c r="W69" i="28"/>
  <c r="Z69" i="28"/>
  <c r="AH70" i="28"/>
  <c r="AJ70" i="28"/>
  <c r="AI70" i="28"/>
  <c r="AG70" i="28"/>
  <c r="Z70" i="28"/>
  <c r="W70" i="28"/>
  <c r="AH98" i="28"/>
  <c r="AJ98" i="28"/>
  <c r="AI98" i="28"/>
  <c r="AG98" i="28"/>
  <c r="Z98" i="28"/>
  <c r="W98" i="28"/>
  <c r="AJ165" i="28"/>
  <c r="AI165" i="28"/>
  <c r="AH165" i="28"/>
  <c r="AG165" i="28"/>
  <c r="Z165" i="28"/>
  <c r="W165" i="28"/>
  <c r="AJ46" i="28"/>
  <c r="AH46" i="28"/>
  <c r="AI46" i="28"/>
  <c r="AG46" i="28"/>
  <c r="Z46" i="28"/>
  <c r="AI66" i="28"/>
  <c r="AH66" i="28"/>
  <c r="AJ66" i="28"/>
  <c r="AG66" i="28"/>
  <c r="Z66" i="28"/>
  <c r="W66" i="28"/>
  <c r="AJ77" i="28"/>
  <c r="AH77" i="28"/>
  <c r="AG77" i="28"/>
  <c r="AI77" i="28"/>
  <c r="W77" i="28"/>
  <c r="Z77" i="28"/>
  <c r="AJ96" i="28"/>
  <c r="AI96" i="28"/>
  <c r="AH96" i="28"/>
  <c r="AG96" i="28"/>
  <c r="W96" i="28"/>
  <c r="Z96" i="28"/>
  <c r="AH164" i="28"/>
  <c r="AJ164" i="28"/>
  <c r="AI164" i="28"/>
  <c r="AG164" i="28"/>
  <c r="W164" i="28"/>
  <c r="Z164" i="28"/>
  <c r="AI175" i="28"/>
  <c r="AH175" i="28"/>
  <c r="AJ175" i="28"/>
  <c r="AG175" i="28"/>
  <c r="W175" i="28"/>
  <c r="Z175" i="28"/>
  <c r="AJ45" i="28"/>
  <c r="AI45" i="28"/>
  <c r="AH45" i="28"/>
  <c r="AG45" i="28"/>
  <c r="Z45" i="28"/>
  <c r="W45" i="28"/>
  <c r="AJ63" i="28"/>
  <c r="AH63" i="28"/>
  <c r="AI63" i="28"/>
  <c r="AG63" i="28"/>
  <c r="W63" i="28"/>
  <c r="Z63" i="28"/>
  <c r="AG145" i="28"/>
  <c r="AJ145" i="28"/>
  <c r="AH145" i="28"/>
  <c r="AI145" i="28"/>
  <c r="W145" i="28"/>
  <c r="Z145" i="28"/>
  <c r="AI146" i="28"/>
  <c r="AH146" i="28"/>
  <c r="AJ146" i="28"/>
  <c r="AG146" i="28"/>
  <c r="Z146" i="28"/>
  <c r="W146" i="28"/>
  <c r="AJ155" i="28"/>
  <c r="AI155" i="28"/>
  <c r="AH155" i="28"/>
  <c r="AG155" i="28"/>
  <c r="Z155" i="28"/>
  <c r="W155" i="28"/>
  <c r="AH163" i="28"/>
  <c r="AG163" i="28"/>
  <c r="AJ163" i="28"/>
  <c r="AI163" i="28"/>
  <c r="Z163" i="28"/>
  <c r="W163" i="28"/>
  <c r="AG173" i="28"/>
  <c r="AH173" i="28"/>
  <c r="AJ173" i="28"/>
  <c r="AI173" i="28"/>
  <c r="W173" i="28"/>
  <c r="Z173" i="28"/>
  <c r="AI174" i="28"/>
  <c r="AJ174" i="28"/>
  <c r="AH174" i="28"/>
  <c r="AG174" i="28"/>
  <c r="Z174" i="28"/>
  <c r="W174" i="28"/>
  <c r="AJ183" i="28"/>
  <c r="AI183" i="28"/>
  <c r="AH183" i="28"/>
  <c r="AG183" i="28"/>
  <c r="Z183" i="28"/>
  <c r="W183" i="28"/>
  <c r="AJ200" i="28"/>
  <c r="AI200" i="28"/>
  <c r="AH200" i="28"/>
  <c r="Z200" i="28"/>
  <c r="AG200" i="28"/>
  <c r="W200" i="28"/>
  <c r="AJ219" i="28"/>
  <c r="AI219" i="28"/>
  <c r="AG219" i="28"/>
  <c r="AH219" i="28"/>
  <c r="W219" i="28"/>
  <c r="Z219" i="28"/>
  <c r="AH220" i="28"/>
  <c r="AG220" i="28"/>
  <c r="AI220" i="28"/>
  <c r="AJ220" i="28"/>
  <c r="W220" i="28"/>
  <c r="Z220" i="28"/>
  <c r="AJ250" i="28"/>
  <c r="AG250" i="28"/>
  <c r="AH250" i="28"/>
  <c r="AI250" i="28"/>
  <c r="Z250" i="28"/>
  <c r="W250" i="28"/>
  <c r="AG324" i="28"/>
  <c r="AJ324" i="28"/>
  <c r="AI324" i="28"/>
  <c r="AH324" i="28"/>
  <c r="Z324" i="28"/>
  <c r="W324" i="28"/>
  <c r="AJ370" i="28"/>
  <c r="AI370" i="28"/>
  <c r="AG370" i="28"/>
  <c r="AH370" i="28"/>
  <c r="Z370" i="28"/>
  <c r="W370" i="28"/>
  <c r="AJ401" i="28"/>
  <c r="AI401" i="28"/>
  <c r="AH401" i="28"/>
  <c r="AG401" i="28"/>
  <c r="Z401" i="28"/>
  <c r="W401" i="28"/>
  <c r="AH198" i="28"/>
  <c r="AG198" i="28"/>
  <c r="AJ198" i="28"/>
  <c r="AI198" i="28"/>
  <c r="Z198" i="28"/>
  <c r="W198" i="28"/>
  <c r="AI247" i="28"/>
  <c r="AH247" i="28"/>
  <c r="AJ247" i="28"/>
  <c r="AG247" i="28"/>
  <c r="W247" i="28"/>
  <c r="Z247" i="28"/>
  <c r="AI138" i="28"/>
  <c r="AH138" i="28"/>
  <c r="AG138" i="28"/>
  <c r="AJ138" i="28"/>
  <c r="Z138" i="28"/>
  <c r="W138" i="28"/>
  <c r="AI50" i="28"/>
  <c r="AH50" i="28"/>
  <c r="AG50" i="28"/>
  <c r="AJ50" i="28"/>
  <c r="W50" i="28"/>
  <c r="AI33" i="28"/>
  <c r="AI35" i="28"/>
  <c r="AG36" i="28"/>
  <c r="AI36" i="28"/>
  <c r="AI37" i="28"/>
  <c r="AJ43" i="28"/>
  <c r="AI43" i="28"/>
  <c r="AH43" i="28"/>
  <c r="Z43" i="28"/>
  <c r="W43" i="28"/>
  <c r="AG43" i="28"/>
  <c r="AG44" i="28"/>
  <c r="AJ44" i="28"/>
  <c r="AI44" i="28"/>
  <c r="AH44" i="28"/>
  <c r="Z44" i="28"/>
  <c r="W44" i="28"/>
  <c r="AH76" i="28"/>
  <c r="AJ76" i="28"/>
  <c r="AI76" i="28"/>
  <c r="AG76" i="28"/>
  <c r="Z76" i="28"/>
  <c r="W76" i="28"/>
  <c r="AJ95" i="28"/>
  <c r="AI95" i="28"/>
  <c r="AH95" i="28"/>
  <c r="AG95" i="28"/>
  <c r="W95" i="28"/>
  <c r="Z95" i="28"/>
  <c r="AG103" i="28"/>
  <c r="AJ103" i="28"/>
  <c r="AI103" i="28"/>
  <c r="AH103" i="28"/>
  <c r="Z103" i="28"/>
  <c r="W103" i="28"/>
  <c r="AJ116" i="28"/>
  <c r="AI116" i="28"/>
  <c r="AH116" i="28"/>
  <c r="AG116" i="28"/>
  <c r="Z116" i="28"/>
  <c r="W116" i="28"/>
  <c r="AJ141" i="28"/>
  <c r="AH141" i="28"/>
  <c r="AG141" i="28"/>
  <c r="AI141" i="28"/>
  <c r="Z141" i="28"/>
  <c r="W141" i="28"/>
  <c r="AI143" i="28"/>
  <c r="AJ143" i="28"/>
  <c r="AH143" i="28"/>
  <c r="AG143" i="28"/>
  <c r="W143" i="28"/>
  <c r="Z143" i="28"/>
  <c r="AI144" i="28"/>
  <c r="AH144" i="28"/>
  <c r="AG144" i="28"/>
  <c r="AJ144" i="28"/>
  <c r="Z144" i="28"/>
  <c r="W144" i="28"/>
  <c r="AI172" i="28"/>
  <c r="AJ172" i="28"/>
  <c r="AH172" i="28"/>
  <c r="AG172" i="28"/>
  <c r="Z172" i="28"/>
  <c r="W172" i="28"/>
  <c r="AJ199" i="28"/>
  <c r="AI199" i="28"/>
  <c r="AG199" i="28"/>
  <c r="AH199" i="28"/>
  <c r="W199" i="28"/>
  <c r="Z199" i="28"/>
  <c r="AI293" i="28"/>
  <c r="AH293" i="28"/>
  <c r="AG293" i="28"/>
  <c r="AJ293" i="28"/>
  <c r="Z293" i="28"/>
  <c r="W293" i="28"/>
  <c r="AI376" i="28"/>
  <c r="AH376" i="28"/>
  <c r="AG376" i="28"/>
  <c r="AJ376" i="28"/>
  <c r="Z376" i="28"/>
  <c r="W376" i="28"/>
  <c r="AI410" i="28"/>
  <c r="AJ410" i="28"/>
  <c r="AH410" i="28"/>
  <c r="AG410" i="28"/>
  <c r="W410" i="28"/>
  <c r="Z410" i="28"/>
  <c r="W57" i="28"/>
  <c r="AJ273" i="28"/>
  <c r="AI273" i="28"/>
  <c r="AH273" i="28"/>
  <c r="AG273" i="28"/>
  <c r="W273" i="28"/>
  <c r="AJ287" i="28"/>
  <c r="AI287" i="28"/>
  <c r="AH287" i="28"/>
  <c r="AG287" i="28"/>
  <c r="W287" i="28"/>
  <c r="Z287" i="28"/>
  <c r="AG290" i="28"/>
  <c r="AH290" i="28"/>
  <c r="AJ290" i="28"/>
  <c r="AI290" i="28"/>
  <c r="W290" i="28"/>
  <c r="Z290" i="28"/>
  <c r="AH306" i="28"/>
  <c r="AJ306" i="28"/>
  <c r="AI306" i="28"/>
  <c r="AG306" i="28"/>
  <c r="Z306" i="28"/>
  <c r="W306" i="28"/>
  <c r="AI308" i="28"/>
  <c r="AJ308" i="28"/>
  <c r="AH308" i="28"/>
  <c r="AG308" i="28"/>
  <c r="Z308" i="28"/>
  <c r="W308" i="28"/>
  <c r="AI344" i="28"/>
  <c r="AJ344" i="28" s="1"/>
  <c r="AG344" i="28"/>
  <c r="Z344" i="28"/>
  <c r="AI348" i="28"/>
  <c r="AJ348" i="28" s="1"/>
  <c r="AH348" i="28"/>
  <c r="AG348" i="28"/>
  <c r="AJ349" i="28"/>
  <c r="AH349" i="28"/>
  <c r="AG349" i="28"/>
  <c r="AI349" i="28"/>
  <c r="W349" i="28"/>
  <c r="Z349" i="28"/>
  <c r="AJ351" i="28"/>
  <c r="AI351" i="28"/>
  <c r="W351" i="28"/>
  <c r="AG351" i="28"/>
  <c r="AH351" i="28"/>
  <c r="Z351" i="28"/>
  <c r="AJ379" i="28"/>
  <c r="AI379" i="28"/>
  <c r="AH379" i="28"/>
  <c r="AG379" i="28"/>
  <c r="W379" i="28"/>
  <c r="Z379" i="28"/>
  <c r="AI423" i="28"/>
  <c r="AG423" i="28"/>
  <c r="AH423" i="28"/>
  <c r="AJ423" i="28"/>
  <c r="W423" i="28"/>
  <c r="Z423" i="28"/>
  <c r="AI424" i="28"/>
  <c r="AJ424" i="28"/>
  <c r="AH424" i="28"/>
  <c r="AG424" i="28"/>
  <c r="Z424" i="28"/>
  <c r="W424" i="28"/>
  <c r="AJ443" i="28"/>
  <c r="AI443" i="28"/>
  <c r="AH443" i="28"/>
  <c r="AG443" i="28"/>
  <c r="Z443" i="28"/>
  <c r="W443" i="28"/>
  <c r="AH444" i="28"/>
  <c r="AG444" i="28"/>
  <c r="AJ444" i="28"/>
  <c r="Z444" i="28"/>
  <c r="AI444" i="28"/>
  <c r="W444" i="28"/>
  <c r="AH448" i="28"/>
  <c r="AG448" i="28"/>
  <c r="AJ448" i="28"/>
  <c r="AI448" i="28"/>
  <c r="Z448" i="28"/>
  <c r="W448" i="28"/>
  <c r="AJ449" i="28"/>
  <c r="AI449" i="28"/>
  <c r="AH449" i="28"/>
  <c r="AG449" i="28"/>
  <c r="W449" i="28"/>
  <c r="Z449" i="28"/>
  <c r="AI480" i="28"/>
  <c r="AG480" i="28"/>
  <c r="AH480" i="28"/>
  <c r="AJ480" i="28"/>
  <c r="Z480" i="28"/>
  <c r="W480" i="28"/>
  <c r="AI481" i="28"/>
  <c r="AJ481" i="28"/>
  <c r="AH481" i="28"/>
  <c r="AG481" i="28"/>
  <c r="Z481" i="28"/>
  <c r="W481" i="28"/>
  <c r="AI490" i="28"/>
  <c r="AJ490" i="28" s="1"/>
  <c r="AG490" i="28"/>
  <c r="AH286" i="28"/>
  <c r="AG286" i="28"/>
  <c r="AJ286" i="28"/>
  <c r="AI286" i="28"/>
  <c r="Z286" i="28"/>
  <c r="W286" i="28"/>
  <c r="AJ288" i="28"/>
  <c r="AG288" i="28"/>
  <c r="AI288" i="28"/>
  <c r="AH288" i="28"/>
  <c r="W288" i="28"/>
  <c r="Z288" i="28"/>
  <c r="AJ304" i="28"/>
  <c r="AI304" i="28"/>
  <c r="AH304" i="28"/>
  <c r="AG304" i="28"/>
  <c r="W304" i="28"/>
  <c r="Z304" i="28"/>
  <c r="AH325" i="28"/>
  <c r="AG325" i="28"/>
  <c r="AJ325" i="28"/>
  <c r="AI325" i="28"/>
  <c r="Z325" i="28"/>
  <c r="W325" i="28"/>
  <c r="AI327" i="28"/>
  <c r="AJ327" i="28" s="1"/>
  <c r="AH327" i="28"/>
  <c r="AG327" i="28"/>
  <c r="AI329" i="28"/>
  <c r="AJ329" i="28" s="1"/>
  <c r="AH329" i="28"/>
  <c r="Z329" i="28" s="1"/>
  <c r="AG329" i="28"/>
  <c r="AJ350" i="28"/>
  <c r="AI350" i="28"/>
  <c r="AG350" i="28"/>
  <c r="Z350" i="28"/>
  <c r="W350" i="28"/>
  <c r="AH350" i="28"/>
  <c r="AI369" i="28"/>
  <c r="Z369" i="28"/>
  <c r="AJ369" i="28"/>
  <c r="AG369" i="28"/>
  <c r="W369" i="28"/>
  <c r="AH369" i="28"/>
  <c r="AI411" i="28"/>
  <c r="AH411" i="28"/>
  <c r="AG411" i="28"/>
  <c r="AJ411" i="28"/>
  <c r="Z411" i="28"/>
  <c r="W411" i="28"/>
  <c r="AH413" i="28"/>
  <c r="AJ413" i="28"/>
  <c r="AI413" i="28"/>
  <c r="AG413" i="28"/>
  <c r="W413" i="28"/>
  <c r="Z413" i="28"/>
  <c r="AH441" i="28"/>
  <c r="AJ441" i="28"/>
  <c r="AI441" i="28"/>
  <c r="AG441" i="28"/>
  <c r="Z441" i="28"/>
  <c r="W441" i="28"/>
  <c r="AJ446" i="28"/>
  <c r="AH446" i="28"/>
  <c r="AG446" i="28"/>
  <c r="AI446" i="28"/>
  <c r="Z446" i="28"/>
  <c r="W446" i="28"/>
  <c r="AJ485" i="28"/>
  <c r="AH485" i="28"/>
  <c r="AI485" i="28"/>
  <c r="AG485" i="28"/>
  <c r="Z485" i="28"/>
  <c r="W485" i="28"/>
  <c r="AI489" i="28"/>
  <c r="AJ489" i="28" s="1"/>
  <c r="AG489" i="28"/>
  <c r="AH209" i="28"/>
  <c r="AI209" i="28"/>
  <c r="AG209" i="28"/>
  <c r="AJ209" i="28"/>
  <c r="W209" i="28"/>
  <c r="Z209" i="28"/>
  <c r="AJ218" i="28"/>
  <c r="AI218" i="28"/>
  <c r="AH218" i="28"/>
  <c r="AG218" i="28"/>
  <c r="W218" i="28"/>
  <c r="Z218" i="28"/>
  <c r="AJ227" i="28"/>
  <c r="AI227" i="28"/>
  <c r="AH227" i="28"/>
  <c r="AG227" i="28"/>
  <c r="Z227" i="28"/>
  <c r="W227" i="28"/>
  <c r="AI228" i="28"/>
  <c r="AH228" i="28"/>
  <c r="AG228" i="28"/>
  <c r="AJ228" i="28"/>
  <c r="Z228" i="28"/>
  <c r="W228" i="28"/>
  <c r="AI245" i="28"/>
  <c r="AJ245" i="28"/>
  <c r="AH245" i="28"/>
  <c r="AG245" i="28"/>
  <c r="W245" i="28"/>
  <c r="Z245" i="28"/>
  <c r="AI248" i="28"/>
  <c r="AJ248" i="28"/>
  <c r="AG248" i="28"/>
  <c r="AH248" i="28"/>
  <c r="W248" i="28"/>
  <c r="AH272" i="28"/>
  <c r="AG272" i="28"/>
  <c r="AI272" i="28"/>
  <c r="AJ272" i="28"/>
  <c r="W272" i="28"/>
  <c r="Z272" i="28"/>
  <c r="AG328" i="28"/>
  <c r="AI328" i="28"/>
  <c r="AJ328" i="28" s="1"/>
  <c r="AJ372" i="28"/>
  <c r="AI372" i="28"/>
  <c r="AG372" i="28"/>
  <c r="AH372" i="28"/>
  <c r="Z372" i="28"/>
  <c r="W372" i="28"/>
  <c r="AI373" i="28"/>
  <c r="AJ373" i="28"/>
  <c r="AH373" i="28"/>
  <c r="AG373" i="28"/>
  <c r="W373" i="28"/>
  <c r="Z373" i="28"/>
  <c r="AJ378" i="28"/>
  <c r="AG378" i="28"/>
  <c r="AI378" i="28"/>
  <c r="Z378" i="28"/>
  <c r="AH378" i="28"/>
  <c r="W378" i="28"/>
  <c r="AJ414" i="28"/>
  <c r="AH414" i="28"/>
  <c r="AG414" i="28"/>
  <c r="AI414" i="28"/>
  <c r="Z414" i="28"/>
  <c r="W414" i="28"/>
  <c r="AJ415" i="28"/>
  <c r="AI415" i="28"/>
  <c r="AH415" i="28"/>
  <c r="AG415" i="28"/>
  <c r="Z415" i="28"/>
  <c r="W415" i="28"/>
  <c r="AG422" i="28"/>
  <c r="AJ422" i="28"/>
  <c r="AI422" i="28"/>
  <c r="AH422" i="28"/>
  <c r="Z422" i="28"/>
  <c r="W422" i="28"/>
  <c r="AH439" i="28"/>
  <c r="AG439" i="28"/>
  <c r="AI439" i="28"/>
  <c r="AJ439" i="28"/>
  <c r="Z439" i="28"/>
  <c r="W439" i="28"/>
  <c r="AJ440" i="28"/>
  <c r="AH440" i="28"/>
  <c r="AI440" i="28"/>
  <c r="AG440" i="28"/>
  <c r="Z440" i="28"/>
  <c r="W440" i="28"/>
  <c r="AJ442" i="28"/>
  <c r="AH442" i="28"/>
  <c r="AG442" i="28"/>
  <c r="AI442" i="28"/>
  <c r="Z442" i="28"/>
  <c r="W442" i="28"/>
  <c r="AI507" i="28"/>
  <c r="AG507" i="28"/>
  <c r="AI217" i="28"/>
  <c r="AJ217" i="28"/>
  <c r="AH217" i="28"/>
  <c r="AG217" i="28"/>
  <c r="W217" i="28"/>
  <c r="Z217" i="28"/>
  <c r="AJ222" i="28"/>
  <c r="AI222" i="28"/>
  <c r="AH222" i="28"/>
  <c r="AG222" i="28"/>
  <c r="Z222" i="28"/>
  <c r="W222" i="28"/>
  <c r="AJ241" i="28"/>
  <c r="AH241" i="28"/>
  <c r="AG241" i="28"/>
  <c r="AI241" i="28"/>
  <c r="Z241" i="28"/>
  <c r="W241" i="28"/>
  <c r="AG242" i="28"/>
  <c r="AJ242" i="28"/>
  <c r="AI242" i="28"/>
  <c r="AH242" i="28"/>
  <c r="Z242" i="28"/>
  <c r="W242" i="28"/>
  <c r="AG338" i="28"/>
  <c r="AI338" i="28"/>
  <c r="AI339" i="28"/>
  <c r="AJ339" i="28" s="1"/>
  <c r="AG339" i="28"/>
  <c r="AH366" i="28"/>
  <c r="AG366" i="28"/>
  <c r="AJ366" i="28"/>
  <c r="AI366" i="28"/>
  <c r="Z366" i="28"/>
  <c r="W366" i="28"/>
  <c r="AJ400" i="28"/>
  <c r="AI400" i="28"/>
  <c r="AG400" i="28"/>
  <c r="AH400" i="28"/>
  <c r="Z400" i="28"/>
  <c r="W400" i="28"/>
  <c r="AI404" i="28"/>
  <c r="AJ404" i="28"/>
  <c r="AH404" i="28"/>
  <c r="AG404" i="28"/>
  <c r="Z404" i="28"/>
  <c r="W404" i="28"/>
  <c r="AG408" i="28"/>
  <c r="AH408" i="28"/>
  <c r="AI408" i="28"/>
  <c r="AJ408" i="28"/>
  <c r="W408" i="28"/>
  <c r="Z408" i="28"/>
  <c r="AI416" i="28"/>
  <c r="AH416" i="28"/>
  <c r="AJ416" i="28"/>
  <c r="AG416" i="28"/>
  <c r="Z416" i="28"/>
  <c r="W416" i="28"/>
  <c r="AJ419" i="28"/>
  <c r="AI419" i="28"/>
  <c r="AH419" i="28"/>
  <c r="AG419" i="28"/>
  <c r="W419" i="28"/>
  <c r="Z419" i="28"/>
  <c r="AH420" i="28"/>
  <c r="AG420" i="28"/>
  <c r="AJ420" i="28"/>
  <c r="AI420" i="28"/>
  <c r="W420" i="28"/>
  <c r="Z420" i="28"/>
  <c r="AJ421" i="28"/>
  <c r="AI421" i="28"/>
  <c r="AH421" i="28"/>
  <c r="AG421" i="28"/>
  <c r="W421" i="28"/>
  <c r="Z421" i="28"/>
  <c r="AI438" i="28"/>
  <c r="AH438" i="28"/>
  <c r="AG438" i="28"/>
  <c r="AJ438" i="28"/>
  <c r="Z438" i="28"/>
  <c r="W438" i="28"/>
  <c r="AJ463" i="28"/>
  <c r="AI463" i="28"/>
  <c r="AH463" i="28"/>
  <c r="AG463" i="28"/>
  <c r="W463" i="28"/>
  <c r="Z463" i="28"/>
  <c r="AI505" i="28"/>
  <c r="AJ505" i="28" s="1"/>
  <c r="AG505" i="28"/>
  <c r="Z118" i="28"/>
  <c r="AG93" i="28"/>
  <c r="AI93" i="28"/>
  <c r="AJ93" i="28"/>
  <c r="AH93" i="28"/>
  <c r="W93" i="28"/>
  <c r="Z93" i="28"/>
  <c r="AI104" i="28"/>
  <c r="AH104" i="28"/>
  <c r="AJ104" i="28"/>
  <c r="AG104" i="28"/>
  <c r="Z104" i="28"/>
  <c r="W104" i="28"/>
  <c r="AJ105" i="28"/>
  <c r="AH105" i="28"/>
  <c r="AI105" i="28"/>
  <c r="AG105" i="28"/>
  <c r="W105" i="28"/>
  <c r="Z105" i="28"/>
  <c r="AG162" i="28"/>
  <c r="AH162" i="28"/>
  <c r="AI162" i="28"/>
  <c r="AJ162" i="28"/>
  <c r="Z162" i="28"/>
  <c r="W162" i="28"/>
  <c r="AH197" i="28"/>
  <c r="AG197" i="28"/>
  <c r="AI197" i="28"/>
  <c r="AJ197" i="28"/>
  <c r="Z197" i="28"/>
  <c r="W197" i="28"/>
  <c r="AG201" i="28"/>
  <c r="AH201" i="28"/>
  <c r="AJ201" i="28"/>
  <c r="AI201" i="28"/>
  <c r="W201" i="28"/>
  <c r="Z201" i="28"/>
  <c r="AH299" i="28"/>
  <c r="AG299" i="28"/>
  <c r="AI299" i="28"/>
  <c r="AJ299" i="28"/>
  <c r="Z299" i="28"/>
  <c r="W299" i="28"/>
  <c r="AJ321" i="28"/>
  <c r="AG321" i="28"/>
  <c r="AI321" i="28"/>
  <c r="AH321" i="28"/>
  <c r="Z321" i="28"/>
  <c r="W321" i="28"/>
  <c r="AI337" i="28"/>
  <c r="AJ337" i="28" s="1"/>
  <c r="AG337" i="28"/>
  <c r="AH365" i="28"/>
  <c r="AG365" i="28"/>
  <c r="AJ365" i="28"/>
  <c r="AI365" i="28"/>
  <c r="W365" i="28"/>
  <c r="Z365" i="28"/>
  <c r="AH399" i="28"/>
  <c r="AG399" i="28"/>
  <c r="AJ399" i="28"/>
  <c r="AI399" i="28"/>
  <c r="W399" i="28"/>
  <c r="Z399" i="28"/>
  <c r="AJ406" i="28"/>
  <c r="AI406" i="28"/>
  <c r="AG406" i="28"/>
  <c r="AH406" i="28"/>
  <c r="W406" i="28"/>
  <c r="Z406" i="28"/>
  <c r="AJ407" i="28"/>
  <c r="AH407" i="28"/>
  <c r="AG407" i="28"/>
  <c r="AI407" i="28"/>
  <c r="W407" i="28"/>
  <c r="Z407" i="28"/>
  <c r="AJ418" i="28"/>
  <c r="AI418" i="28"/>
  <c r="AH418" i="28"/>
  <c r="AG418" i="28"/>
  <c r="Z418" i="28"/>
  <c r="W418" i="28"/>
  <c r="AI437" i="28"/>
  <c r="AG437" i="28"/>
  <c r="AH437" i="28"/>
  <c r="AJ437" i="28"/>
  <c r="Z437" i="28"/>
  <c r="W437" i="28"/>
  <c r="AI459" i="28"/>
  <c r="AH459" i="28"/>
  <c r="AG459" i="28"/>
  <c r="W459" i="28"/>
  <c r="AJ459" i="28"/>
  <c r="Z459" i="28"/>
  <c r="AJ461" i="28"/>
  <c r="AI461" i="28"/>
  <c r="AG461" i="28"/>
  <c r="AH461" i="28"/>
  <c r="W461" i="28"/>
  <c r="Z461" i="28"/>
  <c r="AG462" i="28"/>
  <c r="AI462" i="28"/>
  <c r="AH462" i="28"/>
  <c r="AJ462" i="28"/>
  <c r="W462" i="28"/>
  <c r="Z462" i="28"/>
  <c r="AJ130" i="28"/>
  <c r="AI130" i="28"/>
  <c r="AH130" i="28"/>
  <c r="AG130" i="28"/>
  <c r="Z130" i="28"/>
  <c r="W130" i="28"/>
  <c r="AG131" i="28"/>
  <c r="AJ131" i="28"/>
  <c r="AI131" i="28"/>
  <c r="AH131" i="28"/>
  <c r="W131" i="28"/>
  <c r="AJ133" i="28"/>
  <c r="AH133" i="28"/>
  <c r="AI133" i="28"/>
  <c r="AG133" i="28"/>
  <c r="W133" i="28"/>
  <c r="Z133" i="28"/>
  <c r="AG191" i="28"/>
  <c r="AI191" i="28"/>
  <c r="AJ191" i="28"/>
  <c r="AH191" i="28"/>
  <c r="Z191" i="28"/>
  <c r="W191" i="28"/>
  <c r="AI203" i="28"/>
  <c r="AJ203" i="28"/>
  <c r="AG203" i="28"/>
  <c r="W203" i="28"/>
  <c r="AH203" i="28"/>
  <c r="Z203" i="28"/>
  <c r="AG216" i="28"/>
  <c r="AH216" i="28"/>
  <c r="AJ216" i="28"/>
  <c r="AI216" i="28"/>
  <c r="W216" i="28"/>
  <c r="Z216" i="28"/>
  <c r="AI263" i="28"/>
  <c r="AH263" i="28"/>
  <c r="AG263" i="28"/>
  <c r="AJ263" i="28"/>
  <c r="W263" i="28"/>
  <c r="Z263" i="28"/>
  <c r="AI52" i="28"/>
  <c r="AH52" i="28"/>
  <c r="AG52" i="28"/>
  <c r="AJ52" i="28"/>
  <c r="AJ92" i="28"/>
  <c r="AI92" i="28"/>
  <c r="AG92" i="28"/>
  <c r="AH92" i="28"/>
  <c r="W92" i="28"/>
  <c r="Z92" i="28"/>
  <c r="AH97" i="28"/>
  <c r="AG97" i="28"/>
  <c r="AJ97" i="28"/>
  <c r="AI97" i="28"/>
  <c r="W97" i="28"/>
  <c r="Z97" i="28"/>
  <c r="AJ99" i="28"/>
  <c r="AH99" i="28"/>
  <c r="AG99" i="28"/>
  <c r="AI99" i="28"/>
  <c r="Z99" i="28"/>
  <c r="W99" i="28"/>
  <c r="AI101" i="28"/>
  <c r="AG101" i="28"/>
  <c r="AJ101" i="28"/>
  <c r="AH101" i="28"/>
  <c r="W101" i="28"/>
  <c r="Z101" i="28"/>
  <c r="AJ102" i="28"/>
  <c r="AI102" i="28"/>
  <c r="AG102" i="28"/>
  <c r="AH102" i="28"/>
  <c r="Z102" i="28"/>
  <c r="W102" i="28"/>
  <c r="AJ127" i="28"/>
  <c r="AH127" i="28"/>
  <c r="AG127" i="28"/>
  <c r="AI127" i="28"/>
  <c r="Z127" i="28"/>
  <c r="W127" i="28"/>
  <c r="AI129" i="28"/>
  <c r="AJ129" i="28"/>
  <c r="AH129" i="28"/>
  <c r="W129" i="28"/>
  <c r="AG129" i="28"/>
  <c r="Z129" i="28"/>
  <c r="AI132" i="28"/>
  <c r="AH132" i="28"/>
  <c r="AJ132" i="28"/>
  <c r="AG132" i="28"/>
  <c r="W132" i="28"/>
  <c r="Z132" i="28"/>
  <c r="AJ161" i="28"/>
  <c r="AH161" i="28"/>
  <c r="AI161" i="28"/>
  <c r="AG161" i="28"/>
  <c r="W161" i="28"/>
  <c r="Z161" i="28"/>
  <c r="AG187" i="28"/>
  <c r="AJ187" i="28"/>
  <c r="AH187" i="28"/>
  <c r="AI187" i="28"/>
  <c r="W187" i="28"/>
  <c r="Z187" i="28"/>
  <c r="AI189" i="28"/>
  <c r="AH189" i="28"/>
  <c r="AG189" i="28"/>
  <c r="AJ189" i="28"/>
  <c r="W189" i="28"/>
  <c r="Z189" i="28"/>
  <c r="AI202" i="28"/>
  <c r="AG202" i="28"/>
  <c r="AJ202" i="28"/>
  <c r="AH202" i="28"/>
  <c r="W202" i="28"/>
  <c r="Z202" i="28"/>
  <c r="AJ204" i="28"/>
  <c r="AI204" i="28"/>
  <c r="AG204" i="28"/>
  <c r="AH204" i="28"/>
  <c r="Z204" i="28"/>
  <c r="W204" i="28"/>
  <c r="AJ212" i="28"/>
  <c r="AG212" i="28"/>
  <c r="AH212" i="28"/>
  <c r="Z212" i="28"/>
  <c r="AI212" i="28"/>
  <c r="W212" i="28"/>
  <c r="AJ240" i="28"/>
  <c r="AI240" i="28"/>
  <c r="AG240" i="28"/>
  <c r="AH240" i="28"/>
  <c r="Z240" i="28"/>
  <c r="W240" i="28"/>
  <c r="AJ297" i="28"/>
  <c r="AI297" i="28"/>
  <c r="AG297" i="28"/>
  <c r="AH297" i="28"/>
  <c r="W297" i="28"/>
  <c r="Z297" i="28"/>
  <c r="AJ298" i="28"/>
  <c r="AI298" i="28"/>
  <c r="AH298" i="28"/>
  <c r="AG298" i="28"/>
  <c r="W298" i="28"/>
  <c r="Z298" i="28"/>
  <c r="AI302" i="28"/>
  <c r="AJ302" i="28"/>
  <c r="AG302" i="28"/>
  <c r="AH302" i="28"/>
  <c r="W302" i="28"/>
  <c r="Z302" i="28"/>
  <c r="AJ313" i="28"/>
  <c r="AH313" i="28"/>
  <c r="AG313" i="28"/>
  <c r="AI313" i="28"/>
  <c r="Z313" i="28"/>
  <c r="W313" i="28"/>
  <c r="AG315" i="28"/>
  <c r="AJ315" i="28"/>
  <c r="AI315" i="28"/>
  <c r="AH315" i="28"/>
  <c r="Z315" i="28"/>
  <c r="W315" i="28"/>
  <c r="AI316" i="28"/>
  <c r="AH316" i="28"/>
  <c r="AG316" i="28"/>
  <c r="AJ316" i="28"/>
  <c r="Z316" i="28"/>
  <c r="W316" i="28"/>
  <c r="AI317" i="28"/>
  <c r="AJ317" i="28"/>
  <c r="AH317" i="28"/>
  <c r="AG317" i="28"/>
  <c r="Z317" i="28"/>
  <c r="W317" i="28"/>
  <c r="AH320" i="28"/>
  <c r="AG320" i="28"/>
  <c r="Z320" i="28"/>
  <c r="AJ320" i="28"/>
  <c r="AI320" i="28"/>
  <c r="W320" i="28"/>
  <c r="AJ322" i="28"/>
  <c r="AI322" i="28"/>
  <c r="AG322" i="28"/>
  <c r="AH322" i="28"/>
  <c r="Z322" i="28"/>
  <c r="W322" i="28"/>
  <c r="AJ323" i="28"/>
  <c r="AI323" i="28"/>
  <c r="AG323" i="28"/>
  <c r="W323" i="28"/>
  <c r="AH323" i="28"/>
  <c r="Z323" i="28"/>
  <c r="AG335" i="28"/>
  <c r="AI335" i="28"/>
  <c r="AJ335" i="28" s="1"/>
  <c r="AI336" i="28"/>
  <c r="AG336" i="28"/>
  <c r="AG340" i="28"/>
  <c r="AI340" i="28"/>
  <c r="AJ340" i="28" s="1"/>
  <c r="AG361" i="28"/>
  <c r="AJ361" i="28"/>
  <c r="AI361" i="28"/>
  <c r="AH361" i="28"/>
  <c r="W361" i="28"/>
  <c r="Z361" i="28"/>
  <c r="AI362" i="28"/>
  <c r="AH362" i="28"/>
  <c r="AJ362" i="28"/>
  <c r="Z362" i="28"/>
  <c r="AG362" i="28"/>
  <c r="W362" i="28"/>
  <c r="AJ363" i="28"/>
  <c r="AH363" i="28"/>
  <c r="AG363" i="28"/>
  <c r="AI363" i="28"/>
  <c r="Z363" i="28"/>
  <c r="W363" i="28"/>
  <c r="AJ398" i="28"/>
  <c r="AG398" i="28"/>
  <c r="AI398" i="28"/>
  <c r="AH398" i="28"/>
  <c r="W398" i="28"/>
  <c r="Z398" i="28"/>
  <c r="AJ453" i="28"/>
  <c r="AI453" i="28"/>
  <c r="AH453" i="28"/>
  <c r="AG453" i="28"/>
  <c r="Z453" i="28"/>
  <c r="W453" i="28"/>
  <c r="AI467" i="28"/>
  <c r="AJ467" i="28"/>
  <c r="AG467" i="28"/>
  <c r="AH467" i="28"/>
  <c r="Z467" i="28"/>
  <c r="W467" i="28"/>
  <c r="AH469" i="28"/>
  <c r="AJ469" i="28"/>
  <c r="AI469" i="28"/>
  <c r="AG469" i="28"/>
  <c r="W469" i="28"/>
  <c r="Z469" i="28"/>
  <c r="AG501" i="28"/>
  <c r="AI501" i="28"/>
  <c r="AJ501" i="28" s="1"/>
  <c r="AG503" i="28"/>
  <c r="AI503" i="28"/>
  <c r="AJ503" i="28" s="1"/>
  <c r="Z131" i="28"/>
  <c r="AJ125" i="28"/>
  <c r="AI125" i="28"/>
  <c r="AG125" i="28"/>
  <c r="AH125" i="28"/>
  <c r="Z125" i="28"/>
  <c r="W125" i="28"/>
  <c r="AH126" i="28"/>
  <c r="AJ126" i="28"/>
  <c r="AI126" i="28"/>
  <c r="AG126" i="28"/>
  <c r="Z126" i="28"/>
  <c r="W126" i="28"/>
  <c r="AJ128" i="28"/>
  <c r="AI128" i="28"/>
  <c r="AG128" i="28"/>
  <c r="AH128" i="28"/>
  <c r="W128" i="28"/>
  <c r="AH159" i="28"/>
  <c r="AG159" i="28"/>
  <c r="AJ159" i="28"/>
  <c r="AI159" i="28"/>
  <c r="W159" i="28"/>
  <c r="Z159" i="28"/>
  <c r="AJ160" i="28"/>
  <c r="AI160" i="28"/>
  <c r="AH160" i="28"/>
  <c r="AG160" i="28"/>
  <c r="W160" i="28"/>
  <c r="Z160" i="28"/>
  <c r="AI186" i="28"/>
  <c r="AH186" i="28"/>
  <c r="AG186" i="28"/>
  <c r="AJ186" i="28"/>
  <c r="Z186" i="28"/>
  <c r="W186" i="28"/>
  <c r="AH195" i="28"/>
  <c r="AG195" i="28"/>
  <c r="AJ195" i="28"/>
  <c r="AI195" i="28"/>
  <c r="W195" i="28"/>
  <c r="AJ196" i="28"/>
  <c r="AI196" i="28"/>
  <c r="AH196" i="28"/>
  <c r="AG196" i="28"/>
  <c r="Z196" i="28"/>
  <c r="W196" i="28"/>
  <c r="AI239" i="28"/>
  <c r="AH239" i="28"/>
  <c r="AG239" i="28"/>
  <c r="AJ239" i="28"/>
  <c r="Z239" i="28"/>
  <c r="W239" i="28"/>
  <c r="AI261" i="28"/>
  <c r="AH261" i="28"/>
  <c r="AG261" i="28"/>
  <c r="AJ261" i="28"/>
  <c r="W261" i="28"/>
  <c r="Z261" i="28"/>
  <c r="AJ264" i="28"/>
  <c r="AI264" i="28"/>
  <c r="AG264" i="28"/>
  <c r="AH264" i="28"/>
  <c r="Z264" i="28"/>
  <c r="W264" i="28"/>
  <c r="AG265" i="28"/>
  <c r="AH265" i="28"/>
  <c r="AJ265" i="28"/>
  <c r="AI265" i="28"/>
  <c r="W265" i="28"/>
  <c r="Z265" i="28"/>
  <c r="AG301" i="28"/>
  <c r="AH301" i="28"/>
  <c r="AJ301" i="28"/>
  <c r="AI301" i="28"/>
  <c r="W301" i="28"/>
  <c r="Z301" i="28"/>
  <c r="AH303" i="28"/>
  <c r="AG303" i="28"/>
  <c r="AJ303" i="28"/>
  <c r="AI303" i="28"/>
  <c r="W303" i="28"/>
  <c r="Z303" i="28"/>
  <c r="AJ311" i="28"/>
  <c r="AI311" i="28"/>
  <c r="AG311" i="28"/>
  <c r="W311" i="28"/>
  <c r="Z311" i="28"/>
  <c r="AH311" i="28"/>
  <c r="AH314" i="28"/>
  <c r="AG314" i="28"/>
  <c r="AJ314" i="28"/>
  <c r="AI314" i="28"/>
  <c r="Z314" i="28"/>
  <c r="W314" i="28"/>
  <c r="AI318" i="28"/>
  <c r="AH318" i="28"/>
  <c r="AG318" i="28"/>
  <c r="AJ318" i="28"/>
  <c r="Z318" i="28"/>
  <c r="W318" i="28"/>
  <c r="AI319" i="28"/>
  <c r="AJ319" i="28"/>
  <c r="AH319" i="28"/>
  <c r="AG319" i="28"/>
  <c r="Z319" i="28"/>
  <c r="W319" i="28"/>
  <c r="AI333" i="28"/>
  <c r="AJ333" i="28" s="1"/>
  <c r="AG333" i="28"/>
  <c r="AH357" i="28"/>
  <c r="AG357" i="28"/>
  <c r="AJ357" i="28"/>
  <c r="AI357" i="28"/>
  <c r="Z357" i="28"/>
  <c r="W357" i="28"/>
  <c r="AJ364" i="28"/>
  <c r="AH364" i="28"/>
  <c r="AG364" i="28"/>
  <c r="AI364" i="28"/>
  <c r="W364" i="28"/>
  <c r="Z364" i="28"/>
  <c r="AJ395" i="28"/>
  <c r="AI395" i="28"/>
  <c r="AH395" i="28"/>
  <c r="AG395" i="28"/>
  <c r="W395" i="28"/>
  <c r="Z395" i="28"/>
  <c r="AH397" i="28"/>
  <c r="AG397" i="28"/>
  <c r="AJ397" i="28"/>
  <c r="AI397" i="28"/>
  <c r="Z397" i="28"/>
  <c r="W397" i="28"/>
  <c r="AH455" i="28"/>
  <c r="AJ455" i="28"/>
  <c r="AI455" i="28"/>
  <c r="AG455" i="28"/>
  <c r="Z455" i="28"/>
  <c r="W455" i="28"/>
  <c r="AJ457" i="28"/>
  <c r="AH457" i="28"/>
  <c r="AG457" i="28"/>
  <c r="AI457" i="28"/>
  <c r="Z457" i="28"/>
  <c r="W457" i="28"/>
  <c r="AJ458" i="28"/>
  <c r="AH458" i="28"/>
  <c r="AG458" i="28"/>
  <c r="AI458" i="28"/>
  <c r="Z458" i="28"/>
  <c r="W458" i="28"/>
  <c r="AJ460" i="28"/>
  <c r="AI460" i="28"/>
  <c r="AH460" i="28"/>
  <c r="Z460" i="28"/>
  <c r="W460" i="28"/>
  <c r="AG460" i="28"/>
  <c r="AG464" i="28"/>
  <c r="AJ464" i="28"/>
  <c r="AI464" i="28"/>
  <c r="AH464" i="28"/>
  <c r="Z464" i="28"/>
  <c r="W464" i="28"/>
  <c r="AI465" i="28"/>
  <c r="AG465" i="28"/>
  <c r="AJ465" i="28"/>
  <c r="AH465" i="28"/>
  <c r="Z465" i="28"/>
  <c r="W465" i="28"/>
  <c r="AI466" i="28"/>
  <c r="AG466" i="28"/>
  <c r="AJ466" i="28"/>
  <c r="AH466" i="28"/>
  <c r="Z466" i="28"/>
  <c r="W466" i="28"/>
  <c r="AJ470" i="28"/>
  <c r="AH470" i="28"/>
  <c r="AG470" i="28"/>
  <c r="AI470" i="28"/>
  <c r="Z470" i="28"/>
  <c r="W470" i="28"/>
  <c r="AJ471" i="28"/>
  <c r="AH471" i="28"/>
  <c r="AG471" i="28"/>
  <c r="AI471" i="28"/>
  <c r="Z471" i="28"/>
  <c r="W471" i="28"/>
  <c r="AJ473" i="28"/>
  <c r="AI473" i="28"/>
  <c r="AH473" i="28"/>
  <c r="AG473" i="28"/>
  <c r="Z473" i="28"/>
  <c r="W473" i="28"/>
  <c r="AG475" i="28"/>
  <c r="AJ475" i="28"/>
  <c r="AI475" i="28"/>
  <c r="AH475" i="28"/>
  <c r="W475" i="28"/>
  <c r="Z475" i="28"/>
  <c r="AG504" i="28"/>
  <c r="AI504" i="28"/>
  <c r="AJ504" i="28" s="1"/>
  <c r="AI188" i="28"/>
  <c r="AG188" i="28"/>
  <c r="AJ188" i="28"/>
  <c r="AH188" i="28"/>
  <c r="Z188" i="28"/>
  <c r="W188" i="28"/>
  <c r="AJ193" i="28"/>
  <c r="AG193" i="28"/>
  <c r="AI193" i="28"/>
  <c r="AH193" i="28"/>
  <c r="W193" i="28"/>
  <c r="Z193" i="28"/>
  <c r="AI237" i="28"/>
  <c r="AH237" i="28"/>
  <c r="AG237" i="28"/>
  <c r="AJ237" i="28"/>
  <c r="W237" i="28"/>
  <c r="Z237" i="28"/>
  <c r="AJ257" i="28"/>
  <c r="AI257" i="28"/>
  <c r="AH257" i="28"/>
  <c r="AG257" i="28"/>
  <c r="W257" i="28"/>
  <c r="Z257" i="28"/>
  <c r="AJ260" i="28"/>
  <c r="AI260" i="28"/>
  <c r="AH260" i="28"/>
  <c r="AG260" i="28"/>
  <c r="W260" i="28"/>
  <c r="Z260" i="28"/>
  <c r="AG262" i="28"/>
  <c r="AJ262" i="28"/>
  <c r="AH262" i="28"/>
  <c r="AI262" i="28"/>
  <c r="Z262" i="28"/>
  <c r="W262" i="28"/>
  <c r="AH267" i="28"/>
  <c r="AG267" i="28"/>
  <c r="AJ267" i="28"/>
  <c r="AI267" i="28"/>
  <c r="Z267" i="28"/>
  <c r="W267" i="28"/>
  <c r="AI277" i="28"/>
  <c r="AH277" i="28"/>
  <c r="AG277" i="28"/>
  <c r="AJ277" i="28"/>
  <c r="W277" i="28"/>
  <c r="Z277" i="28"/>
  <c r="AJ296" i="28"/>
  <c r="AI296" i="28"/>
  <c r="AG296" i="28"/>
  <c r="AH296" i="28"/>
  <c r="W296" i="28"/>
  <c r="Z296" i="28"/>
  <c r="AJ300" i="28"/>
  <c r="AI300" i="28"/>
  <c r="AH300" i="28"/>
  <c r="AG300" i="28"/>
  <c r="Z300" i="28"/>
  <c r="W300" i="28"/>
  <c r="AJ312" i="28"/>
  <c r="AG312" i="28"/>
  <c r="AI312" i="28"/>
  <c r="AH312" i="28"/>
  <c r="Z312" i="28"/>
  <c r="W312" i="28"/>
  <c r="AG334" i="28"/>
  <c r="AJ334" i="28"/>
  <c r="AI334" i="28"/>
  <c r="AI355" i="28"/>
  <c r="AH355" i="28"/>
  <c r="AG355" i="28"/>
  <c r="AJ355" i="28"/>
  <c r="Z355" i="28"/>
  <c r="W355" i="28"/>
  <c r="AH356" i="28"/>
  <c r="AG356" i="28"/>
  <c r="AI356" i="28"/>
  <c r="AJ356" i="28"/>
  <c r="Z356" i="28"/>
  <c r="W356" i="28"/>
  <c r="AI359" i="28"/>
  <c r="AJ359" i="28"/>
  <c r="AH359" i="28"/>
  <c r="AG359" i="28"/>
  <c r="W359" i="28"/>
  <c r="Z359" i="28"/>
  <c r="AI387" i="28"/>
  <c r="AH387" i="28"/>
  <c r="AJ387" i="28"/>
  <c r="AG387" i="28"/>
  <c r="Z387" i="28"/>
  <c r="W387" i="28"/>
  <c r="AG389" i="28"/>
  <c r="AH389" i="28"/>
  <c r="AJ389" i="28"/>
  <c r="AI389" i="28"/>
  <c r="W389" i="28"/>
  <c r="Z389" i="28"/>
  <c r="AG396" i="28"/>
  <c r="AJ396" i="28"/>
  <c r="AI396" i="28"/>
  <c r="AH396" i="28"/>
  <c r="Z396" i="28"/>
  <c r="W396" i="28"/>
  <c r="AI433" i="28"/>
  <c r="AH433" i="28"/>
  <c r="AG433" i="28"/>
  <c r="W433" i="28"/>
  <c r="AJ433" i="28"/>
  <c r="Z433" i="28"/>
  <c r="AG436" i="28"/>
  <c r="AI436" i="28"/>
  <c r="AH436" i="28"/>
  <c r="AJ436" i="28"/>
  <c r="W436" i="28"/>
  <c r="Z436" i="28"/>
  <c r="AI451" i="28"/>
  <c r="AG451" i="28"/>
  <c r="AH451" i="28"/>
  <c r="AJ451" i="28"/>
  <c r="W451" i="28"/>
  <c r="Z451" i="28"/>
  <c r="AH454" i="28"/>
  <c r="AG454" i="28"/>
  <c r="AJ454" i="28"/>
  <c r="AI454" i="28"/>
  <c r="Z454" i="28"/>
  <c r="W454" i="28"/>
  <c r="AJ456" i="28"/>
  <c r="AH456" i="28"/>
  <c r="AI456" i="28"/>
  <c r="AG456" i="28"/>
  <c r="Z456" i="28"/>
  <c r="W456" i="28"/>
  <c r="AJ468" i="28"/>
  <c r="AI468" i="28"/>
  <c r="AG468" i="28"/>
  <c r="AH468" i="28"/>
  <c r="Z468" i="28"/>
  <c r="W468" i="28"/>
  <c r="AJ472" i="28"/>
  <c r="AI472" i="28"/>
  <c r="AH472" i="28"/>
  <c r="AG472" i="28"/>
  <c r="Z472" i="28"/>
  <c r="W472" i="28"/>
  <c r="AJ474" i="28"/>
  <c r="AI474" i="28"/>
  <c r="AH474" i="28"/>
  <c r="AG474" i="28"/>
  <c r="Z474" i="28"/>
  <c r="W474" i="28"/>
  <c r="AJ497" i="28"/>
  <c r="AG497" i="28"/>
  <c r="AI497" i="28"/>
  <c r="AH499" i="28"/>
  <c r="AI499" i="28"/>
  <c r="AJ499" i="28" s="1"/>
  <c r="AG499" i="28"/>
  <c r="AI500" i="28"/>
  <c r="AJ500" i="28"/>
  <c r="AG500" i="28"/>
  <c r="AG502" i="28"/>
  <c r="AI502" i="28"/>
  <c r="AJ502" i="28" s="1"/>
  <c r="Z80" i="28"/>
  <c r="AI194" i="28"/>
  <c r="AJ194" i="28"/>
  <c r="AH194" i="28"/>
  <c r="AG194" i="28"/>
  <c r="Z194" i="28"/>
  <c r="W194" i="28"/>
  <c r="AJ238" i="28"/>
  <c r="AH238" i="28"/>
  <c r="AI238" i="28"/>
  <c r="Z238" i="28"/>
  <c r="AG238" i="28"/>
  <c r="W238" i="28"/>
  <c r="AH258" i="28"/>
  <c r="AG258" i="28"/>
  <c r="AI258" i="28"/>
  <c r="AJ258" i="28"/>
  <c r="W258" i="28"/>
  <c r="Z258" i="28"/>
  <c r="AJ259" i="28"/>
  <c r="AI259" i="28"/>
  <c r="AH259" i="28"/>
  <c r="AG259" i="28"/>
  <c r="W259" i="28"/>
  <c r="Z259" i="28"/>
  <c r="AJ266" i="28"/>
  <c r="AI266" i="28"/>
  <c r="AG266" i="28"/>
  <c r="AH266" i="28"/>
  <c r="Z266" i="28"/>
  <c r="W266" i="28"/>
  <c r="AJ268" i="28"/>
  <c r="AI268" i="28"/>
  <c r="AG268" i="28"/>
  <c r="AH268" i="28"/>
  <c r="Z268" i="28"/>
  <c r="AH279" i="28"/>
  <c r="AI279" i="28"/>
  <c r="AJ279" i="28"/>
  <c r="AG279" i="28"/>
  <c r="W279" i="28"/>
  <c r="Z279" i="28"/>
  <c r="AI283" i="28"/>
  <c r="AJ283" i="28"/>
  <c r="AG283" i="28"/>
  <c r="AH283" i="28"/>
  <c r="W283" i="28"/>
  <c r="Z283" i="28"/>
  <c r="AH295" i="28"/>
  <c r="AG295" i="28"/>
  <c r="AI295" i="28"/>
  <c r="AJ295" i="28"/>
  <c r="Z295" i="28"/>
  <c r="W295" i="28"/>
  <c r="AH310" i="28"/>
  <c r="AG310" i="28"/>
  <c r="AI310" i="28"/>
  <c r="AJ310" i="28"/>
  <c r="Z310" i="28"/>
  <c r="W310" i="28"/>
  <c r="AG332" i="28"/>
  <c r="AJ332" i="28"/>
  <c r="AI332" i="28"/>
  <c r="AJ353" i="28"/>
  <c r="AI353" i="28"/>
  <c r="AG353" i="28"/>
  <c r="AH353" i="28"/>
  <c r="Z353" i="28"/>
  <c r="W353" i="28"/>
  <c r="AJ360" i="28"/>
  <c r="AI360" i="28"/>
  <c r="AH360" i="28"/>
  <c r="AG360" i="28"/>
  <c r="Z360" i="28"/>
  <c r="W360" i="28"/>
  <c r="AH385" i="28"/>
  <c r="AG385" i="28"/>
  <c r="AJ385" i="28"/>
  <c r="AI385" i="28"/>
  <c r="Z385" i="28"/>
  <c r="W385" i="28"/>
  <c r="AI388" i="28"/>
  <c r="AH388" i="28"/>
  <c r="AG388" i="28"/>
  <c r="AJ388" i="28"/>
  <c r="Z388" i="28"/>
  <c r="W388" i="28"/>
  <c r="AH394" i="28"/>
  <c r="AG394" i="28"/>
  <c r="AJ394" i="28"/>
  <c r="AI394" i="28"/>
  <c r="Z394" i="28"/>
  <c r="W394" i="28"/>
  <c r="AH427" i="28"/>
  <c r="AJ427" i="28"/>
  <c r="AI427" i="28"/>
  <c r="AG427" i="28"/>
  <c r="W427" i="28"/>
  <c r="Z427" i="28"/>
  <c r="AJ429" i="28"/>
  <c r="AI429" i="28"/>
  <c r="AH429" i="28"/>
  <c r="AG429" i="28"/>
  <c r="Z429" i="28"/>
  <c r="W429" i="28"/>
  <c r="AI431" i="28"/>
  <c r="AH431" i="28"/>
  <c r="AG431" i="28"/>
  <c r="AJ431" i="28"/>
  <c r="W431" i="28"/>
  <c r="Z431" i="28"/>
  <c r="AJ435" i="28"/>
  <c r="AI435" i="28"/>
  <c r="AH435" i="28"/>
  <c r="AG435" i="28"/>
  <c r="W435" i="28"/>
  <c r="Z435" i="28"/>
  <c r="AI452" i="28"/>
  <c r="AJ452" i="28"/>
  <c r="AG452" i="28"/>
  <c r="AH452" i="28"/>
  <c r="W452" i="28"/>
  <c r="Z452" i="28"/>
  <c r="AJ476" i="28"/>
  <c r="AI476" i="28"/>
  <c r="AG476" i="28"/>
  <c r="AH476" i="28"/>
  <c r="W476" i="28"/>
  <c r="Z476" i="28"/>
  <c r="AI493" i="28"/>
  <c r="AJ493" i="28"/>
  <c r="AG493" i="28"/>
  <c r="W41" i="28"/>
  <c r="W52" i="28"/>
  <c r="Z273" i="28"/>
  <c r="AG79" i="28"/>
  <c r="AJ79" i="28"/>
  <c r="AI79" i="28"/>
  <c r="AH79" i="28"/>
  <c r="Z79" i="28"/>
  <c r="AJ81" i="28"/>
  <c r="AI81" i="28"/>
  <c r="AG81" i="28"/>
  <c r="AH81" i="28"/>
  <c r="W81" i="28"/>
  <c r="Z81" i="28"/>
  <c r="AJ82" i="28"/>
  <c r="AI82" i="28"/>
  <c r="AH82" i="28"/>
  <c r="AG82" i="28"/>
  <c r="W82" i="28"/>
  <c r="Z82" i="28"/>
  <c r="AI115" i="28"/>
  <c r="AJ115" i="28"/>
  <c r="AH115" i="28"/>
  <c r="AG115" i="28"/>
  <c r="W115" i="28"/>
  <c r="Z115" i="28"/>
  <c r="AJ120" i="28"/>
  <c r="AI120" i="28"/>
  <c r="AH120" i="28"/>
  <c r="AG120" i="28"/>
  <c r="W120" i="28"/>
  <c r="Z120" i="28"/>
  <c r="AG121" i="28"/>
  <c r="AI121" i="28"/>
  <c r="AH121" i="28"/>
  <c r="AJ121" i="28"/>
  <c r="W121" i="28"/>
  <c r="Z121" i="28"/>
  <c r="AH182" i="28"/>
  <c r="AG182" i="28"/>
  <c r="AJ182" i="28"/>
  <c r="AI182" i="28"/>
  <c r="Z182" i="28"/>
  <c r="W182" i="28"/>
  <c r="AH184" i="28"/>
  <c r="AJ184" i="28"/>
  <c r="AG184" i="28"/>
  <c r="AI184" i="28"/>
  <c r="Z184" i="28"/>
  <c r="W184" i="28"/>
  <c r="AJ233" i="28"/>
  <c r="AI233" i="28"/>
  <c r="AH233" i="28"/>
  <c r="W233" i="28"/>
  <c r="AG233" i="28"/>
  <c r="Z233" i="28"/>
  <c r="AJ234" i="28"/>
  <c r="AI234" i="28"/>
  <c r="AG234" i="28"/>
  <c r="AH234" i="28"/>
  <c r="Z234" i="28"/>
  <c r="W234" i="28"/>
  <c r="AH235" i="28"/>
  <c r="AJ235" i="28"/>
  <c r="AI235" i="28"/>
  <c r="AG235" i="28"/>
  <c r="W235" i="28"/>
  <c r="Z235" i="28"/>
  <c r="AJ236" i="28"/>
  <c r="AI236" i="28"/>
  <c r="AH236" i="28"/>
  <c r="AG236" i="28"/>
  <c r="Z236" i="28"/>
  <c r="AI255" i="28"/>
  <c r="AJ255" i="28"/>
  <c r="AH255" i="28"/>
  <c r="AG255" i="28"/>
  <c r="Z255" i="28"/>
  <c r="W255" i="28"/>
  <c r="AI269" i="28"/>
  <c r="AJ269" i="28"/>
  <c r="AG269" i="28"/>
  <c r="AH269" i="28"/>
  <c r="Z269" i="28"/>
  <c r="W269" i="28"/>
  <c r="AI275" i="28"/>
  <c r="AH275" i="28"/>
  <c r="AJ275" i="28"/>
  <c r="AG275" i="28"/>
  <c r="W275" i="28"/>
  <c r="Z275" i="28"/>
  <c r="AG276" i="28"/>
  <c r="AH276" i="28"/>
  <c r="AI276" i="28"/>
  <c r="W276" i="28"/>
  <c r="Z276" i="28"/>
  <c r="AJ276" i="28"/>
  <c r="AJ278" i="28"/>
  <c r="AI278" i="28"/>
  <c r="AH278" i="28"/>
  <c r="AG278" i="28"/>
  <c r="W278" i="28"/>
  <c r="Z278" i="28"/>
  <c r="AJ282" i="28"/>
  <c r="AI282" i="28"/>
  <c r="AG282" i="28"/>
  <c r="AH282" i="28"/>
  <c r="W282" i="28"/>
  <c r="AJ284" i="28"/>
  <c r="AH284" i="28"/>
  <c r="AG284" i="28"/>
  <c r="AI284" i="28"/>
  <c r="W284" i="28"/>
  <c r="Z284" i="28"/>
  <c r="AG331" i="28"/>
  <c r="AI331" i="28"/>
  <c r="AI354" i="28"/>
  <c r="AH354" i="28"/>
  <c r="AG354" i="28"/>
  <c r="AJ354" i="28"/>
  <c r="Z354" i="28"/>
  <c r="W354" i="28"/>
  <c r="AJ358" i="28"/>
  <c r="AI358" i="28"/>
  <c r="AG358" i="28"/>
  <c r="AH358" i="28"/>
  <c r="Z358" i="28"/>
  <c r="W358" i="28"/>
  <c r="AG383" i="28"/>
  <c r="AJ383" i="28"/>
  <c r="AI383" i="28"/>
  <c r="AH383" i="28"/>
  <c r="W383" i="28"/>
  <c r="Z383" i="28"/>
  <c r="AJ386" i="28"/>
  <c r="AI386" i="28"/>
  <c r="AG386" i="28"/>
  <c r="AH386" i="28"/>
  <c r="Z386" i="28"/>
  <c r="W386" i="28"/>
  <c r="AI390" i="28"/>
  <c r="AH390" i="28"/>
  <c r="AG390" i="28"/>
  <c r="Z390" i="28"/>
  <c r="AJ390" i="28"/>
  <c r="W390" i="28"/>
  <c r="AJ391" i="28"/>
  <c r="AH391" i="28"/>
  <c r="AI391" i="28"/>
  <c r="AG391" i="28"/>
  <c r="Z391" i="28"/>
  <c r="W391" i="28"/>
  <c r="AJ393" i="28"/>
  <c r="AI393" i="28"/>
  <c r="AH393" i="28"/>
  <c r="AG393" i="28"/>
  <c r="W393" i="28"/>
  <c r="Z393" i="28"/>
  <c r="AJ428" i="28"/>
  <c r="AH428" i="28"/>
  <c r="AI428" i="28"/>
  <c r="AG428" i="28"/>
  <c r="Z428" i="28"/>
  <c r="W428" i="28"/>
  <c r="AI430" i="28"/>
  <c r="AH430" i="28"/>
  <c r="AG430" i="28"/>
  <c r="AJ430" i="28"/>
  <c r="Z430" i="28"/>
  <c r="W430" i="28"/>
  <c r="AJ432" i="28"/>
  <c r="AH432" i="28"/>
  <c r="AG432" i="28"/>
  <c r="Z432" i="28"/>
  <c r="W432" i="28"/>
  <c r="AI432" i="28"/>
  <c r="AJ434" i="28"/>
  <c r="AH434" i="28"/>
  <c r="AI434" i="28"/>
  <c r="AG434" i="28"/>
  <c r="W434" i="28"/>
  <c r="Z434" i="28"/>
  <c r="AG450" i="28"/>
  <c r="AJ450" i="28"/>
  <c r="AH450" i="28"/>
  <c r="AI450" i="28"/>
  <c r="W450" i="28"/>
  <c r="Z450" i="28"/>
  <c r="AJ477" i="28"/>
  <c r="AI477" i="28"/>
  <c r="AH477" i="28"/>
  <c r="AG477" i="28"/>
  <c r="W477" i="28"/>
  <c r="Z477" i="28"/>
  <c r="AI498" i="28"/>
  <c r="AJ498" i="28"/>
  <c r="AG498" i="28"/>
  <c r="Z195" i="28"/>
  <c r="AJ88" i="28"/>
  <c r="AI88" i="28"/>
  <c r="AH88" i="28"/>
  <c r="AG88" i="28"/>
  <c r="Z88" i="28"/>
  <c r="W88" i="28"/>
  <c r="AI32" i="28"/>
  <c r="AI34" i="28"/>
  <c r="AI39" i="28"/>
  <c r="AI41" i="28"/>
  <c r="AH41" i="28"/>
  <c r="AG41" i="28"/>
  <c r="AJ41" i="28"/>
  <c r="Z41" i="28"/>
  <c r="AJ78" i="28"/>
  <c r="AI78" i="28"/>
  <c r="AH78" i="28"/>
  <c r="AG78" i="28"/>
  <c r="W78" i="28"/>
  <c r="Z78" i="28"/>
  <c r="AI80" i="28"/>
  <c r="AH80" i="28"/>
  <c r="AG80" i="28"/>
  <c r="AJ80" i="28"/>
  <c r="W80" i="28"/>
  <c r="AH84" i="28"/>
  <c r="AJ84" i="28"/>
  <c r="AI84" i="28"/>
  <c r="AG84" i="28"/>
  <c r="Z84" i="28"/>
  <c r="W84" i="28"/>
  <c r="AI86" i="28"/>
  <c r="AH86" i="28"/>
  <c r="AG86" i="28"/>
  <c r="AJ86" i="28"/>
  <c r="Z86" i="28"/>
  <c r="W86" i="28"/>
  <c r="AJ114" i="28"/>
  <c r="AI114" i="28"/>
  <c r="AG114" i="28"/>
  <c r="AH114" i="28"/>
  <c r="Z114" i="28"/>
  <c r="W114" i="28"/>
  <c r="AG117" i="28"/>
  <c r="AJ117" i="28"/>
  <c r="AH117" i="28"/>
  <c r="AI117" i="28"/>
  <c r="Z117" i="28"/>
  <c r="W117" i="28"/>
  <c r="AI118" i="28"/>
  <c r="AH118" i="28"/>
  <c r="AJ118" i="28"/>
  <c r="AG118" i="28"/>
  <c r="W118" i="28"/>
  <c r="AJ119" i="28"/>
  <c r="AH119" i="28"/>
  <c r="AI119" i="28"/>
  <c r="AG119" i="28"/>
  <c r="W119" i="28"/>
  <c r="Z119" i="28"/>
  <c r="AI122" i="28"/>
  <c r="AH122" i="28"/>
  <c r="AG122" i="28"/>
  <c r="AJ122" i="28"/>
  <c r="Z122" i="28"/>
  <c r="W122" i="28"/>
  <c r="AH154" i="28"/>
  <c r="AI154" i="28"/>
  <c r="AG154" i="28"/>
  <c r="Z154" i="28"/>
  <c r="AJ154" i="28"/>
  <c r="W154" i="28"/>
  <c r="AJ181" i="28"/>
  <c r="AH181" i="28"/>
  <c r="AI181" i="28"/>
  <c r="AG181" i="28"/>
  <c r="Z181" i="28"/>
  <c r="W181" i="28"/>
  <c r="AJ251" i="28"/>
  <c r="AI251" i="28"/>
  <c r="AG251" i="28"/>
  <c r="AH251" i="28"/>
  <c r="Z251" i="28"/>
  <c r="W251" i="28"/>
  <c r="AJ254" i="28"/>
  <c r="AH254" i="28"/>
  <c r="AG254" i="28"/>
  <c r="AI254" i="28"/>
  <c r="Z254" i="28"/>
  <c r="W254" i="28"/>
  <c r="AG256" i="28"/>
  <c r="AJ256" i="28"/>
  <c r="AI256" i="28"/>
  <c r="AH256" i="28"/>
  <c r="Z256" i="28"/>
  <c r="W256" i="28"/>
  <c r="AJ274" i="28"/>
  <c r="AI274" i="28"/>
  <c r="AH274" i="28"/>
  <c r="AG274" i="28"/>
  <c r="W274" i="28"/>
  <c r="Z274" i="28"/>
  <c r="AJ280" i="28"/>
  <c r="AH280" i="28"/>
  <c r="AG280" i="28"/>
  <c r="AI280" i="28"/>
  <c r="W280" i="28"/>
  <c r="Z280" i="28"/>
  <c r="AH281" i="28"/>
  <c r="AG281" i="28"/>
  <c r="AJ281" i="28"/>
  <c r="AI281" i="28"/>
  <c r="W281" i="28"/>
  <c r="Z281" i="28"/>
  <c r="AJ285" i="28"/>
  <c r="AI285" i="28"/>
  <c r="AG285" i="28"/>
  <c r="AH285" i="28"/>
  <c r="W285" i="28"/>
  <c r="Z285" i="28"/>
  <c r="AI291" i="28"/>
  <c r="AH291" i="28"/>
  <c r="AJ291" i="28"/>
  <c r="AG291" i="28"/>
  <c r="W291" i="28"/>
  <c r="Z291" i="28"/>
  <c r="AJ294" i="28"/>
  <c r="AI294" i="28"/>
  <c r="AH294" i="28"/>
  <c r="AG294" i="28"/>
  <c r="Z294" i="28"/>
  <c r="W294" i="28"/>
  <c r="AJ309" i="28"/>
  <c r="AI309" i="28"/>
  <c r="AG309" i="28"/>
  <c r="AH309" i="28"/>
  <c r="Z309" i="28"/>
  <c r="W309" i="28"/>
  <c r="AI330" i="28"/>
  <c r="AG330" i="28"/>
  <c r="AG347" i="28"/>
  <c r="AI347" i="28"/>
  <c r="AJ347" i="28" s="1"/>
  <c r="AH347" i="28"/>
  <c r="AH352" i="28"/>
  <c r="AG352" i="28"/>
  <c r="AJ352" i="28"/>
  <c r="AI352" i="28"/>
  <c r="Z352" i="28"/>
  <c r="W352" i="28"/>
  <c r="AH380" i="28"/>
  <c r="AG380" i="28"/>
  <c r="AJ380" i="28"/>
  <c r="AI380" i="28"/>
  <c r="W380" i="28"/>
  <c r="Z380" i="28"/>
  <c r="AJ381" i="28"/>
  <c r="AI381" i="28"/>
  <c r="AH381" i="28"/>
  <c r="AG381" i="28"/>
  <c r="Z381" i="28"/>
  <c r="W381" i="28"/>
  <c r="AJ384" i="28"/>
  <c r="AI384" i="28"/>
  <c r="AG384" i="28"/>
  <c r="AH384" i="28"/>
  <c r="Z384" i="28"/>
  <c r="W384" i="28"/>
  <c r="AJ392" i="28"/>
  <c r="AI392" i="28"/>
  <c r="AH392" i="28"/>
  <c r="AG392" i="28"/>
  <c r="Z392" i="28"/>
  <c r="W392" i="28"/>
  <c r="AH426" i="28"/>
  <c r="AG426" i="28"/>
  <c r="AJ426" i="28"/>
  <c r="AI426" i="28"/>
  <c r="W426" i="28"/>
  <c r="Z426" i="28"/>
  <c r="AJ447" i="28"/>
  <c r="AI447" i="28"/>
  <c r="AH447" i="28"/>
  <c r="AG447" i="28"/>
  <c r="W447" i="28"/>
  <c r="Z447" i="28"/>
  <c r="AG478" i="28"/>
  <c r="AI478" i="28"/>
  <c r="AH478" i="28"/>
  <c r="AJ478" i="28"/>
  <c r="W478" i="28"/>
  <c r="Z478" i="28"/>
  <c r="AI479" i="28"/>
  <c r="AG479" i="28"/>
  <c r="AJ479" i="28"/>
  <c r="Z479" i="28"/>
  <c r="W479" i="28"/>
  <c r="AH479" i="28"/>
  <c r="AJ482" i="28"/>
  <c r="AG482" i="28"/>
  <c r="AI482" i="28"/>
  <c r="AH482" i="28"/>
  <c r="Z482" i="28"/>
  <c r="W482" i="28"/>
  <c r="AH483" i="28"/>
  <c r="AG483" i="28"/>
  <c r="AI483" i="28"/>
  <c r="AJ483" i="28"/>
  <c r="W483" i="28"/>
  <c r="Z483" i="28"/>
  <c r="AG492" i="28"/>
  <c r="AI492" i="28"/>
  <c r="AJ492" i="28" s="1"/>
  <c r="AI494" i="28"/>
  <c r="AJ494" i="28"/>
  <c r="AG494" i="28"/>
  <c r="AI495" i="28"/>
  <c r="AG495" i="28"/>
  <c r="AG496" i="28"/>
  <c r="AJ496" i="28"/>
  <c r="AI496" i="28"/>
  <c r="Q42" i="36"/>
  <c r="Q57" i="36"/>
  <c r="AM31" i="28"/>
  <c r="B31" i="58" s="1"/>
  <c r="AM30" i="28"/>
  <c r="B30" i="58" s="1"/>
  <c r="AM29" i="28"/>
  <c r="B29" i="58" s="1"/>
  <c r="AM28" i="28"/>
  <c r="B28" i="58" s="1"/>
  <c r="AM27" i="28"/>
  <c r="B27" i="58" s="1"/>
  <c r="AM26" i="28"/>
  <c r="B26" i="58" s="1"/>
  <c r="AM25" i="28"/>
  <c r="B25" i="58" s="1"/>
  <c r="AM24" i="28"/>
  <c r="B24" i="58" s="1"/>
  <c r="AM23" i="28"/>
  <c r="B23" i="58" s="1"/>
  <c r="AM22" i="28"/>
  <c r="B22" i="58" s="1"/>
  <c r="AM21" i="28"/>
  <c r="B21" i="58" s="1"/>
  <c r="AM20" i="28"/>
  <c r="B20" i="58" s="1"/>
  <c r="AM19" i="28"/>
  <c r="B19" i="58" s="1"/>
  <c r="AM18" i="28"/>
  <c r="B18" i="58" s="1"/>
  <c r="AM17" i="28"/>
  <c r="B17" i="58" s="1"/>
  <c r="AM16" i="28"/>
  <c r="B16" i="58" s="1"/>
  <c r="AM15" i="28"/>
  <c r="B15" i="58" s="1"/>
  <c r="AM14" i="28"/>
  <c r="AM13" i="28"/>
  <c r="B13" i="58" s="1"/>
  <c r="AM12" i="28"/>
  <c r="B12" i="58" s="1"/>
  <c r="AM11" i="28"/>
  <c r="B11" i="58" s="1"/>
  <c r="AM10" i="28"/>
  <c r="B10" i="58" s="1"/>
  <c r="AM9" i="28"/>
  <c r="B9" i="58" s="1"/>
  <c r="AM8" i="28"/>
  <c r="B8" i="58" s="1"/>
  <c r="AQ35" i="28"/>
  <c r="AQ33" i="28"/>
  <c r="AQ39" i="28"/>
  <c r="AQ38" i="28"/>
  <c r="AQ32" i="28"/>
  <c r="AQ34" i="28"/>
  <c r="AQ40" i="28"/>
  <c r="B14" i="58" l="1"/>
  <c r="P14" i="58" s="1"/>
  <c r="AB395" i="28"/>
  <c r="AB108" i="28"/>
  <c r="AB247" i="28"/>
  <c r="AB149" i="28"/>
  <c r="AB355" i="28"/>
  <c r="AB132" i="28"/>
  <c r="AB136" i="28"/>
  <c r="AB324" i="28"/>
  <c r="AB413" i="28"/>
  <c r="AB173" i="28"/>
  <c r="AB165" i="28"/>
  <c r="AB72" i="28"/>
  <c r="AB204" i="28"/>
  <c r="AB485" i="28"/>
  <c r="AB471" i="28"/>
  <c r="AB373" i="28"/>
  <c r="AB338" i="28"/>
  <c r="AB240" i="28"/>
  <c r="AB163" i="28"/>
  <c r="AB500" i="28"/>
  <c r="AB185" i="28"/>
  <c r="AB148" i="28"/>
  <c r="AB290" i="28"/>
  <c r="AB315" i="28"/>
  <c r="AB70" i="28"/>
  <c r="AB122" i="28"/>
  <c r="AB344" i="28"/>
  <c r="AB453" i="28"/>
  <c r="AB418" i="28"/>
  <c r="AB320" i="28"/>
  <c r="AB89" i="28"/>
  <c r="AB75" i="28"/>
  <c r="AB479" i="28"/>
  <c r="AB309" i="28"/>
  <c r="AB144" i="28"/>
  <c r="AB489" i="28"/>
  <c r="AB391" i="28"/>
  <c r="AB356" i="28"/>
  <c r="AB244" i="28"/>
  <c r="AB146" i="28"/>
  <c r="AB97" i="28"/>
  <c r="AB333" i="28"/>
  <c r="AB263" i="28"/>
  <c r="AB116" i="28"/>
  <c r="AB409" i="28"/>
  <c r="AB241" i="28"/>
  <c r="AB463" i="28"/>
  <c r="AB386" i="28"/>
  <c r="AB134" i="28"/>
  <c r="AB387" i="28"/>
  <c r="AB275" i="28"/>
  <c r="AB254" i="28"/>
  <c r="AB177" i="28"/>
  <c r="AB142" i="28"/>
  <c r="AB353" i="28"/>
  <c r="AB498" i="28"/>
  <c r="AB141" i="28"/>
  <c r="AB421" i="28"/>
  <c r="AB400" i="28"/>
  <c r="AB378" i="28"/>
  <c r="AB364" i="28"/>
  <c r="AB301" i="28"/>
  <c r="AB280" i="28"/>
  <c r="AB266" i="28"/>
  <c r="AB133" i="28"/>
  <c r="AB105" i="28"/>
  <c r="AB297" i="28"/>
  <c r="AB157" i="28"/>
  <c r="AB379" i="28"/>
  <c r="AB495" i="28"/>
  <c r="AB481" i="28"/>
  <c r="AB222" i="28"/>
  <c r="AB201" i="28"/>
  <c r="AB124" i="28"/>
  <c r="AB248" i="28"/>
  <c r="AB87" i="28"/>
  <c r="AB358" i="28"/>
  <c r="AB503" i="28"/>
  <c r="AB468" i="28"/>
  <c r="AB342" i="28"/>
  <c r="AB307" i="28"/>
  <c r="AB258" i="28"/>
  <c r="AB174" i="28"/>
  <c r="AB160" i="28"/>
  <c r="AB361" i="28"/>
  <c r="AB291" i="28"/>
  <c r="AB354" i="28"/>
  <c r="AB256" i="28"/>
  <c r="AB158" i="28"/>
  <c r="AB458" i="28"/>
  <c r="AB197" i="28"/>
  <c r="AB450" i="28"/>
  <c r="AB436" i="28"/>
  <c r="AB352" i="28"/>
  <c r="AB289" i="28"/>
  <c r="AB101" i="28"/>
  <c r="AB462" i="28"/>
  <c r="AB84" i="28"/>
  <c r="AB64" i="28"/>
  <c r="AB432" i="28"/>
  <c r="AB397" i="28"/>
  <c r="AB383" i="28"/>
  <c r="AB334" i="28"/>
  <c r="AB285" i="28"/>
  <c r="AB454" i="28"/>
  <c r="AB405" i="28"/>
  <c r="AB370" i="28"/>
  <c r="AB272" i="28"/>
  <c r="AB209" i="28"/>
  <c r="AB125" i="28"/>
  <c r="AB111" i="28"/>
  <c r="AB62" i="28"/>
  <c r="AB193" i="28"/>
  <c r="AB183" i="28"/>
  <c r="AB45" i="28"/>
  <c r="AB176" i="28"/>
  <c r="AB283" i="28"/>
  <c r="AB428" i="28"/>
  <c r="AB504" i="28"/>
  <c r="AB343" i="28"/>
  <c r="AB161" i="28"/>
  <c r="AB288" i="28"/>
  <c r="AB78" i="28"/>
  <c r="AB43" i="28"/>
  <c r="AB460" i="28"/>
  <c r="AB425" i="28"/>
  <c r="AB264" i="28"/>
  <c r="AB229" i="28"/>
  <c r="AB131" i="28"/>
  <c r="AB68" i="28"/>
  <c r="AB50" i="28"/>
  <c r="AB337" i="28"/>
  <c r="AB232" i="28"/>
  <c r="AB433" i="28"/>
  <c r="AB188" i="28"/>
  <c r="AB104" i="28"/>
  <c r="AB55" i="28"/>
  <c r="AB41" i="28"/>
  <c r="AB487" i="28"/>
  <c r="AB249" i="28"/>
  <c r="AB221" i="28"/>
  <c r="AB130" i="28"/>
  <c r="AB452" i="28"/>
  <c r="AB410" i="28"/>
  <c r="AB312" i="28"/>
  <c r="AB186" i="28"/>
  <c r="AB372" i="28"/>
  <c r="AB407" i="28"/>
  <c r="AB252" i="28"/>
  <c r="AB77" i="28"/>
  <c r="AB281" i="28"/>
  <c r="AB96" i="28"/>
  <c r="AB83" i="28"/>
  <c r="AB67" i="28"/>
  <c r="AB396" i="28"/>
  <c r="AB295" i="28"/>
  <c r="AB346" i="28"/>
  <c r="AB497" i="28"/>
  <c r="AB385" i="28"/>
  <c r="AB287" i="28"/>
  <c r="AB304" i="28"/>
  <c r="AB435" i="28"/>
  <c r="AB426" i="28"/>
  <c r="AB494" i="28"/>
  <c r="AB79" i="28"/>
  <c r="AB318" i="28"/>
  <c r="AB506" i="28"/>
  <c r="AB422" i="28"/>
  <c r="AB226" i="28"/>
  <c r="AB449" i="28"/>
  <c r="AB178" i="28"/>
  <c r="AB448" i="28"/>
  <c r="AB420" i="28"/>
  <c r="AB350" i="28"/>
  <c r="AB91" i="28"/>
  <c r="AB42" i="28"/>
  <c r="AB208" i="28"/>
  <c r="AB501" i="28"/>
  <c r="AB403" i="28"/>
  <c r="AB305" i="28"/>
  <c r="AB218" i="28"/>
  <c r="AB298" i="28"/>
  <c r="AB200" i="28"/>
  <c r="AB227" i="28"/>
  <c r="AB359" i="28"/>
  <c r="AB261" i="28"/>
  <c r="AB203" i="28"/>
  <c r="AB451" i="28"/>
  <c r="AB271" i="28"/>
  <c r="AB431" i="28"/>
  <c r="AB424" i="28"/>
  <c r="AB228" i="28"/>
  <c r="AB274" i="28"/>
  <c r="AB94" i="28"/>
  <c r="AB499" i="28"/>
  <c r="AB191" i="28"/>
  <c r="AB156" i="28"/>
  <c r="AB491" i="28"/>
  <c r="AB427" i="28"/>
  <c r="AB115" i="28"/>
  <c r="AB162" i="28"/>
  <c r="AB366" i="28"/>
  <c r="AB117" i="28"/>
  <c r="AB384" i="28"/>
  <c r="AB382" i="28"/>
  <c r="AB367" i="28"/>
  <c r="AB265" i="28"/>
  <c r="AB153" i="28"/>
  <c r="AB340" i="28"/>
  <c r="AB137" i="28"/>
  <c r="AB505" i="28"/>
  <c r="AB308" i="28"/>
  <c r="AB273" i="28"/>
  <c r="AB245" i="28"/>
  <c r="AB112" i="28"/>
  <c r="AB63" i="28"/>
  <c r="AB71" i="28"/>
  <c r="AB474" i="28"/>
  <c r="AB376" i="28"/>
  <c r="AB278" i="28"/>
  <c r="AB180" i="28"/>
  <c r="AB246" i="28"/>
  <c r="AB123" i="28"/>
  <c r="AB496" i="28"/>
  <c r="AB447" i="28"/>
  <c r="AB202" i="28"/>
  <c r="AB167" i="28"/>
  <c r="AB445" i="28"/>
  <c r="AB375" i="28"/>
  <c r="AB179" i="28"/>
  <c r="AB408" i="28"/>
  <c r="AB399" i="28"/>
  <c r="AB189" i="28"/>
  <c r="AB140" i="28"/>
  <c r="AB56" i="28"/>
  <c r="AB164" i="28"/>
  <c r="AB467" i="28"/>
  <c r="AB369" i="28"/>
  <c r="AB171" i="28"/>
  <c r="AB57" i="28"/>
  <c r="AB475" i="28"/>
  <c r="AB293" i="28"/>
  <c r="AB473" i="28"/>
  <c r="AB46" i="28"/>
  <c r="AB99" i="28"/>
  <c r="AB119" i="28"/>
  <c r="AB235" i="28"/>
  <c r="AB326" i="28"/>
  <c r="AB415" i="28"/>
  <c r="AB374" i="28"/>
  <c r="AB215" i="28"/>
  <c r="AB401" i="28"/>
  <c r="AB392" i="28"/>
  <c r="AB329" i="28"/>
  <c r="AB477" i="28"/>
  <c r="AB152" i="28"/>
  <c r="AB262" i="28"/>
  <c r="AB482" i="28"/>
  <c r="AB419" i="28"/>
  <c r="AB76" i="28"/>
  <c r="AB319" i="28"/>
  <c r="AB480" i="28"/>
  <c r="AB332" i="28"/>
  <c r="AB155" i="28"/>
  <c r="AB464" i="28"/>
  <c r="AB429" i="28"/>
  <c r="AB303" i="28"/>
  <c r="AB205" i="28"/>
  <c r="AB311" i="28"/>
  <c r="AB414" i="28"/>
  <c r="AB455" i="28"/>
  <c r="AB357" i="28"/>
  <c r="AB210" i="28"/>
  <c r="AB182" i="28"/>
  <c r="AB98" i="28"/>
  <c r="AB49" i="28"/>
  <c r="AB325" i="28"/>
  <c r="AB66" i="28"/>
  <c r="AB351" i="28"/>
  <c r="AB411" i="28"/>
  <c r="AB362" i="28"/>
  <c r="AB250" i="28"/>
  <c r="AB54" i="28"/>
  <c r="AB388" i="28"/>
  <c r="AB335" i="28"/>
  <c r="AB300" i="28"/>
  <c r="AB237" i="28"/>
  <c r="AB139" i="28"/>
  <c r="AB302" i="28"/>
  <c r="AB113" i="28"/>
  <c r="AB284" i="28"/>
  <c r="AB214" i="28"/>
  <c r="AB65" i="28"/>
  <c r="AB234" i="28"/>
  <c r="AB52" i="28"/>
  <c r="AB169" i="28"/>
  <c r="AB443" i="28"/>
  <c r="AB296" i="28"/>
  <c r="AB233" i="28"/>
  <c r="AB198" i="28"/>
  <c r="AB456" i="28"/>
  <c r="AB423" i="28"/>
  <c r="AB469" i="28"/>
  <c r="AB371" i="28"/>
  <c r="AB336" i="28"/>
  <c r="AB322" i="28"/>
  <c r="AB126" i="28"/>
  <c r="AB276" i="28"/>
  <c r="AB484" i="28"/>
  <c r="AB341" i="28"/>
  <c r="AB243" i="28"/>
  <c r="AB159" i="28"/>
  <c r="AB145" i="28"/>
  <c r="AB82" i="28"/>
  <c r="AB486" i="28"/>
  <c r="AB316" i="28"/>
  <c r="AB470" i="28"/>
  <c r="AB95" i="28"/>
  <c r="AB60" i="28"/>
  <c r="AB239" i="28"/>
  <c r="AB412" i="28"/>
  <c r="AB377" i="28"/>
  <c r="AB363" i="28"/>
  <c r="AB118" i="28"/>
  <c r="AB466" i="28"/>
  <c r="AB368" i="28"/>
  <c r="AB270" i="28"/>
  <c r="AB172" i="28"/>
  <c r="AB106" i="28"/>
  <c r="AB114" i="28"/>
  <c r="AB238" i="28"/>
  <c r="AB502" i="28"/>
  <c r="AB439" i="28"/>
  <c r="AB404" i="28"/>
  <c r="AB306" i="28"/>
  <c r="AB109" i="28"/>
  <c r="AB195" i="28"/>
  <c r="AB181" i="28"/>
  <c r="AB88" i="28"/>
  <c r="AB73" i="28"/>
  <c r="AB457" i="28"/>
  <c r="AB255" i="28"/>
  <c r="AB110" i="28"/>
  <c r="AB440" i="28"/>
  <c r="AB328" i="28"/>
  <c r="AB48" i="28"/>
  <c r="AB207" i="28"/>
  <c r="AB58" i="28"/>
  <c r="AB128" i="28"/>
  <c r="AB360" i="28"/>
  <c r="AB217" i="28"/>
  <c r="AB154" i="28"/>
  <c r="AB206" i="28"/>
  <c r="AB323" i="28"/>
  <c r="AB127" i="28"/>
  <c r="AB170" i="28"/>
  <c r="AB93" i="28"/>
  <c r="AB92" i="28"/>
  <c r="AB441" i="28"/>
  <c r="AB294" i="28"/>
  <c r="AB231" i="28"/>
  <c r="AB196" i="28"/>
  <c r="AB168" i="28"/>
  <c r="AB199" i="28"/>
  <c r="AB444" i="28"/>
  <c r="AB313" i="28"/>
  <c r="AB299" i="28"/>
  <c r="AB236" i="28"/>
  <c r="AB187" i="28"/>
  <c r="AB138" i="28"/>
  <c r="AB103" i="28"/>
  <c r="AB507" i="28"/>
  <c r="AB74" i="28"/>
  <c r="AB321" i="28"/>
  <c r="AB90" i="28"/>
  <c r="AB81" i="28"/>
  <c r="AB120" i="28"/>
  <c r="AB267" i="28"/>
  <c r="AB268" i="28"/>
  <c r="AB465" i="28"/>
  <c r="AB476" i="28"/>
  <c r="AB213" i="28"/>
  <c r="AB446" i="28"/>
  <c r="AB348" i="28"/>
  <c r="AB85" i="28"/>
  <c r="AB102" i="28"/>
  <c r="AB286" i="28"/>
  <c r="AB223" i="28"/>
  <c r="AB459" i="28"/>
  <c r="AB389" i="28"/>
  <c r="AB493" i="28"/>
  <c r="AB59" i="28"/>
  <c r="AB211" i="28"/>
  <c r="AB317" i="28"/>
  <c r="AB282" i="28"/>
  <c r="AB184" i="28"/>
  <c r="AB107" i="28"/>
  <c r="AB86" i="28"/>
  <c r="AB51" i="28"/>
  <c r="AB416" i="28"/>
  <c r="AB80" i="28"/>
  <c r="AB492" i="28"/>
  <c r="AB394" i="28"/>
  <c r="AB380" i="28"/>
  <c r="AB331" i="28"/>
  <c r="AB393" i="28"/>
  <c r="AB490" i="28"/>
  <c r="AB406" i="28"/>
  <c r="AB259" i="28"/>
  <c r="AB224" i="28"/>
  <c r="AB147" i="28"/>
  <c r="AB129" i="28"/>
  <c r="AB327" i="28"/>
  <c r="AB166" i="28"/>
  <c r="AB47" i="28"/>
  <c r="AB437" i="28"/>
  <c r="AB381" i="28"/>
  <c r="AB150" i="28"/>
  <c r="AB151" i="28"/>
  <c r="AB260" i="28"/>
  <c r="AB225" i="28"/>
  <c r="AB398" i="28"/>
  <c r="AB349" i="28"/>
  <c r="AB314" i="28"/>
  <c r="AB251" i="28"/>
  <c r="AB216" i="28"/>
  <c r="AB69" i="28"/>
  <c r="AB417" i="28"/>
  <c r="AB347" i="28"/>
  <c r="AB438" i="28"/>
  <c r="AB242" i="28"/>
  <c r="AB53" i="28"/>
  <c r="AB192" i="28"/>
  <c r="AB442" i="28"/>
  <c r="AB365" i="28"/>
  <c r="AB478" i="28"/>
  <c r="AB219" i="28"/>
  <c r="AB135" i="28"/>
  <c r="AB121" i="28"/>
  <c r="AB100" i="28"/>
  <c r="AB44" i="28"/>
  <c r="AB472" i="28"/>
  <c r="AB402" i="28"/>
  <c r="AB339" i="28"/>
  <c r="AB345" i="28"/>
  <c r="AB310" i="28"/>
  <c r="AB212" i="28"/>
  <c r="AB483" i="28"/>
  <c r="AB434" i="28"/>
  <c r="AB175" i="28"/>
  <c r="AB488" i="28"/>
  <c r="AB390" i="28"/>
  <c r="AB292" i="28"/>
  <c r="AB257" i="28"/>
  <c r="AB194" i="28"/>
  <c r="AB61" i="28"/>
  <c r="AB430" i="28"/>
  <c r="AB220" i="28"/>
  <c r="AB143" i="28"/>
  <c r="AB330" i="28"/>
  <c r="AB269" i="28"/>
  <c r="AB253" i="28"/>
  <c r="AB461" i="28"/>
  <c r="AB279" i="28"/>
  <c r="AB230" i="28"/>
  <c r="AB277" i="28"/>
  <c r="AB190" i="28"/>
  <c r="AV40" i="28"/>
  <c r="AU40" i="28"/>
  <c r="AU39" i="28"/>
  <c r="AR39" i="28"/>
  <c r="BH31" i="28"/>
  <c r="BL31" i="28" s="1"/>
  <c r="BG31" i="28"/>
  <c r="BK31" i="28" s="1"/>
  <c r="BH17" i="28"/>
  <c r="BL17" i="28" s="1"/>
  <c r="BG17" i="28"/>
  <c r="BK17" i="28" s="1"/>
  <c r="BG18" i="28"/>
  <c r="BK18" i="28" s="1"/>
  <c r="BH18" i="28"/>
  <c r="BL18" i="28" s="1"/>
  <c r="BG16" i="28"/>
  <c r="BK16" i="28" s="1"/>
  <c r="BH16" i="28"/>
  <c r="BL16" i="28" s="1"/>
  <c r="BG19" i="28"/>
  <c r="BK19" i="28" s="1"/>
  <c r="BH19" i="28"/>
  <c r="BL19" i="28" s="1"/>
  <c r="BG20" i="28"/>
  <c r="BK20" i="28" s="1"/>
  <c r="BH20" i="28"/>
  <c r="BL20" i="28" s="1"/>
  <c r="BH30" i="28"/>
  <c r="BL30" i="28" s="1"/>
  <c r="BG30" i="28"/>
  <c r="BK30" i="28" s="1"/>
  <c r="BG21" i="28"/>
  <c r="BK21" i="28" s="1"/>
  <c r="BH21" i="28"/>
  <c r="BL21" i="28" s="1"/>
  <c r="BG22" i="28"/>
  <c r="BK22" i="28" s="1"/>
  <c r="BH22" i="28"/>
  <c r="BL22" i="28" s="1"/>
  <c r="BG9" i="28"/>
  <c r="BK9" i="28" s="1"/>
  <c r="BH9" i="28"/>
  <c r="BL9" i="28" s="1"/>
  <c r="BG24" i="28"/>
  <c r="BK24" i="28" s="1"/>
  <c r="BH24" i="28"/>
  <c r="BL24" i="28" s="1"/>
  <c r="BG8" i="28"/>
  <c r="BK8" i="28" s="1"/>
  <c r="BH8" i="28"/>
  <c r="BL8" i="28" s="1"/>
  <c r="BG23" i="28"/>
  <c r="BK23" i="28" s="1"/>
  <c r="BH23" i="28"/>
  <c r="BL23" i="28" s="1"/>
  <c r="BH10" i="28"/>
  <c r="BL10" i="28" s="1"/>
  <c r="BG10" i="28"/>
  <c r="BK10" i="28" s="1"/>
  <c r="BH11" i="28"/>
  <c r="BL11" i="28" s="1"/>
  <c r="BG11" i="28"/>
  <c r="BK11" i="28" s="1"/>
  <c r="BG25" i="28"/>
  <c r="BK25" i="28" s="1"/>
  <c r="BH25" i="28"/>
  <c r="BL25" i="28" s="1"/>
  <c r="BH26" i="28"/>
  <c r="BL26" i="28" s="1"/>
  <c r="BG26" i="28"/>
  <c r="BK26" i="28" s="1"/>
  <c r="BH27" i="28"/>
  <c r="BL27" i="28" s="1"/>
  <c r="BG27" i="28"/>
  <c r="BK27" i="28" s="1"/>
  <c r="BG13" i="28"/>
  <c r="BK13" i="28" s="1"/>
  <c r="BH13" i="28"/>
  <c r="BL13" i="28" s="1"/>
  <c r="BG28" i="28"/>
  <c r="BK28" i="28" s="1"/>
  <c r="BH28" i="28"/>
  <c r="BL28" i="28" s="1"/>
  <c r="BH12" i="28"/>
  <c r="BL12" i="28" s="1"/>
  <c r="BG12" i="28"/>
  <c r="BK12" i="28" s="1"/>
  <c r="BG14" i="28"/>
  <c r="BK14" i="28" s="1"/>
  <c r="BH14" i="28"/>
  <c r="BL14" i="28" s="1"/>
  <c r="BG15" i="28"/>
  <c r="BK15" i="28" s="1"/>
  <c r="BH15" i="28"/>
  <c r="BL15" i="28" s="1"/>
  <c r="BG29" i="28"/>
  <c r="BK29" i="28" s="1"/>
  <c r="BH29" i="28"/>
  <c r="BL29" i="28" s="1"/>
  <c r="L18" i="58"/>
  <c r="BF18" i="28"/>
  <c r="BJ18" i="28" s="1"/>
  <c r="L21" i="58"/>
  <c r="BF21" i="28"/>
  <c r="BJ21" i="28" s="1"/>
  <c r="L31" i="58"/>
  <c r="BF31" i="28"/>
  <c r="BJ31" i="28" s="1"/>
  <c r="L19" i="58"/>
  <c r="BF19" i="28"/>
  <c r="BJ19" i="28" s="1"/>
  <c r="L11" i="58"/>
  <c r="BF11" i="28"/>
  <c r="BJ11" i="28" s="1"/>
  <c r="L25" i="58"/>
  <c r="BF25" i="28"/>
  <c r="BJ25" i="28" s="1"/>
  <c r="L12" i="58"/>
  <c r="BF12" i="28"/>
  <c r="BJ12" i="28" s="1"/>
  <c r="L20" i="58"/>
  <c r="BF20" i="28"/>
  <c r="BJ20" i="28" s="1"/>
  <c r="L24" i="58"/>
  <c r="BF24" i="28"/>
  <c r="BJ24" i="28" s="1"/>
  <c r="L30" i="58"/>
  <c r="BF30" i="28"/>
  <c r="BJ30" i="28" s="1"/>
  <c r="L8" i="58"/>
  <c r="BF8" i="28"/>
  <c r="BJ8" i="28" s="1"/>
  <c r="L22" i="58"/>
  <c r="BF22" i="28"/>
  <c r="BJ22" i="28" s="1"/>
  <c r="L9" i="58"/>
  <c r="BF9" i="28"/>
  <c r="BJ9" i="28" s="1"/>
  <c r="L10" i="58"/>
  <c r="BF10" i="28"/>
  <c r="BJ10" i="28" s="1"/>
  <c r="L27" i="58"/>
  <c r="BF27" i="28"/>
  <c r="BJ27" i="28" s="1"/>
  <c r="L16" i="58"/>
  <c r="BF16" i="28"/>
  <c r="BJ16" i="28" s="1"/>
  <c r="L17" i="58"/>
  <c r="BF17" i="28"/>
  <c r="BJ17" i="28" s="1"/>
  <c r="L23" i="58"/>
  <c r="BF23" i="28"/>
  <c r="BJ23" i="28" s="1"/>
  <c r="L26" i="58"/>
  <c r="BF26" i="28"/>
  <c r="BJ26" i="28" s="1"/>
  <c r="L13" i="58"/>
  <c r="BF13" i="28"/>
  <c r="BJ13" i="28" s="1"/>
  <c r="L14" i="58"/>
  <c r="BF14" i="28"/>
  <c r="BJ14" i="28" s="1"/>
  <c r="L28" i="58"/>
  <c r="BF28" i="28"/>
  <c r="BJ28" i="28" s="1"/>
  <c r="L15" i="58"/>
  <c r="BF15" i="28"/>
  <c r="BJ15" i="28" s="1"/>
  <c r="L29" i="58"/>
  <c r="BF29" i="28"/>
  <c r="BJ29" i="28" s="1"/>
  <c r="AC28" i="28"/>
  <c r="BA28" i="28"/>
  <c r="AD28" i="28"/>
  <c r="AC29" i="28"/>
  <c r="BA29" i="28"/>
  <c r="AD29" i="28"/>
  <c r="AY38" i="28"/>
  <c r="AY37" i="28"/>
  <c r="AS8" i="28"/>
  <c r="K8" i="58" s="1"/>
  <c r="AS22" i="28"/>
  <c r="K22" i="58" s="1"/>
  <c r="AS9" i="28"/>
  <c r="K9" i="58" s="1"/>
  <c r="AS23" i="28"/>
  <c r="K23" i="58" s="1"/>
  <c r="AS13" i="28"/>
  <c r="K13" i="58" s="1"/>
  <c r="AS27" i="28"/>
  <c r="K27" i="58" s="1"/>
  <c r="AS24" i="28"/>
  <c r="K24" i="58" s="1"/>
  <c r="AS14" i="28"/>
  <c r="K14" i="58" s="1"/>
  <c r="AS28" i="28"/>
  <c r="K28" i="58" s="1"/>
  <c r="AS15" i="28"/>
  <c r="K15" i="58" s="1"/>
  <c r="AS16" i="28"/>
  <c r="K16" i="58" s="1"/>
  <c r="AS11" i="28"/>
  <c r="K11" i="58" s="1"/>
  <c r="AS30" i="28"/>
  <c r="K30" i="58" s="1"/>
  <c r="AS17" i="28"/>
  <c r="K17" i="58" s="1"/>
  <c r="AS31" i="28"/>
  <c r="K31" i="58" s="1"/>
  <c r="AS10" i="28"/>
  <c r="K10" i="58" s="1"/>
  <c r="AS25" i="28"/>
  <c r="K25" i="58" s="1"/>
  <c r="AS18" i="28"/>
  <c r="K18" i="58" s="1"/>
  <c r="AS12" i="28"/>
  <c r="K12" i="58" s="1"/>
  <c r="AS19" i="28"/>
  <c r="K19" i="58" s="1"/>
  <c r="AS20" i="28"/>
  <c r="K20" i="58" s="1"/>
  <c r="AS26" i="28"/>
  <c r="K26" i="58" s="1"/>
  <c r="AS29" i="28"/>
  <c r="K29" i="58" s="1"/>
  <c r="AS21" i="28"/>
  <c r="K21" i="58" s="1"/>
  <c r="E24" i="58"/>
  <c r="J24" i="58"/>
  <c r="D24" i="58"/>
  <c r="I24" i="58"/>
  <c r="O24" i="58"/>
  <c r="M24" i="58"/>
  <c r="G24" i="58"/>
  <c r="F24" i="58"/>
  <c r="C24" i="58"/>
  <c r="P24" i="58"/>
  <c r="H24" i="58"/>
  <c r="O29" i="58"/>
  <c r="M29" i="58"/>
  <c r="G29" i="58"/>
  <c r="I29" i="58"/>
  <c r="E29" i="58"/>
  <c r="C29" i="58"/>
  <c r="H29" i="58"/>
  <c r="D29" i="58"/>
  <c r="P29" i="58"/>
  <c r="J29" i="58"/>
  <c r="F29" i="58"/>
  <c r="G16" i="58"/>
  <c r="O16" i="58"/>
  <c r="H16" i="58"/>
  <c r="I16" i="58"/>
  <c r="P16" i="58"/>
  <c r="M16" i="58"/>
  <c r="J16" i="58"/>
  <c r="F16" i="58"/>
  <c r="E16" i="58"/>
  <c r="D16" i="58"/>
  <c r="C16" i="58"/>
  <c r="O30" i="58"/>
  <c r="G30" i="58"/>
  <c r="M30" i="58"/>
  <c r="P30" i="58"/>
  <c r="H30" i="58"/>
  <c r="C30" i="58"/>
  <c r="D30" i="58"/>
  <c r="J30" i="58"/>
  <c r="I30" i="58"/>
  <c r="F30" i="58"/>
  <c r="E30" i="58"/>
  <c r="O11" i="58"/>
  <c r="I11" i="58"/>
  <c r="J11" i="58"/>
  <c r="H11" i="58"/>
  <c r="G11" i="58"/>
  <c r="C11" i="58"/>
  <c r="P11" i="58"/>
  <c r="D11" i="58"/>
  <c r="F11" i="58"/>
  <c r="M11" i="58"/>
  <c r="E11" i="58"/>
  <c r="O15" i="58"/>
  <c r="G15" i="58"/>
  <c r="M15" i="58"/>
  <c r="J15" i="58"/>
  <c r="P15" i="58"/>
  <c r="I15" i="58"/>
  <c r="F15" i="58"/>
  <c r="E15" i="58"/>
  <c r="D15" i="58"/>
  <c r="H15" i="58"/>
  <c r="C15" i="58"/>
  <c r="O17" i="58"/>
  <c r="M17" i="58"/>
  <c r="G17" i="58"/>
  <c r="H17" i="58"/>
  <c r="C17" i="58"/>
  <c r="P17" i="58"/>
  <c r="J17" i="58"/>
  <c r="I17" i="58"/>
  <c r="F17" i="58"/>
  <c r="E17" i="58"/>
  <c r="D17" i="58"/>
  <c r="O31" i="58"/>
  <c r="G31" i="58"/>
  <c r="M31" i="58"/>
  <c r="H31" i="58"/>
  <c r="P31" i="58"/>
  <c r="J31" i="58"/>
  <c r="C31" i="58"/>
  <c r="I31" i="58"/>
  <c r="F31" i="58"/>
  <c r="E31" i="58"/>
  <c r="D31" i="58"/>
  <c r="O8" i="58"/>
  <c r="M8" i="58"/>
  <c r="G8" i="58"/>
  <c r="J8" i="58"/>
  <c r="I8" i="58"/>
  <c r="F8" i="58"/>
  <c r="E8" i="58"/>
  <c r="H8" i="58"/>
  <c r="D8" i="58"/>
  <c r="C8" i="58"/>
  <c r="P8" i="58"/>
  <c r="O18" i="58"/>
  <c r="I18" i="58"/>
  <c r="F18" i="58"/>
  <c r="E18" i="58"/>
  <c r="H18" i="58"/>
  <c r="P18" i="58"/>
  <c r="J18" i="58"/>
  <c r="G18" i="58"/>
  <c r="C18" i="58"/>
  <c r="M18" i="58"/>
  <c r="D18" i="58"/>
  <c r="O22" i="58"/>
  <c r="G22" i="58"/>
  <c r="M22" i="58"/>
  <c r="J22" i="58"/>
  <c r="F22" i="58"/>
  <c r="I22" i="58"/>
  <c r="C22" i="58"/>
  <c r="H22" i="58"/>
  <c r="E22" i="58"/>
  <c r="D22" i="58"/>
  <c r="P22" i="58"/>
  <c r="O19" i="58"/>
  <c r="M19" i="58"/>
  <c r="G19" i="58"/>
  <c r="D19" i="58"/>
  <c r="P19" i="58"/>
  <c r="J19" i="58"/>
  <c r="E19" i="58"/>
  <c r="I19" i="58"/>
  <c r="C19" i="58"/>
  <c r="H19" i="58"/>
  <c r="F19" i="58"/>
  <c r="M20" i="58"/>
  <c r="O20" i="58"/>
  <c r="J20" i="58"/>
  <c r="H20" i="58"/>
  <c r="I20" i="58"/>
  <c r="G20" i="58"/>
  <c r="F20" i="58"/>
  <c r="P20" i="58"/>
  <c r="C20" i="58"/>
  <c r="E20" i="58"/>
  <c r="D20" i="58"/>
  <c r="M21" i="58"/>
  <c r="I21" i="58"/>
  <c r="J21" i="58"/>
  <c r="F21" i="58"/>
  <c r="H21" i="58"/>
  <c r="E21" i="58"/>
  <c r="G21" i="58"/>
  <c r="D21" i="58"/>
  <c r="O21" i="58"/>
  <c r="C21" i="58"/>
  <c r="P21" i="58"/>
  <c r="O9" i="58"/>
  <c r="M9" i="58"/>
  <c r="I9" i="58"/>
  <c r="F9" i="58"/>
  <c r="C9" i="58"/>
  <c r="D9" i="58"/>
  <c r="J9" i="58"/>
  <c r="E9" i="58"/>
  <c r="P9" i="58"/>
  <c r="H9" i="58"/>
  <c r="G9" i="58"/>
  <c r="O23" i="58"/>
  <c r="I23" i="58"/>
  <c r="F23" i="58"/>
  <c r="C23" i="58"/>
  <c r="M23" i="58"/>
  <c r="J23" i="58"/>
  <c r="H23" i="58"/>
  <c r="E23" i="58"/>
  <c r="D23" i="58"/>
  <c r="P23" i="58"/>
  <c r="G23" i="58"/>
  <c r="O10" i="58"/>
  <c r="M10" i="58"/>
  <c r="G10" i="58"/>
  <c r="J10" i="58"/>
  <c r="C10" i="58"/>
  <c r="P10" i="58"/>
  <c r="F10" i="58"/>
  <c r="E10" i="58"/>
  <c r="D10" i="58"/>
  <c r="I10" i="58"/>
  <c r="H10" i="58"/>
  <c r="O25" i="58"/>
  <c r="G25" i="58"/>
  <c r="M25" i="58"/>
  <c r="I25" i="58"/>
  <c r="F25" i="58"/>
  <c r="E25" i="58"/>
  <c r="D25" i="58"/>
  <c r="C25" i="58"/>
  <c r="P25" i="58"/>
  <c r="H25" i="58"/>
  <c r="J25" i="58"/>
  <c r="O12" i="58"/>
  <c r="M12" i="58"/>
  <c r="H12" i="58"/>
  <c r="I12" i="58"/>
  <c r="G12" i="58"/>
  <c r="C12" i="58"/>
  <c r="P12" i="58"/>
  <c r="J12" i="58"/>
  <c r="F12" i="58"/>
  <c r="E12" i="58"/>
  <c r="D12" i="58"/>
  <c r="O13" i="58"/>
  <c r="G13" i="58"/>
  <c r="M13" i="58"/>
  <c r="F13" i="58"/>
  <c r="C13" i="58"/>
  <c r="E13" i="58"/>
  <c r="J13" i="58"/>
  <c r="I13" i="58"/>
  <c r="D13" i="58"/>
  <c r="H13" i="58"/>
  <c r="P13" i="58"/>
  <c r="O27" i="58"/>
  <c r="M27" i="58"/>
  <c r="I27" i="58"/>
  <c r="H27" i="58"/>
  <c r="C27" i="58"/>
  <c r="G27" i="58"/>
  <c r="F27" i="58"/>
  <c r="P27" i="58"/>
  <c r="E27" i="58"/>
  <c r="J27" i="58"/>
  <c r="D27" i="58"/>
  <c r="O26" i="58"/>
  <c r="H26" i="58"/>
  <c r="J26" i="58"/>
  <c r="F26" i="58"/>
  <c r="C26" i="58"/>
  <c r="P26" i="58"/>
  <c r="D26" i="58"/>
  <c r="M26" i="58"/>
  <c r="E26" i="58"/>
  <c r="I26" i="58"/>
  <c r="G26" i="58"/>
  <c r="O14" i="58"/>
  <c r="M14" i="58"/>
  <c r="E14" i="58"/>
  <c r="D14" i="58"/>
  <c r="C14" i="58"/>
  <c r="G14" i="58"/>
  <c r="I14" i="58"/>
  <c r="H14" i="58"/>
  <c r="F14" i="58"/>
  <c r="J14" i="58"/>
  <c r="O28" i="58"/>
  <c r="M28" i="58"/>
  <c r="G28" i="58"/>
  <c r="E28" i="58"/>
  <c r="C28" i="58"/>
  <c r="J28" i="58"/>
  <c r="F28" i="58"/>
  <c r="H28" i="58"/>
  <c r="P28" i="58"/>
  <c r="D28" i="58"/>
  <c r="I28" i="58"/>
  <c r="AU507" i="28"/>
  <c r="AY507" i="28"/>
  <c r="AR507" i="28"/>
  <c r="AY36" i="28"/>
  <c r="AR38" i="28"/>
  <c r="AU38" i="28"/>
  <c r="AU37" i="28"/>
  <c r="AZ35" i="28"/>
  <c r="AV37" i="28"/>
  <c r="AU36" i="28"/>
  <c r="AV36" i="28"/>
  <c r="AF9" i="28"/>
  <c r="N9" i="58" s="1"/>
  <c r="AK9" i="28"/>
  <c r="AF24" i="28"/>
  <c r="N24" i="58" s="1"/>
  <c r="AK24" i="28"/>
  <c r="AF17" i="28"/>
  <c r="N17" i="58" s="1"/>
  <c r="AK17" i="28"/>
  <c r="AF18" i="28"/>
  <c r="N18" i="58" s="1"/>
  <c r="AK18" i="28"/>
  <c r="AF31" i="28"/>
  <c r="N31" i="58" s="1"/>
  <c r="AK31" i="28"/>
  <c r="AF19" i="28"/>
  <c r="N19" i="58" s="1"/>
  <c r="AK19" i="28"/>
  <c r="AK20" i="28"/>
  <c r="AF20" i="28"/>
  <c r="N20" i="58" s="1"/>
  <c r="AK21" i="28"/>
  <c r="AF21" i="28"/>
  <c r="N21" i="58" s="1"/>
  <c r="AF12" i="28"/>
  <c r="N12" i="58" s="1"/>
  <c r="AK12" i="28"/>
  <c r="AK22" i="28"/>
  <c r="AF22" i="28"/>
  <c r="N22" i="58" s="1"/>
  <c r="AF23" i="28"/>
  <c r="N23" i="58" s="1"/>
  <c r="AK23" i="28"/>
  <c r="AF10" i="28"/>
  <c r="N10" i="58" s="1"/>
  <c r="AK10" i="28"/>
  <c r="AF25" i="28"/>
  <c r="N25" i="58" s="1"/>
  <c r="AK25" i="28"/>
  <c r="AF11" i="28"/>
  <c r="N11" i="58" s="1"/>
  <c r="AK11" i="28"/>
  <c r="AK13" i="28"/>
  <c r="AF13" i="28"/>
  <c r="N13" i="58" s="1"/>
  <c r="AF14" i="28"/>
  <c r="N14" i="58" s="1"/>
  <c r="AK14" i="28"/>
  <c r="AF28" i="28"/>
  <c r="N28" i="58" s="1"/>
  <c r="AK28" i="28"/>
  <c r="AF26" i="28"/>
  <c r="N26" i="58" s="1"/>
  <c r="AK26" i="28"/>
  <c r="AK27" i="28"/>
  <c r="AF27" i="28"/>
  <c r="N27" i="58" s="1"/>
  <c r="AF15" i="28"/>
  <c r="N15" i="58" s="1"/>
  <c r="AK15" i="28"/>
  <c r="AF29" i="28"/>
  <c r="N29" i="58" s="1"/>
  <c r="AK29" i="28"/>
  <c r="AF8" i="28"/>
  <c r="N8" i="58" s="1"/>
  <c r="AF16" i="28"/>
  <c r="N16" i="58" s="1"/>
  <c r="AK16" i="28"/>
  <c r="AF30" i="28"/>
  <c r="N30" i="58" s="1"/>
  <c r="AK30" i="28"/>
  <c r="AK8" i="28"/>
  <c r="AV35" i="28"/>
  <c r="AU35" i="28"/>
  <c r="AY34" i="28"/>
  <c r="AU34" i="28"/>
  <c r="AV34" i="28"/>
  <c r="AR33" i="28"/>
  <c r="AR32" i="28"/>
  <c r="AV32" i="28"/>
  <c r="AX23" i="28"/>
  <c r="AZ23" i="28" s="1"/>
  <c r="AT23" i="28"/>
  <c r="AU23" i="28" s="1"/>
  <c r="AX9" i="28"/>
  <c r="AZ9" i="28" s="1"/>
  <c r="AT9" i="28"/>
  <c r="AV9" i="28" s="1"/>
  <c r="AX10" i="28"/>
  <c r="AZ10" i="28" s="1"/>
  <c r="AT10" i="28"/>
  <c r="AV10" i="28" s="1"/>
  <c r="AX24" i="28"/>
  <c r="AY24" i="28" s="1"/>
  <c r="AT24" i="28"/>
  <c r="AU24" i="28" s="1"/>
  <c r="AX11" i="28"/>
  <c r="AY11" i="28" s="1"/>
  <c r="AT11" i="28"/>
  <c r="AU11" i="28" s="1"/>
  <c r="AT25" i="28"/>
  <c r="AV25" i="28" s="1"/>
  <c r="AX25" i="28"/>
  <c r="AZ25" i="28" s="1"/>
  <c r="AY32" i="28"/>
  <c r="AX14" i="28"/>
  <c r="AZ14" i="28" s="1"/>
  <c r="AT14" i="28"/>
  <c r="AU14" i="28" s="1"/>
  <c r="AX28" i="28"/>
  <c r="AY28" i="28" s="1"/>
  <c r="AT28" i="28"/>
  <c r="AV28" i="28" s="1"/>
  <c r="AX13" i="28"/>
  <c r="AY13" i="28" s="1"/>
  <c r="AT13" i="28"/>
  <c r="AV13" i="28" s="1"/>
  <c r="AX15" i="28"/>
  <c r="AZ15" i="28" s="1"/>
  <c r="AT15" i="28"/>
  <c r="AV15" i="28" s="1"/>
  <c r="AX29" i="28"/>
  <c r="AY29" i="28" s="1"/>
  <c r="AT29" i="28"/>
  <c r="AV29" i="28" s="1"/>
  <c r="AX16" i="28"/>
  <c r="AY16" i="28" s="1"/>
  <c r="AT16" i="28"/>
  <c r="AU16" i="28" s="1"/>
  <c r="AX17" i="28"/>
  <c r="AY17" i="28" s="1"/>
  <c r="AT17" i="28"/>
  <c r="AV17" i="28" s="1"/>
  <c r="AX31" i="28"/>
  <c r="AY31" i="28" s="1"/>
  <c r="AT31" i="28"/>
  <c r="AR31" i="28" s="1"/>
  <c r="AT27" i="28"/>
  <c r="AV27" i="28" s="1"/>
  <c r="AX27" i="28"/>
  <c r="AZ27" i="28" s="1"/>
  <c r="AX18" i="28"/>
  <c r="AY18" i="28" s="1"/>
  <c r="AT18" i="28"/>
  <c r="AU18" i="28" s="1"/>
  <c r="AT19" i="28"/>
  <c r="AV19" i="28" s="1"/>
  <c r="AX19" i="28"/>
  <c r="AY19" i="28" s="1"/>
  <c r="AX30" i="28"/>
  <c r="AY30" i="28" s="1"/>
  <c r="AT30" i="28"/>
  <c r="AU30" i="28" s="1"/>
  <c r="AZ30" i="28"/>
  <c r="AV33" i="28"/>
  <c r="AX12" i="28"/>
  <c r="AY12" i="28" s="1"/>
  <c r="AT12" i="28"/>
  <c r="AU12" i="28" s="1"/>
  <c r="AX26" i="28"/>
  <c r="AY26" i="28" s="1"/>
  <c r="AT26" i="28"/>
  <c r="AU26" i="28" s="1"/>
  <c r="AX20" i="28"/>
  <c r="AY20" i="28" s="1"/>
  <c r="AT20" i="28"/>
  <c r="AU20" i="28" s="1"/>
  <c r="AX21" i="28"/>
  <c r="AZ21" i="28" s="1"/>
  <c r="AT21" i="28"/>
  <c r="AV21" i="28" s="1"/>
  <c r="AX8" i="28"/>
  <c r="AY8" i="28" s="1"/>
  <c r="AT8" i="28"/>
  <c r="AV8" i="28" s="1"/>
  <c r="AX22" i="28"/>
  <c r="AZ22" i="28" s="1"/>
  <c r="AT22" i="28"/>
  <c r="AU22" i="28" s="1"/>
  <c r="AJ507" i="28"/>
  <c r="BE16" i="28"/>
  <c r="BE31" i="28"/>
  <c r="BE18" i="28"/>
  <c r="BE22" i="28"/>
  <c r="BE30" i="28"/>
  <c r="BE10" i="28"/>
  <c r="BE11" i="28"/>
  <c r="BE25" i="28"/>
  <c r="BE19" i="28"/>
  <c r="BE17" i="28"/>
  <c r="BE21" i="28"/>
  <c r="BE24" i="28"/>
  <c r="BE12" i="28"/>
  <c r="BE26" i="28"/>
  <c r="BE13" i="28"/>
  <c r="BE27" i="28"/>
  <c r="BE14" i="28"/>
  <c r="BE28" i="28"/>
  <c r="BE20" i="28"/>
  <c r="BE23" i="28"/>
  <c r="BE15" i="28"/>
  <c r="BE29" i="28"/>
  <c r="BE9" i="28"/>
  <c r="BE8" i="28"/>
  <c r="AH488" i="28"/>
  <c r="Z488" i="28" s="1"/>
  <c r="AH340" i="28"/>
  <c r="Z340" i="28" s="1"/>
  <c r="AH486" i="28"/>
  <c r="AH503" i="28"/>
  <c r="AH506" i="28"/>
  <c r="AH505" i="28"/>
  <c r="AH330" i="28"/>
  <c r="AH339" i="28"/>
  <c r="AH345" i="28"/>
  <c r="AH346" i="28"/>
  <c r="AH497" i="28"/>
  <c r="Z497" i="28" s="1"/>
  <c r="AH333" i="28"/>
  <c r="AH334" i="28"/>
  <c r="AH496" i="28"/>
  <c r="AH332" i="28"/>
  <c r="AH507" i="28"/>
  <c r="AH490" i="28"/>
  <c r="AH494" i="28"/>
  <c r="AH498" i="28"/>
  <c r="AH504" i="28"/>
  <c r="AH501" i="28"/>
  <c r="AH336" i="28"/>
  <c r="AH489" i="28"/>
  <c r="AH487" i="28"/>
  <c r="AH344" i="28"/>
  <c r="AH341" i="28"/>
  <c r="AH328" i="28"/>
  <c r="AH342" i="28"/>
  <c r="Z339" i="28"/>
  <c r="Z328" i="28"/>
  <c r="AJ331" i="28"/>
  <c r="W329" i="28"/>
  <c r="Z334" i="28"/>
  <c r="AH335" i="28"/>
  <c r="AH338" i="28"/>
  <c r="Z341" i="28"/>
  <c r="Z327" i="28"/>
  <c r="W340" i="28"/>
  <c r="Z342" i="28"/>
  <c r="Z330" i="28"/>
  <c r="AH331" i="28"/>
  <c r="Z343" i="28"/>
  <c r="Z347" i="28"/>
  <c r="AJ338" i="28"/>
  <c r="Z332" i="28"/>
  <c r="Z333" i="28"/>
  <c r="AH337" i="28"/>
  <c r="Z345" i="28"/>
  <c r="AJ336" i="28"/>
  <c r="Z336" i="28" s="1"/>
  <c r="Z348" i="28"/>
  <c r="AJ330" i="28"/>
  <c r="AJ342" i="28"/>
  <c r="AH495" i="28"/>
  <c r="AJ495" i="28"/>
  <c r="AH493" i="28"/>
  <c r="Z496" i="28"/>
  <c r="Z505" i="28"/>
  <c r="Z490" i="28"/>
  <c r="Z503" i="28"/>
  <c r="Z487" i="28"/>
  <c r="W488" i="28"/>
  <c r="Z489" i="28"/>
  <c r="AH502" i="28"/>
  <c r="Z504" i="28"/>
  <c r="Z506" i="28"/>
  <c r="AH492" i="28"/>
  <c r="Z494" i="28"/>
  <c r="Z493" i="28"/>
  <c r="Z499" i="28"/>
  <c r="Z498" i="28"/>
  <c r="AH500" i="28"/>
  <c r="W497" i="28"/>
  <c r="Z491" i="28"/>
  <c r="Z495" i="28"/>
  <c r="Z501" i="28"/>
  <c r="AI17" i="28"/>
  <c r="AI25" i="28"/>
  <c r="AI26" i="28"/>
  <c r="AI27" i="28"/>
  <c r="AI12" i="28"/>
  <c r="AI18" i="28"/>
  <c r="AI19" i="28"/>
  <c r="AI11" i="28"/>
  <c r="AI13" i="28"/>
  <c r="AI8" i="28"/>
  <c r="AI22" i="28"/>
  <c r="AI9" i="28"/>
  <c r="AI23" i="28"/>
  <c r="AI10" i="28"/>
  <c r="AI24" i="28"/>
  <c r="AI28" i="28"/>
  <c r="AI31" i="28"/>
  <c r="AI14" i="28"/>
  <c r="AI29" i="28"/>
  <c r="AI30" i="28"/>
  <c r="AI15" i="28"/>
  <c r="AI16" i="28"/>
  <c r="AI20" i="28"/>
  <c r="AI21" i="28"/>
  <c r="AQ27" i="28"/>
  <c r="AQ21" i="28"/>
  <c r="AQ24" i="28"/>
  <c r="AQ18" i="28"/>
  <c r="AQ14" i="28"/>
  <c r="AQ17" i="28"/>
  <c r="AQ12" i="28"/>
  <c r="AQ29" i="28"/>
  <c r="AQ8" i="28"/>
  <c r="AQ25" i="28"/>
  <c r="AY23" i="28" l="1"/>
  <c r="AZ17" i="28"/>
  <c r="AU31" i="28"/>
  <c r="AV31" i="28"/>
  <c r="AY21" i="28"/>
  <c r="AQ9" i="28"/>
  <c r="AQ30" i="28"/>
  <c r="AQ26" i="28"/>
  <c r="AQ11" i="28"/>
  <c r="AQ10" i="28"/>
  <c r="AQ19" i="28"/>
  <c r="AQ20" i="28"/>
  <c r="AQ22" i="28"/>
  <c r="AQ28" i="28"/>
  <c r="AQ15" i="28"/>
  <c r="AQ13" i="28"/>
  <c r="AQ23" i="28"/>
  <c r="AQ16" i="28"/>
  <c r="AQ31" i="28"/>
  <c r="AZ13" i="28" l="1"/>
  <c r="AZ16" i="28"/>
  <c r="AZ18" i="28"/>
  <c r="AY15" i="28"/>
  <c r="AR30" i="28"/>
  <c r="AY22" i="28"/>
  <c r="AZ12" i="28"/>
  <c r="AZ19" i="28"/>
  <c r="AZ24" i="28"/>
  <c r="AZ11" i="28"/>
  <c r="AZ20" i="28"/>
  <c r="BL6" i="28"/>
  <c r="BJ6" i="28"/>
  <c r="BK6" i="28"/>
  <c r="A17" i="59" a="1"/>
  <c r="B63" i="57"/>
  <c r="AE507" i="28"/>
  <c r="Z507" i="28"/>
  <c r="AZ29" i="28"/>
  <c r="AZ28" i="28"/>
  <c r="AY9" i="28"/>
  <c r="AR20" i="28"/>
  <c r="AR19" i="28"/>
  <c r="AR13" i="28"/>
  <c r="AR17" i="28"/>
  <c r="AR28" i="28"/>
  <c r="AR11" i="28"/>
  <c r="AR15" i="28"/>
  <c r="AR27" i="28"/>
  <c r="AR25" i="28"/>
  <c r="AR29" i="28"/>
  <c r="AR26" i="28"/>
  <c r="AR18" i="28"/>
  <c r="AR21" i="28"/>
  <c r="AR24" i="28"/>
  <c r="AR14" i="28"/>
  <c r="AR10" i="28"/>
  <c r="AR9" i="28"/>
  <c r="AR12" i="28"/>
  <c r="AR22" i="28"/>
  <c r="AR23" i="28"/>
  <c r="AR16" i="28"/>
  <c r="AR8" i="28"/>
  <c r="AU9" i="28"/>
  <c r="AV22" i="28"/>
  <c r="AV24" i="28"/>
  <c r="AU10" i="28"/>
  <c r="AY25" i="28"/>
  <c r="AV11" i="28"/>
  <c r="AV14" i="28"/>
  <c r="AZ31" i="28"/>
  <c r="AV23" i="28"/>
  <c r="AU15" i="28"/>
  <c r="AU17" i="28"/>
  <c r="AU21" i="28"/>
  <c r="AV16" i="28"/>
  <c r="AU29" i="28"/>
  <c r="AU28" i="28"/>
  <c r="AV12" i="28"/>
  <c r="AZ8" i="28"/>
  <c r="AV18" i="28"/>
  <c r="AU27" i="28"/>
  <c r="AU25" i="28"/>
  <c r="AY10" i="28"/>
  <c r="AV20" i="28"/>
  <c r="AV30" i="28"/>
  <c r="AZ26" i="28"/>
  <c r="AY14" i="28"/>
  <c r="AU8" i="28"/>
  <c r="AY27" i="28"/>
  <c r="AU19" i="28"/>
  <c r="AV26" i="28"/>
  <c r="AU13" i="28"/>
  <c r="W336" i="28"/>
  <c r="W348" i="28"/>
  <c r="Z338" i="28"/>
  <c r="W347" i="28"/>
  <c r="W342" i="28"/>
  <c r="Z335" i="28"/>
  <c r="Z331" i="28"/>
  <c r="W330" i="28"/>
  <c r="W334" i="28"/>
  <c r="W333" i="28"/>
  <c r="W327" i="28"/>
  <c r="W339" i="28"/>
  <c r="W345" i="28"/>
  <c r="W343" i="28"/>
  <c r="W332" i="28"/>
  <c r="W341" i="28"/>
  <c r="Z337" i="28"/>
  <c r="W346" i="28"/>
  <c r="W328" i="28"/>
  <c r="W344" i="28"/>
  <c r="W499" i="28"/>
  <c r="W493" i="28"/>
  <c r="W503" i="28"/>
  <c r="Z492" i="28"/>
  <c r="W494" i="28"/>
  <c r="Z502" i="28"/>
  <c r="W501" i="28"/>
  <c r="W490" i="28"/>
  <c r="W489" i="28"/>
  <c r="W505" i="28"/>
  <c r="Z500" i="28"/>
  <c r="W495" i="28"/>
  <c r="W506" i="28"/>
  <c r="W486" i="28"/>
  <c r="W496" i="28"/>
  <c r="W491" i="28"/>
  <c r="W498" i="28"/>
  <c r="W504" i="28"/>
  <c r="W487" i="28"/>
  <c r="E18" i="45" l="1"/>
  <c r="C34" i="59"/>
  <c r="B34" i="59"/>
  <c r="B22" i="59"/>
  <c r="C32" i="59"/>
  <c r="C30" i="59"/>
  <c r="C18" i="59"/>
  <c r="B21" i="59"/>
  <c r="B23" i="59"/>
  <c r="A17" i="59"/>
  <c r="B72" i="57" s="1"/>
  <c r="B32" i="59"/>
  <c r="C25" i="59"/>
  <c r="B28" i="59"/>
  <c r="B18" i="59"/>
  <c r="C29" i="59"/>
  <c r="C33" i="59"/>
  <c r="C19" i="59"/>
  <c r="C26" i="59"/>
  <c r="B20" i="59"/>
  <c r="C21" i="59"/>
  <c r="B31" i="59"/>
  <c r="C28" i="59"/>
  <c r="C23" i="59"/>
  <c r="B26" i="59"/>
  <c r="B30" i="59"/>
  <c r="B33" i="59"/>
  <c r="B25" i="59"/>
  <c r="B29" i="59"/>
  <c r="C27" i="59"/>
  <c r="C20" i="59"/>
  <c r="C24" i="59"/>
  <c r="B19" i="59"/>
  <c r="B24" i="59"/>
  <c r="C22" i="59"/>
  <c r="C31" i="59"/>
  <c r="B27" i="59"/>
  <c r="B8" i="59"/>
  <c r="C8" i="59"/>
  <c r="W507" i="28"/>
  <c r="W337" i="28"/>
  <c r="W331" i="28"/>
  <c r="W338" i="28"/>
  <c r="W335" i="28"/>
  <c r="W500" i="28"/>
  <c r="W492" i="28"/>
  <c r="W502" i="28"/>
  <c r="H18" i="45"/>
  <c r="C19" i="45" a="1"/>
  <c r="C15" i="45" a="1"/>
  <c r="C6" i="45" a="1"/>
  <c r="E14" i="45" s="1"/>
  <c r="B17" i="59" l="1"/>
  <c r="B16" i="59" s="1"/>
  <c r="C17" i="59"/>
  <c r="C16" i="59" s="1"/>
  <c r="E22" i="45"/>
  <c r="E20" i="45"/>
  <c r="E21" i="45"/>
  <c r="E17" i="45"/>
  <c r="E16" i="45"/>
  <c r="E8" i="45"/>
  <c r="E12" i="45"/>
  <c r="E11" i="45"/>
  <c r="E9" i="45"/>
  <c r="E10" i="45"/>
  <c r="E13" i="45"/>
  <c r="E7" i="45"/>
  <c r="C19" i="45"/>
  <c r="E19" i="45" s="1"/>
  <c r="C6" i="45"/>
  <c r="E6" i="45" s="1"/>
  <c r="D12" i="45"/>
  <c r="C15" i="45"/>
  <c r="E15" i="45" s="1"/>
  <c r="D17" i="45"/>
  <c r="H22" i="45"/>
  <c r="H21" i="45"/>
  <c r="G21" i="45" s="1"/>
  <c r="H20" i="45"/>
  <c r="H14" i="45"/>
  <c r="H13" i="45"/>
  <c r="H12" i="45"/>
  <c r="G12" i="45" s="1"/>
  <c r="H8" i="45"/>
  <c r="H17" i="45"/>
  <c r="G17" i="45" s="1"/>
  <c r="H10" i="45"/>
  <c r="H9" i="45"/>
  <c r="H7" i="45"/>
  <c r="H16" i="45"/>
  <c r="G16" i="45" s="1"/>
  <c r="H11" i="45"/>
  <c r="G11" i="45" s="1"/>
  <c r="F12" i="45"/>
  <c r="F17" i="45"/>
  <c r="H19" i="45" l="1"/>
  <c r="G19" i="45" s="1"/>
  <c r="H6" i="45"/>
  <c r="F15" i="45"/>
  <c r="D15" i="45"/>
  <c r="H15" i="45"/>
  <c r="G15" i="45" s="1"/>
  <c r="A12" i="45"/>
  <c r="A17" i="45"/>
  <c r="A6" i="45" l="1"/>
  <c r="A15" i="45"/>
  <c r="E23" i="45"/>
  <c r="A7" i="45" l="1"/>
  <c r="A8" i="45" s="1"/>
  <c r="A9" i="45" l="1"/>
  <c r="A10" i="45" s="1"/>
  <c r="A11" i="45" s="1"/>
  <c r="A13" i="45" l="1"/>
  <c r="A14" i="45" s="1"/>
  <c r="A16" i="45" s="1"/>
  <c r="A18" i="45" s="1"/>
  <c r="A19" i="45" s="1"/>
  <c r="A20" i="45" l="1"/>
  <c r="A21" i="45" s="1"/>
  <c r="A22" i="45" l="1"/>
  <c r="A23" i="45" s="1"/>
  <c r="A7" i="31" a="1"/>
  <c r="A7" i="31" s="1"/>
  <c r="B7" i="31" a="1"/>
  <c r="B7" i="31" s="1"/>
  <c r="BC31" i="28" a="1"/>
  <c r="BC31" i="28" s="1"/>
  <c r="BB31" i="28" a="1"/>
  <c r="BB31" i="28" s="1"/>
  <c r="BC30" i="28" a="1"/>
  <c r="BC30" i="28" s="1"/>
  <c r="BB30" i="28" a="1"/>
  <c r="BB30" i="28" s="1"/>
  <c r="BC29" i="28" a="1"/>
  <c r="BC29" i="28" s="1"/>
  <c r="BB29" i="28" a="1"/>
  <c r="BB29" i="28" s="1"/>
  <c r="BC28" i="28" a="1"/>
  <c r="BC28" i="28" s="1"/>
  <c r="BB28" i="28" a="1"/>
  <c r="BB28" i="28" s="1"/>
  <c r="BC27" i="28" a="1"/>
  <c r="BC27" i="28" s="1"/>
  <c r="BB27" i="28" a="1"/>
  <c r="BB27" i="28" s="1"/>
  <c r="BC26" i="28" a="1"/>
  <c r="BC26" i="28" s="1"/>
  <c r="BD26" i="28" s="1"/>
  <c r="BB26" i="28" a="1"/>
  <c r="BB26" i="28" s="1"/>
  <c r="BC25" i="28" a="1"/>
  <c r="BC25" i="28" s="1"/>
  <c r="BD25" i="28" s="1"/>
  <c r="BB25" i="28" a="1"/>
  <c r="BB25" i="28" s="1"/>
  <c r="BC24" i="28" a="1"/>
  <c r="BC24" i="28" s="1"/>
  <c r="BB24" i="28" a="1"/>
  <c r="BB24" i="28" s="1"/>
  <c r="BC23" i="28" a="1"/>
  <c r="BC23" i="28" s="1"/>
  <c r="BB23" i="28" a="1"/>
  <c r="BB23" i="28" s="1"/>
  <c r="BC22" i="28" a="1"/>
  <c r="BC22" i="28" s="1"/>
  <c r="BB22" i="28" a="1"/>
  <c r="BB22" i="28" s="1"/>
  <c r="BC21" i="28" a="1"/>
  <c r="BC21" i="28" s="1"/>
  <c r="BB21" i="28" a="1"/>
  <c r="BB21" i="28" s="1"/>
  <c r="BC20" i="28" a="1"/>
  <c r="BC20" i="28" s="1"/>
  <c r="BB20" i="28" a="1"/>
  <c r="BB20" i="28" s="1"/>
  <c r="BC19" i="28" a="1"/>
  <c r="BC19" i="28" s="1"/>
  <c r="BD19" i="28" s="1"/>
  <c r="BB19" i="28" a="1"/>
  <c r="BB19" i="28" s="1"/>
  <c r="BC18" i="28" a="1"/>
  <c r="BC18" i="28" s="1"/>
  <c r="BB18" i="28" a="1"/>
  <c r="BB18" i="28" s="1"/>
  <c r="BC17" i="28" a="1"/>
  <c r="BC17" i="28" s="1"/>
  <c r="BB17" i="28" a="1"/>
  <c r="BB17" i="28" s="1"/>
  <c r="BC16" i="28" a="1"/>
  <c r="BC16" i="28" s="1"/>
  <c r="BB16" i="28" a="1"/>
  <c r="BB16" i="28" s="1"/>
  <c r="BC15" i="28" a="1"/>
  <c r="BC15" i="28" s="1"/>
  <c r="BB15" i="28" a="1"/>
  <c r="BB15" i="28" s="1"/>
  <c r="BC14" i="28" a="1"/>
  <c r="BC14" i="28" s="1"/>
  <c r="BB14" i="28" a="1"/>
  <c r="BB14" i="28" s="1"/>
  <c r="BC13" i="28" a="1"/>
  <c r="BC13" i="28" s="1"/>
  <c r="BB13" i="28" a="1"/>
  <c r="BB13" i="28" s="1"/>
  <c r="BC12" i="28" a="1"/>
  <c r="BC12" i="28" s="1"/>
  <c r="BD12" i="28" s="1"/>
  <c r="BB12" i="28" a="1"/>
  <c r="BB12" i="28" s="1"/>
  <c r="BC11" i="28" a="1"/>
  <c r="BC11" i="28" s="1"/>
  <c r="BB11" i="28" a="1"/>
  <c r="BB11" i="28" s="1"/>
  <c r="BC10" i="28" a="1"/>
  <c r="BC10" i="28" s="1"/>
  <c r="BB10" i="28" a="1"/>
  <c r="BB10" i="28" s="1"/>
  <c r="BC9" i="28" a="1"/>
  <c r="BC9" i="28" s="1"/>
  <c r="BB9" i="28" a="1"/>
  <c r="BB9" i="28" s="1"/>
  <c r="BC8" i="28" a="1"/>
  <c r="BC8" i="28" s="1"/>
  <c r="BB8" i="28" a="1"/>
  <c r="BB8" i="28" s="1"/>
  <c r="BD10" i="28" l="1"/>
  <c r="BD17" i="28"/>
  <c r="BD24" i="28"/>
  <c r="BD27" i="28"/>
  <c r="BD18" i="28"/>
  <c r="BD21" i="28"/>
  <c r="BD8" i="28"/>
  <c r="G9" i="45" s="1"/>
  <c r="BD22" i="28"/>
  <c r="BD29" i="28"/>
  <c r="BD9" i="28"/>
  <c r="BD16" i="28"/>
  <c r="BD23" i="28"/>
  <c r="BD30" i="28"/>
  <c r="G18" i="45" s="1"/>
  <c r="H18" i="46" s="1"/>
  <c r="BD13" i="28"/>
  <c r="BD20" i="28"/>
  <c r="BD31" i="28"/>
  <c r="G6" i="45"/>
  <c r="G22" i="45"/>
  <c r="G20" i="45"/>
  <c r="H28" i="46"/>
  <c r="H27" i="46"/>
  <c r="H26" i="46"/>
  <c r="H25" i="46"/>
  <c r="H24" i="46"/>
  <c r="H23" i="46"/>
  <c r="H21" i="46"/>
  <c r="H20" i="46"/>
  <c r="H19" i="46"/>
  <c r="G28" i="46"/>
  <c r="G14" i="46"/>
  <c r="G27" i="46"/>
  <c r="G13" i="46"/>
  <c r="G11" i="46"/>
  <c r="G23" i="46"/>
  <c r="G26" i="46"/>
  <c r="G12" i="46"/>
  <c r="G24" i="46"/>
  <c r="G22" i="46"/>
  <c r="G25" i="46"/>
  <c r="G21" i="46"/>
  <c r="G19" i="46"/>
  <c r="G20" i="46"/>
  <c r="G18" i="46"/>
  <c r="G17" i="46"/>
  <c r="G16" i="46"/>
  <c r="G15" i="46"/>
  <c r="BD14" i="28"/>
  <c r="G13" i="45" s="1"/>
  <c r="BD15" i="28"/>
  <c r="G10" i="45" s="1"/>
  <c r="BD28" i="28"/>
  <c r="G7" i="45" s="1"/>
  <c r="BD11" i="28"/>
  <c r="G14" i="45" s="1"/>
  <c r="F26" i="46"/>
  <c r="E21" i="46"/>
  <c r="F24" i="46"/>
  <c r="E17" i="46"/>
  <c r="F25" i="46"/>
  <c r="E20" i="46"/>
  <c r="E19" i="46"/>
  <c r="E16" i="46"/>
  <c r="E28" i="46"/>
  <c r="E14" i="46"/>
  <c r="E12" i="46"/>
  <c r="E25" i="46"/>
  <c r="E15" i="46"/>
  <c r="E26" i="46"/>
  <c r="E11" i="46"/>
  <c r="E27" i="46"/>
  <c r="E13" i="46"/>
  <c r="E24" i="46"/>
  <c r="F28" i="46"/>
  <c r="E23" i="46"/>
  <c r="F27" i="46"/>
  <c r="E22" i="46"/>
  <c r="E18" i="46"/>
  <c r="D28" i="46"/>
  <c r="C25" i="46"/>
  <c r="B22" i="46"/>
  <c r="B15" i="46"/>
  <c r="B18" i="46"/>
  <c r="B11" i="46"/>
  <c r="C21" i="46"/>
  <c r="C14" i="46"/>
  <c r="B21" i="46"/>
  <c r="B14" i="46"/>
  <c r="C26" i="46"/>
  <c r="B17" i="46"/>
  <c r="C20" i="46"/>
  <c r="C13" i="46"/>
  <c r="C27" i="46"/>
  <c r="B24" i="46"/>
  <c r="C19" i="46"/>
  <c r="C12" i="46"/>
  <c r="D25" i="46"/>
  <c r="C22" i="46"/>
  <c r="C15" i="46"/>
  <c r="C28" i="46"/>
  <c r="B25" i="46"/>
  <c r="C18" i="46"/>
  <c r="C11" i="46"/>
  <c r="B28" i="46"/>
  <c r="D26" i="46"/>
  <c r="C23" i="46"/>
  <c r="B23" i="46"/>
  <c r="C17" i="46"/>
  <c r="B26" i="46"/>
  <c r="D24" i="46"/>
  <c r="B20" i="46"/>
  <c r="B13" i="46"/>
  <c r="D27" i="46"/>
  <c r="C24" i="46"/>
  <c r="C16" i="46"/>
  <c r="B16" i="46"/>
  <c r="B27" i="46"/>
  <c r="B19" i="46"/>
  <c r="B12" i="46"/>
  <c r="B30" i="39"/>
  <c r="N6" i="47" s="1"/>
  <c r="B6" i="47"/>
  <c r="B31" i="39"/>
  <c r="O6" i="47" s="1"/>
  <c r="R24" i="36" a="1"/>
  <c r="R24" i="36" s="1"/>
  <c r="S24" i="36" s="1"/>
  <c r="Q24" i="36" s="1"/>
  <c r="R42" i="36" a="1"/>
  <c r="R42" i="36" s="1"/>
  <c r="S42" i="36" s="1"/>
  <c r="R17" i="36" a="1"/>
  <c r="R17" i="36" s="1"/>
  <c r="S17" i="36" s="1"/>
  <c r="R18" i="36" a="1"/>
  <c r="R18" i="36" s="1"/>
  <c r="S18" i="36" s="1"/>
  <c r="R19" i="36" a="1"/>
  <c r="R19" i="36" s="1"/>
  <c r="S19" i="36" s="1"/>
  <c r="R20" i="36" a="1"/>
  <c r="R20" i="36" s="1"/>
  <c r="S20" i="36" s="1"/>
  <c r="Q20" i="36" s="1"/>
  <c r="R21" i="36" a="1"/>
  <c r="R21" i="36" s="1"/>
  <c r="S21" i="36" s="1"/>
  <c r="Q21" i="36" s="1"/>
  <c r="R22" i="36" a="1"/>
  <c r="R22" i="36" s="1"/>
  <c r="S22" i="36" s="1"/>
  <c r="Q22" i="36" s="1"/>
  <c r="R23" i="36" a="1"/>
  <c r="R23" i="36" s="1"/>
  <c r="S23" i="36" s="1"/>
  <c r="Q23" i="36" s="1"/>
  <c r="AN31" i="28" a="1"/>
  <c r="AN31" i="28" s="1"/>
  <c r="AN30" i="28" a="1"/>
  <c r="AN30" i="28" s="1"/>
  <c r="AN29" i="28" a="1"/>
  <c r="AN29" i="28" s="1"/>
  <c r="AN28" i="28" a="1"/>
  <c r="AN28" i="28" s="1"/>
  <c r="AN27" i="28" a="1"/>
  <c r="AN27" i="28" s="1"/>
  <c r="AN26" i="28" a="1"/>
  <c r="AN26" i="28" s="1"/>
  <c r="AN25" i="28" a="1"/>
  <c r="AN25" i="28" s="1"/>
  <c r="AN24" i="28" a="1"/>
  <c r="AN24" i="28" s="1"/>
  <c r="AN23" i="28" a="1"/>
  <c r="AN23" i="28" s="1"/>
  <c r="AN22" i="28" a="1"/>
  <c r="AN22" i="28" s="1"/>
  <c r="AN21" i="28" a="1"/>
  <c r="AN21" i="28" s="1"/>
  <c r="AN20" i="28" a="1"/>
  <c r="AN20" i="28" s="1"/>
  <c r="AN19" i="28" a="1"/>
  <c r="AN19" i="28" s="1"/>
  <c r="AN18" i="28" a="1"/>
  <c r="AN18" i="28" s="1"/>
  <c r="AN17" i="28" a="1"/>
  <c r="AN17" i="28" s="1"/>
  <c r="AN16" i="28" a="1"/>
  <c r="AN16" i="28" s="1"/>
  <c r="AN15" i="28" a="1"/>
  <c r="AN15" i="28" s="1"/>
  <c r="AN14" i="28" a="1"/>
  <c r="AN14" i="28" s="1"/>
  <c r="AN13" i="28" a="1"/>
  <c r="AN13" i="28" s="1"/>
  <c r="AN12" i="28" a="1"/>
  <c r="AN12" i="28" s="1"/>
  <c r="AN11" i="28" a="1"/>
  <c r="AN11" i="28" s="1"/>
  <c r="R57" i="36" a="1"/>
  <c r="R57" i="36" s="1"/>
  <c r="S57" i="36" s="1"/>
  <c r="R16" i="36" a="1"/>
  <c r="R16" i="36" s="1"/>
  <c r="S16" i="36" s="1"/>
  <c r="R15" i="36" a="1"/>
  <c r="R15" i="36" s="1"/>
  <c r="S15" i="36" s="1"/>
  <c r="R14" i="36" a="1"/>
  <c r="R14" i="36" s="1"/>
  <c r="S14" i="36" s="1"/>
  <c r="R13" i="36" a="1"/>
  <c r="R13" i="36" s="1"/>
  <c r="S13" i="36" s="1"/>
  <c r="R12" i="36" a="1"/>
  <c r="R12" i="36" s="1"/>
  <c r="S12" i="36" s="1"/>
  <c r="R11" i="36" a="1"/>
  <c r="R11" i="36" s="1"/>
  <c r="S11" i="36" s="1"/>
  <c r="G8" i="45" l="1"/>
  <c r="H13" i="46" s="1"/>
  <c r="H11" i="46"/>
  <c r="H15" i="46"/>
  <c r="AO27" i="28"/>
  <c r="AG27" i="28" s="1"/>
  <c r="AO19" i="28"/>
  <c r="AG19" i="28" s="1"/>
  <c r="AO18" i="28"/>
  <c r="AG18" i="28" s="1"/>
  <c r="AO20" i="28"/>
  <c r="AG20" i="28" s="1"/>
  <c r="AO22" i="28"/>
  <c r="AG22" i="28" s="1"/>
  <c r="AO21" i="28"/>
  <c r="AG21" i="28" s="1"/>
  <c r="AO24" i="28"/>
  <c r="AG24" i="28" s="1"/>
  <c r="AO11" i="28"/>
  <c r="AG11" i="28" s="1"/>
  <c r="AO25" i="28"/>
  <c r="AG25" i="28" s="1"/>
  <c r="AO12" i="28"/>
  <c r="AG12" i="28" s="1"/>
  <c r="AO26" i="28"/>
  <c r="AG26" i="28" s="1"/>
  <c r="AO13" i="28"/>
  <c r="AG13" i="28" s="1"/>
  <c r="AO14" i="28"/>
  <c r="AG14" i="28" s="1"/>
  <c r="AO28" i="28"/>
  <c r="AG28" i="28" s="1"/>
  <c r="AO15" i="28"/>
  <c r="AG15" i="28" s="1"/>
  <c r="AO29" i="28"/>
  <c r="AG29" i="28" s="1"/>
  <c r="AO23" i="28"/>
  <c r="AG23" i="28" s="1"/>
  <c r="AO16" i="28"/>
  <c r="AG16" i="28" s="1"/>
  <c r="AO30" i="28"/>
  <c r="AG30" i="28" s="1"/>
  <c r="AO17" i="28"/>
  <c r="AG17" i="28" s="1"/>
  <c r="AO31" i="28"/>
  <c r="AG31" i="28" s="1"/>
  <c r="H22" i="46"/>
  <c r="H17" i="46"/>
  <c r="H12" i="46"/>
  <c r="H14" i="46"/>
  <c r="H16" i="46"/>
  <c r="L6" i="47"/>
  <c r="M6" i="47"/>
  <c r="Q19" i="36"/>
  <c r="Q18" i="36"/>
  <c r="E16" i="39"/>
  <c r="H6" i="47" s="1"/>
  <c r="Q17" i="36"/>
  <c r="Q11" i="36"/>
  <c r="Q13" i="36"/>
  <c r="Q15" i="36"/>
  <c r="Q16" i="36"/>
  <c r="AL35" i="28" s="1"/>
  <c r="Q14" i="36"/>
  <c r="Q12" i="36"/>
  <c r="R9" i="36" a="1"/>
  <c r="R9" i="36" s="1"/>
  <c r="R10" i="36" a="1"/>
  <c r="R10" i="36" s="1"/>
  <c r="R8" i="36" a="1"/>
  <c r="R8" i="36" s="1"/>
  <c r="S8" i="36" s="1"/>
  <c r="AL38" i="28" l="1"/>
  <c r="AJ38" i="28" s="1"/>
  <c r="BA38" i="28" s="1"/>
  <c r="AC38" i="28" s="1"/>
  <c r="AL40" i="28"/>
  <c r="AL34" i="28"/>
  <c r="AL33" i="28"/>
  <c r="AL29" i="28"/>
  <c r="AH29" i="28" s="1"/>
  <c r="AL30" i="28"/>
  <c r="AJ30" i="28" s="1"/>
  <c r="BA30" i="28" s="1"/>
  <c r="AC30" i="28" s="1"/>
  <c r="AJ35" i="28"/>
  <c r="BA35" i="28" s="1"/>
  <c r="AC35" i="28" s="1"/>
  <c r="AH35" i="28"/>
  <c r="S10" i="36"/>
  <c r="Q10" i="36" s="1"/>
  <c r="AL36" i="28" s="1"/>
  <c r="S9" i="36"/>
  <c r="Q9" i="36" s="1"/>
  <c r="AL37" i="28" s="1"/>
  <c r="Q8" i="36"/>
  <c r="AL39" i="28" s="1"/>
  <c r="AN8" i="28" a="1"/>
  <c r="AN8" i="28" s="1"/>
  <c r="AN9" i="28" a="1"/>
  <c r="AN9" i="28" s="1"/>
  <c r="AN10" i="28" a="1"/>
  <c r="AN10" i="28" s="1"/>
  <c r="AH38" i="28" l="1"/>
  <c r="AD38" i="28" s="1"/>
  <c r="AL17" i="28"/>
  <c r="AH17" i="28" s="1"/>
  <c r="AL8" i="28"/>
  <c r="AL28" i="28"/>
  <c r="AH28" i="28" s="1"/>
  <c r="AL22" i="28"/>
  <c r="AH22" i="28" s="1"/>
  <c r="AL21" i="28"/>
  <c r="AH21" i="28" s="1"/>
  <c r="AL14" i="28"/>
  <c r="AH14" i="28" s="1"/>
  <c r="AL13" i="28"/>
  <c r="AH13" i="28" s="1"/>
  <c r="AL15" i="28"/>
  <c r="AJ15" i="28" s="1"/>
  <c r="BA15" i="28" s="1"/>
  <c r="AC15" i="28" s="1"/>
  <c r="AL26" i="28"/>
  <c r="AH26" i="28" s="1"/>
  <c r="AL16" i="28"/>
  <c r="AJ16" i="28" s="1"/>
  <c r="BA16" i="28" s="1"/>
  <c r="AC16" i="28" s="1"/>
  <c r="AE16" i="28" s="1"/>
  <c r="AL24" i="28"/>
  <c r="AJ24" i="28" s="1"/>
  <c r="BA24" i="28" s="1"/>
  <c r="AC24" i="28" s="1"/>
  <c r="AE24" i="28" s="1"/>
  <c r="AL25" i="28"/>
  <c r="AJ25" i="28" s="1"/>
  <c r="BA25" i="28" s="1"/>
  <c r="AC25" i="28" s="1"/>
  <c r="AL19" i="28"/>
  <c r="AL12" i="28"/>
  <c r="AL9" i="28"/>
  <c r="AE30" i="28"/>
  <c r="AJ40" i="28"/>
  <c r="AH40" i="28"/>
  <c r="AH39" i="28"/>
  <c r="AJ39" i="28"/>
  <c r="AO10" i="28"/>
  <c r="AG10" i="28" s="1"/>
  <c r="AO9" i="28"/>
  <c r="AG9" i="28" s="1"/>
  <c r="AO8" i="28"/>
  <c r="AG8" i="28" s="1"/>
  <c r="AH37" i="28"/>
  <c r="AJ37" i="28"/>
  <c r="AJ36" i="28"/>
  <c r="AH36" i="28"/>
  <c r="AJ33" i="28"/>
  <c r="AH30" i="28"/>
  <c r="Z30" i="28" s="1"/>
  <c r="AH33" i="28"/>
  <c r="AL32" i="28"/>
  <c r="AL27" i="28"/>
  <c r="AJ27" i="28" s="1"/>
  <c r="BA27" i="28" s="1"/>
  <c r="AC27" i="28" s="1"/>
  <c r="AL18" i="28"/>
  <c r="AH18" i="28" s="1"/>
  <c r="AL31" i="28"/>
  <c r="AH31" i="28" s="1"/>
  <c r="AL10" i="28"/>
  <c r="AL11" i="28"/>
  <c r="AL20" i="28"/>
  <c r="AL23" i="28"/>
  <c r="AJ23" i="28" s="1"/>
  <c r="BA23" i="28" s="1"/>
  <c r="AC23" i="28" s="1"/>
  <c r="Z35" i="28"/>
  <c r="AW35" i="28" s="1"/>
  <c r="AB35" i="28" s="1"/>
  <c r="AD35" i="28"/>
  <c r="AJ34" i="28"/>
  <c r="BA34" i="28" s="1"/>
  <c r="AC34" i="28" s="1"/>
  <c r="AH34" i="28"/>
  <c r="AJ8" i="28"/>
  <c r="AJ29" i="28"/>
  <c r="AJ22" i="28"/>
  <c r="BA22" i="28" s="1"/>
  <c r="AC22" i="28" s="1"/>
  <c r="AJ28" i="28" l="1"/>
  <c r="Z38" i="28"/>
  <c r="AA38" i="28" s="1"/>
  <c r="AJ17" i="28"/>
  <c r="BA17" i="28" s="1"/>
  <c r="AC17" i="28" s="1"/>
  <c r="AJ26" i="28"/>
  <c r="BA26" i="28" s="1"/>
  <c r="AC26" i="28" s="1"/>
  <c r="AJ14" i="28"/>
  <c r="BA14" i="28" s="1"/>
  <c r="AC14" i="28" s="1"/>
  <c r="AD14" i="28" s="1"/>
  <c r="AW38" i="28"/>
  <c r="AB38" i="28" s="1"/>
  <c r="Z40" i="28"/>
  <c r="AW40" i="28" s="1"/>
  <c r="AB40" i="28" s="1"/>
  <c r="BA8" i="28"/>
  <c r="AC8" i="28" s="1"/>
  <c r="AJ13" i="28"/>
  <c r="BA13" i="28" s="1"/>
  <c r="AC13" i="28" s="1"/>
  <c r="AD13" i="28" s="1"/>
  <c r="AH24" i="28"/>
  <c r="AD24" i="28" s="1"/>
  <c r="AJ21" i="28"/>
  <c r="Z21" i="28" s="1"/>
  <c r="AW21" i="28" s="1"/>
  <c r="AH15" i="28"/>
  <c r="Z15" i="28" s="1"/>
  <c r="AW15" i="28" s="1"/>
  <c r="E34" i="39"/>
  <c r="AW30" i="28"/>
  <c r="AB30" i="28" s="1"/>
  <c r="AH19" i="28"/>
  <c r="AJ19" i="28"/>
  <c r="BA19" i="28" s="1"/>
  <c r="AC19" i="28" s="1"/>
  <c r="AH16" i="28"/>
  <c r="Z16" i="28" s="1"/>
  <c r="W16" i="28" s="1"/>
  <c r="X16" i="28" s="1"/>
  <c r="AH25" i="28"/>
  <c r="Z25" i="28" s="1"/>
  <c r="AW25" i="28" s="1"/>
  <c r="AJ31" i="28"/>
  <c r="Z31" i="28" s="1"/>
  <c r="AW31" i="28" s="1"/>
  <c r="AD30" i="28"/>
  <c r="AA30" i="28"/>
  <c r="AD22" i="28"/>
  <c r="AE22" i="28"/>
  <c r="BA21" i="28"/>
  <c r="AC21" i="28" s="1"/>
  <c r="AE23" i="28"/>
  <c r="AD15" i="28"/>
  <c r="AE15" i="28"/>
  <c r="AD17" i="28"/>
  <c r="AE17" i="28"/>
  <c r="Z39" i="28"/>
  <c r="D9" i="45"/>
  <c r="AA35" i="28"/>
  <c r="AH10" i="28"/>
  <c r="BA36" i="28"/>
  <c r="AC36" i="28" s="1"/>
  <c r="AD36" i="28" s="1"/>
  <c r="AE38" i="28"/>
  <c r="Z33" i="28"/>
  <c r="AW33" i="28" s="1"/>
  <c r="AB33" i="28" s="1"/>
  <c r="AE13" i="28"/>
  <c r="Z36" i="28"/>
  <c r="AW36" i="28" s="1"/>
  <c r="AB36" i="28" s="1"/>
  <c r="Z28" i="28"/>
  <c r="AW28" i="28" s="1"/>
  <c r="Z37" i="28"/>
  <c r="AJ11" i="28"/>
  <c r="BA11" i="28" s="1"/>
  <c r="AC11" i="28" s="1"/>
  <c r="AE35" i="28"/>
  <c r="AH27" i="28"/>
  <c r="AD27" i="28" s="1"/>
  <c r="AJ10" i="28"/>
  <c r="BA10" i="28" s="1"/>
  <c r="AC10" i="28" s="1"/>
  <c r="AH23" i="28"/>
  <c r="Z23" i="28" s="1"/>
  <c r="AW23" i="28" s="1"/>
  <c r="W35" i="28"/>
  <c r="X35" i="28" s="1"/>
  <c r="Z34" i="28"/>
  <c r="AD34" i="28"/>
  <c r="AH11" i="28"/>
  <c r="AH32" i="28"/>
  <c r="AJ32" i="28"/>
  <c r="BA32" i="28" s="1"/>
  <c r="AC32" i="28" s="1"/>
  <c r="AJ18" i="28"/>
  <c r="AH9" i="28"/>
  <c r="AJ9" i="28"/>
  <c r="Z24" i="28"/>
  <c r="AW24" i="28" s="1"/>
  <c r="AH20" i="28"/>
  <c r="AJ20" i="28"/>
  <c r="BA20" i="28" s="1"/>
  <c r="AC20" i="28" s="1"/>
  <c r="AH8" i="28"/>
  <c r="AH12" i="28"/>
  <c r="AJ12" i="28"/>
  <c r="BA12" i="28" s="1"/>
  <c r="AC12" i="28" s="1"/>
  <c r="W30" i="28"/>
  <c r="X30" i="28" s="1"/>
  <c r="Z17" i="28"/>
  <c r="AW17" i="28" s="1"/>
  <c r="Z29" i="28"/>
  <c r="AW29" i="28" s="1"/>
  <c r="Z22" i="28"/>
  <c r="AW22" i="28" s="1"/>
  <c r="Z26" i="28"/>
  <c r="AW26" i="28" s="1"/>
  <c r="W38" i="28" l="1"/>
  <c r="X38" i="28" s="1"/>
  <c r="Z14" i="28"/>
  <c r="AW14" i="28" s="1"/>
  <c r="Z13" i="28"/>
  <c r="AW13" i="28" s="1"/>
  <c r="W40" i="28"/>
  <c r="X40" i="28" s="1"/>
  <c r="AA37" i="28"/>
  <c r="AW37" i="28"/>
  <c r="AB37" i="28" s="1"/>
  <c r="AA34" i="28"/>
  <c r="AW34" i="28"/>
  <c r="AB34" i="28" s="1"/>
  <c r="AA39" i="28"/>
  <c r="AW39" i="28"/>
  <c r="AB39" i="28" s="1"/>
  <c r="W39" i="28"/>
  <c r="X39" i="28" s="1"/>
  <c r="AA40" i="28"/>
  <c r="AJ6" i="28"/>
  <c r="Z8" i="28"/>
  <c r="AA8" i="28" s="1"/>
  <c r="AH6" i="28"/>
  <c r="AW16" i="28"/>
  <c r="AB16" i="28" s="1"/>
  <c r="AA16" i="28"/>
  <c r="AD19" i="28"/>
  <c r="AE19" i="28"/>
  <c r="AD16" i="28"/>
  <c r="Z19" i="28"/>
  <c r="AW19" i="28" s="1"/>
  <c r="BA31" i="28"/>
  <c r="AC31" i="28" s="1"/>
  <c r="D16" i="45"/>
  <c r="AA31" i="28"/>
  <c r="AB31" i="28"/>
  <c r="AB29" i="28"/>
  <c r="AA15" i="28"/>
  <c r="AB15" i="28"/>
  <c r="AA17" i="28"/>
  <c r="AB17" i="28"/>
  <c r="AA21" i="28"/>
  <c r="AB21" i="28"/>
  <c r="AA22" i="28"/>
  <c r="AB22" i="28"/>
  <c r="AB13" i="28"/>
  <c r="AA28" i="28"/>
  <c r="AB28" i="28"/>
  <c r="AA23" i="28"/>
  <c r="AB23" i="28"/>
  <c r="AA25" i="28"/>
  <c r="AB25" i="28"/>
  <c r="AA24" i="28"/>
  <c r="AB24" i="28"/>
  <c r="AA26" i="28"/>
  <c r="AB26" i="28"/>
  <c r="AB14" i="28"/>
  <c r="W21" i="28"/>
  <c r="X21" i="28" s="1"/>
  <c r="AA29" i="28"/>
  <c r="AD12" i="28"/>
  <c r="AE12" i="28"/>
  <c r="AD23" i="28"/>
  <c r="AD21" i="28"/>
  <c r="AE21" i="28"/>
  <c r="AD20" i="28"/>
  <c r="AE20" i="28"/>
  <c r="AD11" i="28"/>
  <c r="AE11" i="28"/>
  <c r="Z18" i="28"/>
  <c r="AW18" i="28" s="1"/>
  <c r="BA18" i="28"/>
  <c r="AC18" i="28" s="1"/>
  <c r="AE36" i="28"/>
  <c r="AA36" i="28"/>
  <c r="AA33" i="28"/>
  <c r="BA9" i="28"/>
  <c r="AC9" i="28" s="1"/>
  <c r="AD9" i="28" s="1"/>
  <c r="W37" i="28"/>
  <c r="X37" i="28" s="1"/>
  <c r="AE37" i="28"/>
  <c r="W33" i="28"/>
  <c r="X33" i="28" s="1"/>
  <c r="D6" i="45"/>
  <c r="AD8" i="28"/>
  <c r="W36" i="28"/>
  <c r="X36" i="28" s="1"/>
  <c r="W28" i="28"/>
  <c r="X28" i="28" s="1"/>
  <c r="W13" i="28"/>
  <c r="X13" i="28" s="1"/>
  <c r="Z27" i="28"/>
  <c r="AW27" i="28" s="1"/>
  <c r="AE29" i="28"/>
  <c r="AE28" i="28"/>
  <c r="Z10" i="28"/>
  <c r="AW10" i="28" s="1"/>
  <c r="F9" i="45"/>
  <c r="AE34" i="28"/>
  <c r="W34" i="28"/>
  <c r="X34" i="28" s="1"/>
  <c r="D11" i="45"/>
  <c r="AE14" i="28"/>
  <c r="AE27" i="28"/>
  <c r="F6" i="45"/>
  <c r="Z11" i="28"/>
  <c r="AW11" i="28" s="1"/>
  <c r="AD32" i="28"/>
  <c r="Z32" i="28"/>
  <c r="AW32" i="28" s="1"/>
  <c r="W24" i="28"/>
  <c r="X24" i="28" s="1"/>
  <c r="Z9" i="28"/>
  <c r="AW9" i="28" s="1"/>
  <c r="Z20" i="28"/>
  <c r="AW20" i="28" s="1"/>
  <c r="Z12" i="28"/>
  <c r="AW12" i="28" s="1"/>
  <c r="W17" i="28"/>
  <c r="X17" i="28" s="1"/>
  <c r="W29" i="28"/>
  <c r="X29" i="28" s="1"/>
  <c r="W22" i="28"/>
  <c r="X22" i="28" s="1"/>
  <c r="W23" i="28"/>
  <c r="X23" i="28" s="1"/>
  <c r="AD26" i="28"/>
  <c r="AD25" i="28"/>
  <c r="D7" i="45"/>
  <c r="D10" i="45"/>
  <c r="W14" i="28" l="1"/>
  <c r="X14" i="28" s="1"/>
  <c r="D13" i="45"/>
  <c r="AA13" i="28"/>
  <c r="AA14" i="28"/>
  <c r="AC6" i="28"/>
  <c r="E38" i="39" s="1"/>
  <c r="AW8" i="28"/>
  <c r="AB8" i="28" s="1"/>
  <c r="Z6" i="28"/>
  <c r="AA32" i="28"/>
  <c r="AB32" i="28"/>
  <c r="E35" i="39"/>
  <c r="AB10" i="28"/>
  <c r="AB19" i="28"/>
  <c r="AA19" i="28"/>
  <c r="W19" i="28"/>
  <c r="X19" i="28" s="1"/>
  <c r="AA20" i="28"/>
  <c r="AB20" i="28"/>
  <c r="AA27" i="28"/>
  <c r="AB27" i="28"/>
  <c r="AA18" i="28"/>
  <c r="AB18" i="28"/>
  <c r="AA11" i="28"/>
  <c r="AB11" i="28"/>
  <c r="AA9" i="28"/>
  <c r="AB9" i="28"/>
  <c r="AA12" i="28"/>
  <c r="AB12" i="28"/>
  <c r="AD18" i="28"/>
  <c r="AE18" i="28"/>
  <c r="W18" i="28"/>
  <c r="X18" i="28" s="1"/>
  <c r="AA10" i="28"/>
  <c r="W31" i="28"/>
  <c r="X31" i="28" s="1"/>
  <c r="AD31" i="28"/>
  <c r="AE31" i="28"/>
  <c r="W27" i="28"/>
  <c r="X27" i="28" s="1"/>
  <c r="AD10" i="28"/>
  <c r="AE9" i="28"/>
  <c r="W11" i="28"/>
  <c r="X11" i="28" s="1"/>
  <c r="AE26" i="28"/>
  <c r="AE25" i="28"/>
  <c r="AE8" i="28"/>
  <c r="AE32" i="28"/>
  <c r="W32" i="28"/>
  <c r="X32" i="28" s="1"/>
  <c r="D22" i="45"/>
  <c r="D23" i="46" s="1"/>
  <c r="W20" i="28"/>
  <c r="X20" i="28" s="1"/>
  <c r="W9" i="28"/>
  <c r="X9" i="28" s="1"/>
  <c r="W12" i="28"/>
  <c r="X12" i="28" s="1"/>
  <c r="W8" i="28"/>
  <c r="W15" i="28"/>
  <c r="X15" i="28" s="1"/>
  <c r="W26" i="28"/>
  <c r="X26" i="28" s="1"/>
  <c r="W25" i="28"/>
  <c r="X25" i="28" s="1"/>
  <c r="D20" i="45"/>
  <c r="D19" i="45"/>
  <c r="D18" i="45"/>
  <c r="D8" i="45"/>
  <c r="D14" i="45"/>
  <c r="X8" i="28" l="1"/>
  <c r="E37" i="39"/>
  <c r="E36" i="39" s="1"/>
  <c r="B36" i="39" s="1"/>
  <c r="B35" i="39"/>
  <c r="B34" i="39"/>
  <c r="AA6" i="28"/>
  <c r="D14" i="46"/>
  <c r="D15" i="46"/>
  <c r="D11" i="46"/>
  <c r="D12" i="46"/>
  <c r="W10" i="28"/>
  <c r="X10" i="28" s="1"/>
  <c r="AE10" i="28"/>
  <c r="B38" i="39" s="1"/>
  <c r="D21" i="45"/>
  <c r="D22" i="46" s="1"/>
  <c r="D13" i="46"/>
  <c r="D20" i="46"/>
  <c r="D19" i="46"/>
  <c r="D17" i="46"/>
  <c r="D18" i="46"/>
  <c r="D16" i="46"/>
  <c r="F16" i="45"/>
  <c r="F11" i="45"/>
  <c r="W6" i="28" l="1"/>
  <c r="B37" i="39"/>
  <c r="B39" i="39" s="1"/>
  <c r="AD6" i="28"/>
  <c r="D21" i="46"/>
  <c r="D23" i="45"/>
  <c r="E39" i="39" l="1"/>
  <c r="B21" i="39"/>
  <c r="X6" i="28"/>
  <c r="B22" i="39" s="1"/>
  <c r="F6" i="47" s="1"/>
  <c r="B17" i="51"/>
  <c r="F20" i="45"/>
  <c r="F22" i="45"/>
  <c r="F23" i="46" s="1"/>
  <c r="D9" i="46"/>
  <c r="F13" i="45"/>
  <c r="E15" i="39" l="1"/>
  <c r="E23" i="39" s="1"/>
  <c r="E25" i="39" s="1"/>
  <c r="E6" i="47"/>
  <c r="F19" i="45"/>
  <c r="F21" i="45"/>
  <c r="F21" i="46" s="1"/>
  <c r="E22" i="39" l="1"/>
  <c r="G6" i="47"/>
  <c r="F22" i="46"/>
  <c r="F20" i="46"/>
  <c r="E24" i="39"/>
  <c r="F10" i="45"/>
  <c r="F7" i="45"/>
  <c r="F14" i="45" l="1"/>
  <c r="F15" i="46" s="1"/>
  <c r="F18" i="45"/>
  <c r="F14" i="46" s="1"/>
  <c r="F8" i="45"/>
  <c r="F12" i="46" l="1"/>
  <c r="F18" i="46"/>
  <c r="F19" i="46"/>
  <c r="F16" i="46"/>
  <c r="F17" i="46"/>
  <c r="F13" i="46"/>
  <c r="F11" i="46"/>
  <c r="F23" i="45"/>
  <c r="E9" i="46" l="1"/>
  <c r="B15" i="39" l="1"/>
  <c r="B16" i="51" s="1"/>
  <c r="K6" i="47"/>
  <c r="A6" i="47" l="1"/>
  <c r="B18" i="39"/>
  <c r="D6" i="47" s="1"/>
  <c r="B17" i="39"/>
  <c r="C6" i="47" s="1"/>
  <c r="E17" i="39" l="1"/>
  <c r="I6" i="47" l="1"/>
  <c r="E18" i="39"/>
  <c r="J6" i="4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tc={6A8C69AB-582C-49B3-B2EC-BAC0E35B417E}</author>
  </authors>
  <commentList>
    <comment ref="A13" authorId="0" shapeId="0" xr:uid="{6A8C69AB-582C-49B3-B2EC-BAC0E35B417E}">
      <text>
        <t>[Threaded comment]
Your version of Excel allows you to read this threaded comment; however, any edits to it will get removed if the file is opened in a newer version of Excel. Learn more: https://go.microsoft.com/fwlink/?linkid=870924
Comment:
    This is the customer's Tacoma Power account rate class.</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tc={CA32DA91-EA57-4F06-8024-8D047BB997AF}</author>
  </authors>
  <commentList>
    <comment ref="C5" authorId="0" shapeId="0" xr:uid="{CA32DA91-EA57-4F06-8024-8D047BB997AF}">
      <text>
        <t>[Threaded comment]
Your version of Excel allows you to read this threaded comment; however, any edits to it will get removed if the file is opened in a newer version of Excel. Learn more: https://go.microsoft.com/fwlink/?linkid=870924
Comment:
    Do not format phone number. Formatting is handled on the "Contacts" tab.</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tc={DDBCDCFF-01DB-41CE-BD17-02276CC48A3F}</author>
    <author>tc={B5CEDF36-AA4D-4D15-888B-720934F06B0A}</author>
    <author>tc={85875936-75E1-4C32-8A9E-E75C21B2CB57}</author>
    <author>tc={3F0D8613-C767-41E1-9D6F-CAC57988E5C6}</author>
  </authors>
  <commentList>
    <comment ref="C35" authorId="0" shapeId="0" xr:uid="{DDBCDCFF-01DB-41CE-BD17-02276CC48A3F}">
      <text>
        <t>[Threaded comment]
Your version of Excel allows you to read this threaded comment; however, any edits to it will get removed if the file is opened in a newer version of Excel. Learn more: https://go.microsoft.com/fwlink/?linkid=870924
Comment:
    Yes, "Blank" is the range name, a little confusing but...it is what it is.</t>
      </text>
    </comment>
    <comment ref="C47" authorId="1" shapeId="0" xr:uid="{B5CEDF36-AA4D-4D15-888B-720934F06B0A}">
      <text>
        <t>[Threaded comment]
Your version of Excel allows you to read this threaded comment; however, any edits to it will get removed if the file is opened in a newer version of Excel. Learn more: https://go.microsoft.com/fwlink/?linkid=870924
Comment:
    Yes, "Blank" is the range name, a little confusing but...it is what it is.</t>
      </text>
    </comment>
    <comment ref="C55" authorId="2" shapeId="0" xr:uid="{85875936-75E1-4C32-8A9E-E75C21B2CB57}">
      <text>
        <t>[Threaded comment]
Your version of Excel allows you to read this threaded comment; however, any edits to it will get removed if the file is opened in a newer version of Excel. Learn more: https://go.microsoft.com/fwlink/?linkid=870924
Comment:
    Yes, "Blank" is the range name, a little confusing but...it is what it is.</t>
      </text>
    </comment>
    <comment ref="C59" authorId="3" shapeId="0" xr:uid="{3F0D8613-C767-41E1-9D6F-CAC57988E5C6}">
      <text>
        <t>[Threaded comment]
Your version of Excel allows you to read this threaded comment; however, any edits to it will get removed if the file is opened in a newer version of Excel. Learn more: https://go.microsoft.com/fwlink/?linkid=870924
Comment:
    Yes, "Blank" is the range name, a little confusing but...it is what it is.</t>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tc={5D587612-CC40-4856-87C0-A1A7AD3881AE}</author>
    <author>tc={EEAB46FE-C760-4CD8-BEDA-731843901CEF}</author>
    <author>tc={44EC011E-5FF0-4535-89BC-864C7750E0D2}</author>
  </authors>
  <commentList>
    <comment ref="D7" authorId="0" shapeId="0" xr:uid="{5D587612-CC40-4856-87C0-A1A7AD3881AE}">
      <text>
        <t>[Threaded comment]
Your version of Excel allows you to read this threaded comment; however, any edits to it will get removed if the file is opened in a newer version of Excel. Learn more: https://go.microsoft.com/fwlink/?linkid=870924
Comment:
    This column contains links to the column headers that use the formulas. (All caps with underscores is the Snowflake column name.) It's intended to be the crosswalk between the plain English write up on this tab and the exact expression on the "Spaces", "Measures", etc. tab.</t>
      </text>
    </comment>
    <comment ref="E7" authorId="1" shapeId="0" xr:uid="{EEAB46FE-C760-4CD8-BEDA-731843901CEF}">
      <text>
        <t>[Threaded comment]
Your version of Excel allows you to read this threaded comment; however, any edits to it will get removed if the file is opened in a newer version of Excel. Learn more: https://go.microsoft.com/fwlink/?linkid=870924
Comment:
    This column contains links to the Snowflake column headers that use the formulas. It's intended to be the crosswalk between the plain English write up on this tab and the exact expression on the "Spaces", "Measures", etc. tab.</t>
      </text>
    </comment>
    <comment ref="D24" authorId="2" shapeId="0" xr:uid="{44EC011E-5FF0-4535-89BC-864C7750E0D2}">
      <text>
        <t>[Threaded comment]
Your version of Excel allows you to read this threaded comment; however, any edits to it will get removed if the file is opened in a newer version of Excel. Learn more: https://go.microsoft.com/fwlink/?linkid=870924
Comment:
    This one isn't well named. I missed updating the Snowflake column name when I consolidated some formulas for controls.</t>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tc={959BABD9-C206-47B0-93FC-8A524C00C7B5}</author>
    <author>tc={94F88CE1-7B35-44B7-8D98-8E2C72D7C9DB}</author>
    <author>tc={EC40D0F3-49CE-493B-9899-4FAD55A5DD21}</author>
    <author>tc={FDDAB1EB-B5A6-4F54-A583-630AA3654E51}</author>
  </authors>
  <commentList>
    <comment ref="C45" authorId="0" shapeId="0" xr:uid="{959BABD9-C206-47B0-93FC-8A524C00C7B5}">
      <text>
        <t>[Threaded comment]
Your version of Excel allows you to read this threaded comment; however, any edits to it will get removed if the file is opened in a newer version of Excel. Learn more: https://go.microsoft.com/fwlink/?linkid=870924
Comment:
    You do NOT need "-1" to subtract the column header because Excel does it for you because the "Spaces" tab is set up as a true table.</t>
      </text>
    </comment>
    <comment ref="C54" authorId="1" shapeId="0" xr:uid="{94F88CE1-7B35-44B7-8D98-8E2C72D7C9DB}">
      <text>
        <t>[Threaded comment]
Your version of Excel allows you to read this threaded comment; however, any edits to it will get removed if the file is opened in a newer version of Excel. Learn more: https://go.microsoft.com/fwlink/?linkid=870924
Comment:
    The "-1" subtracts the column header. You need it because the "Measures" tab is NOT set up as a true table, and so the COUNTA formula includes the column header.</t>
      </text>
    </comment>
    <comment ref="C63" authorId="2" shapeId="0" xr:uid="{EC40D0F3-49CE-493B-9899-4FAD55A5DD21}">
      <text>
        <t>[Threaded comment]
Your version of Excel allows you to read this threaded comment; however, any edits to it will get removed if the file is opened in a newer version of Excel. Learn more: https://go.microsoft.com/fwlink/?linkid=870924
Comment:
    We need to use a COUNTIF formula on a helper column rather than COUNTA on the "Space" column because Excel counts the empty string ("") in the "Space" column.</t>
      </text>
    </comment>
    <comment ref="C72" authorId="3" shapeId="0" xr:uid="{FDDAB1EB-B5A6-4F54-A583-630AA3654E51}">
      <text>
        <t>[Threaded comment]
Your version of Excel allows you to read this threaded comment; however, any edits to it will get removed if the file is opened in a newer version of Excel. Learn more: https://go.microsoft.com/fwlink/?linkid=870924
Comment:
    It's okay that this formula counts the column header. The UNIQUE formula for the Manufacturer-Model values inserts a blank row (because not all 500 rows on the "Measures" tab get populated). The COUNTA formula doesn't count the blank row, so counting the column header gets us to the correct number of rows to print.</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tc={35AEC4A6-3492-4634-83A8-C8E0F94002A1}</author>
    <author>tc={49A31326-7F51-49D6-9AA0-1C79C1F7F99F}</author>
    <author>tc={92602EAB-42F1-4744-9991-5C0FECE88E7B}</author>
    <author>tc={017958F7-0A84-421A-848E-992A93EA8DF7}</author>
    <author>tc={B092DCE9-40AD-4CC6-BD2A-B0E24F31E7A0}</author>
    <author>tc={3E109DB1-EC9A-4C59-A1B7-F873F2AD2952}</author>
    <author>tc={4D1928DC-C800-4BD2-B1F5-92F66E599C61}</author>
    <author>tc={9A09F26D-D49C-4F75-B632-EC85F8A3A8E6}</author>
  </authors>
  <commentList>
    <comment ref="A6" authorId="0" shapeId="0" xr:uid="{35AEC4A6-3492-4634-83A8-C8E0F94002A1}">
      <text>
        <t>[Threaded comment]
Your version of Excel allows you to read this threaded comment; however, any edits to it will get removed if the file is opened in a newer version of Excel. Learn more: https://go.microsoft.com/fwlink/?linkid=870924
Comment:
    If the cell turned pink, it means there are duplicate combinations of space type and space description. Please make each combination unique.</t>
      </text>
    </comment>
    <comment ref="Q6" authorId="1" shapeId="0" xr:uid="{49A31326-7F51-49D6-9AA0-1C79C1F7F99F}">
      <text>
        <t>[Threaded comment]
Your version of Excel allows you to read this threaded comment; however, any edits to it will get removed if the file is opened in a newer version of Excel. Learn more: https://go.microsoft.com/fwlink/?linkid=870924
Comment:
    This column is hidden because, per the lighting team, customers do not need to see it. This column is used on the "Measures" tab.</t>
      </text>
    </comment>
    <comment ref="R6" authorId="2" shapeId="0" xr:uid="{92602EAB-42F1-4744-9991-5C0FECE88E7B}">
      <text>
        <t>[Threaded comment]
Your version of Excel allows you to read this threaded comment; however, any edits to it will get removed if the file is opened in a newer version of Excel. Learn more: https://go.microsoft.com/fwlink/?linkid=870924
Comment:
    The values in this column correspond to the column header of the HVAC Interactive Effects table on the "HVAC Factors" tab. It's used to help lookup the space's HVAC factor.</t>
      </text>
    </comment>
    <comment ref="S6" authorId="3" shapeId="0" xr:uid="{017958F7-0A84-421A-848E-992A93EA8DF7}">
      <text>
        <t>[Threaded comment]
Your version of Excel allows you to read this threaded comment; however, any edits to it will get removed if the file is opened in a newer version of Excel. Learn more: https://go.microsoft.com/fwlink/?linkid=870924
Comment:
    This holds the INDEX MATCH lookup formula for the HVAC factor. I keep it in its own column because 1) it makes it easier to see if the lookup failed and 2) INDEX MATCH formulas are so long that I don't like to clutter them with other clauses, which make the formula more difficult to parse.</t>
      </text>
    </comment>
    <comment ref="T6" authorId="4" shapeId="0" xr:uid="{B092DCE9-40AD-4CC6-BD2A-B0E24F31E7A0}">
      <text>
        <t>[Threaded comment]
Your version of Excel allows you to read this threaded comment; however, any edits to it will get removed if the file is opened in a newer version of Excel. Learn more: https://go.microsoft.com/fwlink/?linkid=870924
Comment:
    1) This is used on the "Measures" tab to lookup the space's HVAC Factor and Annual Operating Hours.
2) It's also used in the "Space Name Concatenated Blank Rows Removed Helper" column at right.</t>
      </text>
    </comment>
    <comment ref="U6" authorId="5" shapeId="0" xr:uid="{3E109DB1-EC9A-4C59-A1B7-F873F2AD2952}">
      <text>
        <t>[Threaded comment]
Your version of Excel allows you to read this threaded comment; however, any edits to it will get removed if the file is opened in a newer version of Excel. Learn more: https://go.microsoft.com/fwlink/?linkid=870924
Comment:
    1) Each combination of space type and space description must be unique in order for the drop down list on the "Measures" tab to work properly.
2) This column is used by A) the formula in the "Space Name Concatenated Blank Rows Removed Helper" column and B) in the conditional formatting rule in the "Row" column.</t>
      </text>
    </comment>
    <comment ref="V6" authorId="6" shapeId="0" xr:uid="{4D1928DC-C800-4BD2-B1F5-92F66E599C61}">
      <text>
        <t>[Threaded comment]
Your version of Excel allows you to read this threaded comment; however, any edits to it will get removed if the file is opened in a newer version of Excel. Learn more: https://go.microsoft.com/fwlink/?linkid=870924
Comment:
    1) It's correct that this column is outside the Space table.
2) This is used on the "Measures" tab for the "Space Name" data validation drop down list.
3) It's correct that the formula returns empty string when there are duplicate space names. The empty string prevents users from being able to select a space on "Measures" tab, which ensures that users resolve the duplicate space. (Duplicates aren't allowed because they cause VLOOKUP and INDEX MATCH functions to fail.)</t>
      </text>
    </comment>
    <comment ref="A7" authorId="7" shapeId="0" xr:uid="{9A09F26D-D49C-4F75-B632-EC85F8A3A8E6}">
      <text>
        <t>[Threaded comment]
Your version of Excel allows you to read this threaded comment; however, any edits to it will get removed if the file is opened in a newer version of Excel. Learn more: https://go.microsoft.com/fwlink/?linkid=870924
Comment:
    Admin note to self: This row contains unique column headers for use in Snowflake. It is a behind-the-scenes row. Do not display to users.</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tc={BB239384-22F0-4AF1-BA89-66884AB60C5B}</author>
    <author>tc={20DE2387-8C25-477D-A275-6DDF6945585D}</author>
    <author>tc={FEAB7110-62E2-427A-9C07-C78FFC001A11}</author>
    <author>tc={7BC5EEC4-4EE3-4E69-8BA2-114421439756}</author>
    <author>tc={444534EE-9AFD-49F8-9AB5-2737DAADCDBC}</author>
    <author>tc={8B35C8BE-DE0A-4245-91B8-EF5CFC2E8868}</author>
    <author>tc={F764309E-DDDC-4EC3-B2B0-6C24765C6871}</author>
    <author>tc={2EA5BCE4-8AB6-4E75-854E-798B655333A4}</author>
    <author>tc={0ACBF085-B3A6-4626-9865-6EE43E2C4863}</author>
    <author>tc={D154736F-FC81-411C-962F-332E9FC51CA4}</author>
    <author>tc={48B3D9E4-2847-4452-AFBC-0DAB2BE2DFDC}</author>
    <author>tc={C9F86539-3C95-41C5-9E69-6AC4654425B4}</author>
    <author>tc={E3F9DAC4-A186-45D9-87F9-DFAA72C004DD}</author>
    <author>tc={4E9E5F7D-7E9A-4943-8E53-E90917D6C8D9}</author>
    <author>tc={F66F4507-A5FD-4348-A80F-1DCBC536729B}</author>
    <author>tc={FFFB9901-A013-475B-9660-E0EE27892110}</author>
    <author>tc={F1A7C5C8-AE19-4FDF-B715-F07C6096D918}</author>
    <author>tc={A0764643-2BCC-4EDC-B5C1-36FFBC0ACB14}</author>
    <author>tc={F7C1F649-FC89-405B-921A-00F1A4F9940E}</author>
    <author>tc={3B684A96-C17A-44E1-B669-1A9B6F04C768}</author>
    <author>tc={B4935911-BD94-4122-8793-C141749E6CBA}</author>
    <author>tc={A845832F-DF5A-4955-81FD-0BAD7AB551FB}</author>
    <author>tc={027CBD0B-5A19-41D7-A501-3206F36CF87B}</author>
    <author>tc={69FBF6EE-3EBC-4E17-9A5E-50F0970CC11C}</author>
    <author>tc={A9636ACF-034C-47BD-B2B5-14BA7DEFB1F5}</author>
    <author>tc={2876242E-EB7C-4614-85AD-4A970197272D}</author>
    <author>tc={957F22B9-1784-4604-8065-BF7D8A9E987A}</author>
    <author>tc={7C456FBB-2401-485D-ADBE-92C539E8DE88}</author>
    <author>tc={E794A74B-F1C1-46DC-8A19-86BBB3033A18}</author>
    <author>tc={4DA8623F-C295-4ABA-92DB-D7C07D118059}</author>
    <author>tc={356D0BB6-7B6E-483E-AF60-390354DAA393}</author>
    <author>tc={4F6FAE79-0EBC-41A4-B2D0-B58BD7DC6B6E}</author>
    <author>tc={87332B0E-33A6-44EC-B393-6A9B0F2617A5}</author>
    <author>tc={08C8515D-C8AB-40F9-8054-52000A939B28}</author>
  </authors>
  <commentList>
    <comment ref="B5" authorId="0" shapeId="0" xr:uid="{BB239384-22F0-4AF1-BA89-66884AB60C5B}">
      <text>
        <t>[Threaded comment]
Your version of Excel allows you to read this threaded comment; however, any edits to it will get removed if the file is opened in a newer version of Excel. Learn more: https://go.microsoft.com/fwlink/?linkid=870924
Comment:
    The space drop down list comes from the "Spaces" tab.</t>
      </text>
    </comment>
    <comment ref="G5" authorId="1" shapeId="0" xr:uid="{20DE2387-8C25-477D-A275-6DDF6945585D}">
      <text>
        <t>[Threaded comment]
Your version of Excel allows you to read this threaded comment; however, any edits to it will get removed if the file is opened in a newer version of Excel. Learn more: https://go.microsoft.com/fwlink/?linkid=870924
Comment:
    If the cell turned pink, it means the wattage is invalid. Please select a wattage from the dropdown list or, for LED fixtures, type in the wattage per unit.</t>
      </text>
    </comment>
    <comment ref="M5" authorId="2" shapeId="0" xr:uid="{FEAB7110-62E2-427A-9C07-C78FFC001A11}">
      <text>
        <t>[Threaded comment]
Your version of Excel allows you to read this threaded comment; however, any edits to it will get removed if the file is opened in a newer version of Excel. Learn more: https://go.microsoft.com/fwlink/?linkid=870924
Comment:
    Tubes and modules are examples of units.</t>
      </text>
    </comment>
    <comment ref="S5" authorId="3" shapeId="0" xr:uid="{7BC5EEC4-4EE3-4E69-8BA2-114421439756}">
      <text>
        <t>[Threaded comment]
Your version of Excel allows you to read this threaded comment; however, any edits to it will get removed if the file is opened in a newer version of Excel. Learn more: https://go.microsoft.com/fwlink/?linkid=870924
Comment:
    If the cell turned pink, it means the controls quantity is more than the fixture quantity, which is not permitted. Please correct the fixture or controls quantity to resolve the issue.</t>
      </text>
    </comment>
    <comment ref="AK5" authorId="4" shapeId="0" xr:uid="{444534EE-9AFD-49F8-9AB5-2737DAADCDBC}">
      <text>
        <t>[Threaded comment]
Your version of Excel allows you to read this threaded comment; however, any edits to it will get removed if the file is opened in a newer version of Excel. Learn more: https://go.microsoft.com/fwlink/?linkid=870924
Comment:
    This is the key between the "Spaces" and "Measures" tabs that Snowflake will use to join the data from the two tabs.</t>
      </text>
    </comment>
    <comment ref="AL5" authorId="5" shapeId="0" xr:uid="{8B35C8BE-DE0A-4245-91B8-EF5CFC2E8868}">
      <text>
        <t>[Threaded comment]
Your version of Excel allows you to read this threaded comment; however, any edits to it will get removed if the file is opened in a newer version of Excel. Learn more: https://go.microsoft.com/fwlink/?linkid=870924
Comment:
    This column is hidden because, per the lighting team, customers do not need to see it. This column is used in the kWh consumption formulas.</t>
      </text>
    </comment>
    <comment ref="AM5" authorId="6" shapeId="0" xr:uid="{F764309E-DDDC-4EC3-B2B0-6C24765C6871}">
      <text>
        <t>[Threaded comment]
Your version of Excel allows you to read this threaded comment; however, any edits to it will get removed if the file is opened in a newer version of Excel. Learn more: https://go.microsoft.com/fwlink/?linkid=870924
Comment:
    1) Used in the customer-facing formulas to control when a cell should return empty string ("") and when it should run a formula.
2) Also used in some helper formulas to return zero or empty string for formulas that return an error.</t>
      </text>
    </comment>
    <comment ref="AN5" authorId="7" shapeId="0" xr:uid="{2EA5BCE4-8AB6-4E75-854E-798B655333A4}">
      <text>
        <t>[Threaded comment]
Your version of Excel allows you to read this threaded comment; however, any edits to it will get removed if the file is opened in a newer version of Excel. Learn more: https://go.microsoft.com/fwlink/?linkid=870924
Comment:
    This holds the INDEX MATCH lookup formula for the ballast factor. I keep it in its own column because 1) it makes it easier to see if the lookup failed and 2) INDEX MATCH formulas are so long that I don't like to clutter them with other clauses, which make the formula more difficult to parse.</t>
      </text>
    </comment>
    <comment ref="AO5" authorId="8" shapeId="0" xr:uid="{0ACBF085-B3A6-4626-9865-6EE43E2C4863}">
      <text>
        <t>[Threaded comment]
Your version of Excel allows you to read this threaded comment; however, any edits to it will get removed if the file is opened in a newer version of Excel. Learn more: https://go.microsoft.com/fwlink/?linkid=870924
Comment:
    This is the column that's used in formulas. The formula replaces the lookup's "N/A" with empty string ("").</t>
      </text>
    </comment>
    <comment ref="AP5" authorId="9" shapeId="0" xr:uid="{D154736F-FC81-411C-962F-332E9FC51CA4}">
      <text>
        <t>[Threaded comment]
Your version of Excel allows you to read this threaded comment; however, any edits to it will get removed if the file is opened in a newer version of Excel. Learn more: https://go.microsoft.com/fwlink/?linkid=870924
Comment:
    1) Returns the name of the Named Range for the data validation that the "Wattage per Lamp" column uses to produce its dropdown lists.</t>
      </text>
    </comment>
    <comment ref="AQ5" authorId="10" shapeId="0" xr:uid="{48B3D9E4-2847-4452-AFBC-0DAB2BE2DFDC}">
      <text>
        <t>[Threaded comment]
Your version of Excel allows you to read this threaded comment; however, any edits to it will get removed if the file is opened in a newer version of Excel. Learn more: https://go.microsoft.com/fwlink/?linkid=870924
Comment:
    1) Used in the "Wattage per Lamp" column's conditional formatting. The only value in this column that the conditional formatting cares about is "invalid". (The number that the XMATCH formula returns is the wattage column number in the "Ballast Factor" table.)
2) We need the conditional formatting because the "Wattage per Lamp" column's data validation has its error messages turned off--this had to be done to allow users to enter LED wattages. And so we needed some other way to alert users about data entry errors.</t>
      </text>
    </comment>
    <comment ref="AR5" authorId="11" shapeId="0" xr:uid="{C9F86539-3C95-41C5-9E69-6AC4654425B4}">
      <text>
        <t>[Threaded comment]
Your version of Excel allows you to read this threaded comment; however, any edits to it will get removed if the file is opened in a newer version of Excel. Learn more: https://go.microsoft.com/fwlink/?linkid=870924
Comment:
    1) This helper is needed so that when the row is A) decommissioning, the quantity of existing fixtures is returned for the count of fixtures, B) LED Tube, the count of tubes (lamps x quantity) is returned, and C) for all other fixtures, the quantity of proposed fixtures is returned.
2) The helper is need to make the SUMIF formula work on the "Measures Sum Prep" tab. And it's used on the "Fixture Review" tab.</t>
      </text>
    </comment>
    <comment ref="AS5" authorId="12" shapeId="0" xr:uid="{E3F9DAC4-A186-45D9-87F9-DFAA72C004DD}">
      <text>
        <t>[Threaded comment]
Your version of Excel allows you to read this threaded comment; however, any edits to it will get removed if the file is opened in a newer version of Excel. Learn more: https://go.microsoft.com/fwlink/?linkid=870924
Comment:
    Used in the "Walkthrough" and "Fixture Review" tabs.</t>
      </text>
    </comment>
    <comment ref="AT5" authorId="13" shapeId="0" xr:uid="{4E9E5F7D-7E9A-4943-8E53-E90917D6C8D9}">
      <text>
        <t>[Threaded comment]
Your version of Excel allows you to read this threaded comment; however, any edits to it will get removed if the file is opened in a newer version of Excel. Learn more: https://go.microsoft.com/fwlink/?linkid=870924
Comment:
    This formula returns the type of incentive that the proposed fixtures should receive.</t>
      </text>
    </comment>
    <comment ref="AU5" authorId="14" shapeId="0" xr:uid="{F66F4507-A5FD-4348-A80F-1DCBC536729B}">
      <text>
        <t>[Threaded comment]
Your version of Excel allows you to read this threaded comment; however, any edits to it will get removed if the file is opened in a newer version of Excel. Learn more: https://go.microsoft.com/fwlink/?linkid=870924
Comment:
    This formula returns the incentive rate that the proposed fixtures should receive.</t>
      </text>
    </comment>
    <comment ref="AV5" authorId="15" shapeId="0" xr:uid="{FFFB9901-A013-475B-9660-E0EE27892110}">
      <text>
        <t>[Threaded comment]
Your version of Excel allows you to read this threaded comment; however, any edits to it will get removed if the file is opened in a newer version of Excel. Learn more: https://go.microsoft.com/fwlink/?linkid=870924
Comment:
    This formula returns the incentive rate's unit of measurement that the proposed fixtures should receive.</t>
      </text>
    </comment>
    <comment ref="AW5" authorId="16" shapeId="0" xr:uid="{F1A7C5C8-AE19-4FDF-B715-F07C6096D918}">
      <text>
        <t>[Threaded comment]
Your version of Excel allows you to read this threaded comment; however, any edits to it will get removed if the file is opened in a newer version of Excel. Learn more: https://go.microsoft.com/fwlink/?linkid=870924
Comment:
    This formula 1) returns the incentive amount before zeroing out incentives due to negative kWh savings (which is done on the "Project Summary" tab), 2) rounds the amount to the penny, and 3) for tubes and exit signs, a) makes the incentive amount negative when the kWh savings are negative and b) makes the incentive amount zero when the kWh savings are zero.</t>
      </text>
    </comment>
    <comment ref="AX5" authorId="17" shapeId="0" xr:uid="{A0764643-2BCC-4EDC-B5C1-36FFBC0ACB14}">
      <text>
        <t>[Threaded comment]
Your version of Excel allows you to read this threaded comment; however, any edits to it will get removed if the file is opened in a newer version of Excel. Learn more: https://go.microsoft.com/fwlink/?linkid=870924
Comment:
    This formula returns the type of incentive that the controls should receive.</t>
      </text>
    </comment>
    <comment ref="AY5" authorId="18" shapeId="0" xr:uid="{F7C1F649-FC89-405B-921A-00F1A4F9940E}">
      <text>
        <t>[Threaded comment]
Your version of Excel allows you to read this threaded comment; however, any edits to it will get removed if the file is opened in a newer version of Excel. Learn more: https://go.microsoft.com/fwlink/?linkid=870924
Comment:
    This formula returns the incentive rate that the proposed controls should receive.</t>
      </text>
    </comment>
    <comment ref="AZ5" authorId="19" shapeId="0" xr:uid="{3B684A96-C17A-44E1-B669-1A9B6F04C768}">
      <text>
        <t>[Threaded comment]
Your version of Excel allows you to read this threaded comment; however, any edits to it will get removed if the file is opened in a newer version of Excel. Learn more: https://go.microsoft.com/fwlink/?linkid=870924
Comment:
    This formula returns the incentive rate's unit of measurement that the proposed controls should receive.</t>
      </text>
    </comment>
    <comment ref="BA5" authorId="20" shapeId="0" xr:uid="{B4935911-BD94-4122-8793-C141749E6CBA}">
      <text>
        <t>[Threaded comment]
Your version of Excel allows you to read this threaded comment; however, any edits to it will get removed if the file is opened in a newer version of Excel. Learn more: https://go.microsoft.com/fwlink/?linkid=870924
Comment:
    This formula says, if it's "Controls Only", use the existing fixture kWh; otherwise use the proposed fixture kWh.</t>
      </text>
    </comment>
    <comment ref="BB5" authorId="21" shapeId="0" xr:uid="{A845832F-DF5A-4955-81FD-0BAD7AB551FB}">
      <text>
        <t>[Threaded comment]
Your version of Excel allows you to read this threaded comment; however, any edits to it will get removed if the file is opened in a newer version of Excel. Learn more: https://go.microsoft.com/fwlink/?linkid=870924
Comment:
    1) This holds the INDEX MATCH lookup formula for the BPA ref. no. helper. I keep it in its own column because A) it makes it easier to see if the lookup failed and B) INDEX MATCH formulas are so long that I don't like to clutter them with other clauses, which make the formula more difficult to parse.
2) "N/A" means a match was not found in the ballast factor table.</t>
      </text>
    </comment>
    <comment ref="BC5" authorId="22" shapeId="0" xr:uid="{027CBD0B-5A19-41D7-A501-3206F36CF87B}">
      <text>
        <t>[Threaded comment]
Your version of Excel allows you to read this threaded comment; however, any edits to it will get removed if the file is opened in a newer version of Excel. Learn more: https://go.microsoft.com/fwlink/?linkid=870924
Comment:
    1) This holds the INDEX MATCH lookup formula for the BPA ref. no. helper. I keep it in its own column because A) it makes it easier to see if the lookup failed and B) INDEX MATCH formulas are so long that I don't like to clutter them with other clauses, which make the formula more difficult to parse.
2) "N/A" means a match was not found in the ballast factor table.</t>
      </text>
    </comment>
    <comment ref="BD5" authorId="23" shapeId="0" xr:uid="{69FBF6EE-3EBC-4E17-9A5E-50F0970CC11C}">
      <text>
        <t>[Threaded comment]
Your version of Excel allows you to read this threaded comment; however, any edits to it will get removed if the file is opened in a newer version of Excel. Learn more: https://go.microsoft.com/fwlink/?linkid=870924
Comment:
    1) The formula determines which category of ref. no. (commercial or industrial) to return for fixtures.
2) This is not a helper column, but it's hidden because users don't need to see it.
3) These data exist so that they can be loaded to Snowflake.</t>
      </text>
    </comment>
    <comment ref="BE5" authorId="24" shapeId="0" xr:uid="{A9636ACF-034C-47BD-B2B5-14BA7DEFB1F5}">
      <text>
        <t>[Threaded comment]
Your version of Excel allows you to read this threaded comment; however, any edits to it will get removed if the file is opened in a newer version of Excel. Learn more: https://go.microsoft.com/fwlink/?linkid=870924
Comment:
    1) This formula determines which category of ref. no. (commercial or industrial) to return for controls.
2) This is not a helper column, but it's hidden because users don't need to see it.
3) These data exist so that they can be loaded to Snowflake.</t>
      </text>
    </comment>
    <comment ref="BF5" authorId="25" shapeId="0" xr:uid="{2876242E-EB7C-4614-85AD-4A970197272D}">
      <text>
        <t>[Threaded comment]
Your version of Excel allows you to read this threaded comment; however, any edits to it will get removed if the file is opened in a newer version of Excel. Learn more: https://go.microsoft.com/fwlink/?linkid=870924
Comment:
    This formula checks that all existing fixture cells for a given row are populated. It compares the count of populated cells against the count of column headers.</t>
      </text>
    </comment>
    <comment ref="BG5" authorId="26" shapeId="0" xr:uid="{957F22B9-1784-4604-8065-BF7D8A9E987A}">
      <text>
        <t>[Threaded comment]
Your version of Excel allows you to read this threaded comment; however, any edits to it will get removed if the file is opened in a newer version of Excel. Learn more: https://go.microsoft.com/fwlink/?linkid=870924
Comment:
    This formula checks that all proposed fixture cells for a given row are populated. It compares the count of populated cells against the count of column headers.</t>
      </text>
    </comment>
    <comment ref="BH5" authorId="27" shapeId="0" xr:uid="{7C456FBB-2401-485D-ADBE-92C539E8DE88}">
      <text>
        <t>[Threaded comment]
Your version of Excel allows you to read this threaded comment; however, any edits to it will get removed if the file is opened in a newer version of Excel. Learn more: https://go.microsoft.com/fwlink/?linkid=870924
Comment:
    This formula checks that all controls cells for a given row are populated. It compares the count of populated cells against the count of column headers.
Reminder: we subtract 1 from the count of column headers when the control type is 'Occupancy Sensor' or 'Networked Controls' because these do not require the "% Wattage Reduced" column.</t>
      </text>
    </comment>
    <comment ref="AB6" authorId="28" shapeId="0" xr:uid="{E794A74B-F1C1-46DC-8A19-86BBB3033A18}">
      <text>
        <t>[Threaded comment]
Your version of Excel allows you to read this threaded comment; however, any edits to it will get removed if the file is opened in a newer version of Excel. Learn more: https://go.microsoft.com/fwlink/?linkid=870924
Comment:
    Please see the "Project Summary" tab for the grand total estimated project incentive.</t>
      </text>
    </comment>
    <comment ref="AE6" authorId="29" shapeId="0" xr:uid="{4DA8623F-C295-4ABA-92DB-D7C07D118059}">
      <text>
        <t>[Threaded comment]
Your version of Excel allows you to read this threaded comment; however, any edits to it will get removed if the file is opened in a newer version of Excel. Learn more: https://go.microsoft.com/fwlink/?linkid=870924
Comment:
    Please see the "Project Summary" tab for the grand total estimated project incentive.</t>
      </text>
    </comment>
    <comment ref="BF6" authorId="30" shapeId="0" xr:uid="{356D0BB6-7B6E-483E-AF60-390354DAA393}">
      <text>
        <t>[Threaded comment]
Your version of Excel allows you to read this threaded comment; however, any edits to it will get removed if the file is opened in a newer version of Excel. Learn more: https://go.microsoft.com/fwlink/?linkid=870924
Comment:
    This is the count of column headers for existing fixtures.</t>
      </text>
    </comment>
    <comment ref="BG6" authorId="31" shapeId="0" xr:uid="{4F6FAE79-0EBC-41A4-B2D0-B58BD7DC6B6E}">
      <text>
        <t>[Threaded comment]
Your version of Excel allows you to read this threaded comment; however, any edits to it will get removed if the file is opened in a newer version of Excel. Learn more: https://go.microsoft.com/fwlink/?linkid=870924
Comment:
    This is the count of column headers for proposed fixtures.</t>
      </text>
    </comment>
    <comment ref="BH6" authorId="32" shapeId="0" xr:uid="{87332B0E-33A6-44EC-B393-6A9B0F2617A5}">
      <text>
        <t>[Threaded comment]
Your version of Excel allows you to read this threaded comment; however, any edits to it will get removed if the file is opened in a newer version of Excel. Learn more: https://go.microsoft.com/fwlink/?linkid=870924
Comment:
    This is the count of column headers for controls.</t>
      </text>
    </comment>
    <comment ref="A7" authorId="33" shapeId="0" xr:uid="{08C8515D-C8AB-40F9-8054-52000A939B28}">
      <text>
        <t>[Threaded comment]
Your version of Excel allows you to read this threaded comment; however, any edits to it will get removed if the file is opened in a newer version of Excel. Learn more: https://go.microsoft.com/fwlink/?linkid=870924
Comment:
    Admin note to self: This row contains unique column headers for use in Snowflake. It is a behind-the-scenes row. Do not display to users.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tc={27BB423C-A249-4EB1-B297-BD1DA29B3296}</author>
    <author>tc={1E752AAC-DA9D-46BE-84E6-97EF6F246F17}</author>
    <author>tc={A6E31023-916A-4475-91C9-7FCA48CC842D}</author>
  </authors>
  <commentList>
    <comment ref="E8" authorId="0" shapeId="0" xr:uid="{27BB423C-A249-4EB1-B297-BD1DA29B3296}">
      <text>
        <t>[Threaded comment]
Your version of Excel allows you to read this threaded comment; however, any edits to it will get removed if the file is opened in a newer version of Excel. Learn more: https://go.microsoft.com/fwlink/?linkid=870924
Comment:
    For LED tubes, the quantity is calculated as number of tubes per fixture x quantity of fixtures.</t>
      </text>
    </comment>
    <comment ref="F9" authorId="1" shapeId="0" xr:uid="{1E752AAC-DA9D-46BE-84E6-97EF6F246F17}">
      <text>
        <t>[Threaded comment]
Your version of Excel allows you to read this threaded comment; however, any edits to it will get removed if the file is opened in a newer version of Excel. Learn more: https://go.microsoft.com/fwlink/?linkid=870924
Comment:
    Please see the "Project Summary" tab for the grand total estimated project incentive.</t>
      </text>
    </comment>
    <comment ref="A10" authorId="2" shapeId="0" xr:uid="{A6E31023-916A-4475-91C9-7FCA48CC842D}">
      <text>
        <t>[Threaded comment]
Your version of Excel allows you to read this threaded comment; however, any edits to it will get removed if the file is opened in a newer version of Excel. Learn more: https://go.microsoft.com/fwlink/?linkid=870924
Comment:
    Admin note to self: This row contains unique column headers for use in Snowflake. It is a behind-the-scenes row. Do not display to users.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tc={83F0E788-6369-4904-8D32-00093669A775}</author>
    <author>tc={0C068864-5135-4B23-88B6-1BE8D5EB59A1}</author>
  </authors>
  <commentList>
    <comment ref="A1" authorId="0" shapeId="0" xr:uid="{83F0E788-6369-4904-8D32-00093669A775}">
      <text>
        <t>[Threaded comment]
Your version of Excel allows you to read this threaded comment; however, any edits to it will get removed if the file is opened in a newer version of Excel. Learn more: https://go.microsoft.com/fwlink/?linkid=870924
Comment:
    This tab presents the measures in a condensed layout and is formatted to print. It's intended to be used on walkthrough inspections.</t>
      </text>
    </comment>
    <comment ref="P7" authorId="1" shapeId="0" xr:uid="{0C068864-5135-4B23-88B6-1BE8D5EB59A1}">
      <text>
        <t>[Threaded comment]
Your version of Excel allows you to read this threaded comment; however, any edits to it will get removed if the file is opened in a newer version of Excel. Learn more: https://go.microsoft.com/fwlink/?linkid=870924
Comment:
    This used in the OFFSET formula for the dynamic print area.</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tc={80AFFD1F-89F5-426E-A125-8C2C29F1D69C}</author>
    <author>tc={E0C2D0F0-48D4-46C0-9F11-BB3259ACB9EA}</author>
    <author>tc={6CD284E9-09A0-403B-9725-CBE247F14893}</author>
    <author>tc={2C671C80-5AE4-4EDF-B2C5-DC7A0653D4C4}</author>
  </authors>
  <commentList>
    <comment ref="A7" authorId="0" shapeId="0" xr:uid="{80AFFD1F-89F5-426E-A125-8C2C29F1D69C}">
      <text>
        <t>[Threaded comment]
Your version of Excel allows you to read this threaded comment; however, any edits to it will get removed if the file is opened in a newer version of Excel. Learn more: https://go.microsoft.com/fwlink/?linkid=870924
Comment:
    Selecting the sector returns the BPA ref. nos. for the proposed fixtures and controls on the "Measures" tab's behind-the-scenes columns.</t>
      </text>
    </comment>
    <comment ref="B7" authorId="1" shapeId="0" xr:uid="{E0C2D0F0-48D4-46C0-9F11-BB3259ACB9EA}">
      <text>
        <t>[Threaded comment]
Your version of Excel allows you to read this threaded comment; however, any edits to it will get removed if the file is opened in a newer version of Excel. Learn more: https://go.microsoft.com/fwlink/?linkid=870924
Comment:
    This is needed for Snowflake to identify which lighting data belong with which project.</t>
      </text>
    </comment>
    <comment ref="C7" authorId="2" shapeId="0" xr:uid="{6CD284E9-09A0-403B-9725-CBE247F14893}">
      <text>
        <t>[Threaded comment]
Your version of Excel allows you to read this threaded comment; however, any edits to it will get removed if the file is opened in a newer version of Excel. Learn more: https://go.microsoft.com/fwlink/?linkid=870924
Comment:
    Admin note: this is for use in Snowflake so that we can know from which workbook we scraped the lighting data.</t>
      </text>
    </comment>
    <comment ref="A8" authorId="3" shapeId="0" xr:uid="{2C671C80-5AE4-4EDF-B2C5-DC7A0653D4C4}">
      <text>
        <t>[Threaded comment]
Your version of Excel allows you to read this threaded comment; however, any edits to it will get removed if the file is opened in a newer version of Excel. Learn more: https://go.microsoft.com/fwlink/?linkid=870924
Comment:
    Admin note to self: This row contains unique column headers for use in Snowflake. It is a behind-the-scenes row. Do not display to users.</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tc={8AA363B9-B9F6-4F41-9A4A-5F3D96003ACA}</author>
    <author>tc={423B4FEA-8880-478D-9394-EAE0A5F9C7A1}</author>
    <author>tc={38A181FA-75EA-4235-95C4-C45C2FB11853}</author>
    <author>tc={B612D89D-82BE-4FF6-8B57-BD61092796A8}</author>
    <author>tc={7223E472-EB48-4197-9C34-C766FC0BC200}</author>
  </authors>
  <commentList>
    <comment ref="A5" authorId="0" shapeId="0" xr:uid="{8AA363B9-B9F6-4F41-9A4A-5F3D96003ACA}">
      <text>
        <t>[Threaded comment]
Your version of Excel allows you to read this threaded comment; however, any edits to it will get removed if the file is opened in a newer version of Excel. Learn more: https://go.microsoft.com/fwlink/?linkid=870924
Comment:
    This is used in the VLOOKUP on the customer-facing "Measure Summary" tab.</t>
      </text>
    </comment>
    <comment ref="E5" authorId="1" shapeId="0" xr:uid="{423B4FEA-8880-478D-9394-EAE0A5F9C7A1}">
      <text>
        <t>[Threaded comment]
Your version of Excel allows you to read this threaded comment; however, any edits to it will get removed if the file is opened in a newer version of Excel. Learn more: https://go.microsoft.com/fwlink/?linkid=870924
Comment:
    For LED tubes, the quantity is calculated as number of tubes per fixture x quantity of fixtures.</t>
      </text>
    </comment>
    <comment ref="H5" authorId="2" shapeId="0" xr:uid="{38A181FA-75EA-4235-95C4-C45C2FB11853}">
      <text>
        <t>[Threaded comment]
Your version of Excel allows you to read this threaded comment; however, any edits to it will get removed if the file is opened in a newer version of Excel. Learn more: https://go.microsoft.com/fwlink/?linkid=870924
Comment:
    Used to identify if the proposed fixture category is used in the "Measures" tab. A value greater than zero means the category is used.</t>
      </text>
    </comment>
    <comment ref="C22" authorId="3" shapeId="0" xr:uid="{B612D89D-82BE-4FF6-8B57-BD61092796A8}">
      <text>
        <t>[Threaded comment]
Your version of Excel allows you to read this threaded comment; however, any edits to it will get removed if the file is opened in a newer version of Excel. Learn more: https://go.microsoft.com/fwlink/?linkid=870924
Comment:
    Yes, it's correct that we display "No Controls" on the "Measure Summary" tab. A) It helps check data entry since the customer can see if they accidentally selected ‘no controls’ when they meant to select, for example, ‘networked controls’ . B) I don't want to layer in more display logic to hide one specific row--I want to keep the long-term maintenance as easy as possible.</t>
      </text>
    </comment>
    <comment ref="A23" authorId="4" shapeId="0" xr:uid="{7223E472-EB48-4197-9C34-C766FC0BC200}">
      <text>
        <t>[Threaded comment]
Your version of Excel allows you to read this threaded comment; however, any edits to it will get removed if the file is opened in a newer version of Excel. Learn more: https://go.microsoft.com/fwlink/?linkid=870924
Comment:
    1) This is a named cell.
2) It's used on the "Measure Summary" tab to clear "N/A" from the VLOOKUP results on that tab.</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tc={73A0234E-9B85-462E-9E7B-CF3A6438B9EA}</author>
    <author>tc={1A75FFD5-E86E-4C55-8DBE-B567A02C5854}</author>
    <author>tc={E4D5A52B-0621-4355-82B1-E5FBED8B13FD}</author>
    <author>tc={EE50C8DC-8514-4DE6-88A5-AA4E31F71C86}</author>
    <author>tc={F94BC765-638B-452E-B8DF-C96D6B095C4D}</author>
    <author>tc={6639BE13-2CEC-439B-B315-795B9C95E4BB}</author>
    <author>tc={A7CE9404-6B31-4395-9FE5-D23D6C5CD3C3}</author>
    <author>tc={75BD45BE-6244-4FB4-B539-BAD7C90E2F4E}</author>
  </authors>
  <commentList>
    <comment ref="D7" authorId="0" shapeId="0" xr:uid="{73A0234E-9B85-462E-9E7B-CF3A6438B9EA}">
      <text>
        <t>[Threaded comment]
Your version of Excel allows you to read this threaded comment; however, any edits to it will get removed if the file is opened in a newer version of Excel. Learn more: https://go.microsoft.com/fwlink/?linkid=870924
Comment:
    A) "1" means there is no ballast factor. The value exists just to make the fixture wattage formulas work for all scenarios.</t>
      </text>
    </comment>
    <comment ref="E7" authorId="1" shapeId="0" xr:uid="{1A75FFD5-E86E-4C55-8DBE-B567A02C5854}">
      <text>
        <t>[Threaded comment]
Your version of Excel allows you to read this threaded comment; however, any edits to it will get removed if the file is opened in a newer version of Excel. Learn more: https://go.microsoft.com/fwlink/?linkid=870924
Comment:
    "Allowed" means the fixture can be selected on the "Measures" tab as an existing fixture.</t>
      </text>
    </comment>
    <comment ref="F7" authorId="2" shapeId="0" xr:uid="{E4D5A52B-0621-4355-82B1-E5FBED8B13FD}">
      <text>
        <t>[Threaded comment]
Your version of Excel allows you to read this threaded comment; however, any edits to it will get removed if the file is opened in a newer version of Excel. Learn more: https://go.microsoft.com/fwlink/?linkid=870924
Comment:
    "Allowed" means the fixture can be selected on the "Measures" tab as a proposed fixture.</t>
      </text>
    </comment>
    <comment ref="G7" authorId="3" shapeId="0" xr:uid="{EE50C8DC-8514-4DE6-88A5-AA4E31F71C86}">
      <text>
        <t>[Threaded comment]
Your version of Excel allows you to read this threaded comment; however, any edits to it will get removed if the file is opened in a newer version of Excel. Learn more: https://go.microsoft.com/fwlink/?linkid=870924
Comment:
    Pertains to proposed fixtures only.</t>
      </text>
    </comment>
    <comment ref="H7" authorId="4" shapeId="0" xr:uid="{F94BC765-638B-452E-B8DF-C96D6B095C4D}">
      <text>
        <t>[Threaded comment]
Your version of Excel allows you to read this threaded comment; however, any edits to it will get removed if the file is opened in a newer version of Excel. Learn more: https://go.microsoft.com/fwlink/?linkid=870924
Comment:
    Pertains to proposed fixtures only.</t>
      </text>
    </comment>
    <comment ref="I7" authorId="5" shapeId="0" xr:uid="{6639BE13-2CEC-439B-B315-795B9C95E4BB}">
      <text>
        <t>[Threaded comment]
Your version of Excel allows you to read this threaded comment; however, any edits to it will get removed if the file is opened in a newer version of Excel. Learn more: https://go.microsoft.com/fwlink/?linkid=870924
Comment:
    This formula 1) concatenates the fixture's class, category, and sub-category, 2) replaces all special characters and spaces with underscores, and 3) prepends "wattlist_" so that all of the wattage named ranges group together in the Name Manager.</t>
      </text>
    </comment>
    <comment ref="J7" authorId="6" shapeId="0" xr:uid="{A7CE9404-6B31-4395-9FE5-D23D6C5CD3C3}">
      <text>
        <t>[Threaded comment]
Your version of Excel allows you to read this threaded comment; however, any edits to it will get removed if the file is opened in a newer version of Excel. Learn more: https://go.microsoft.com/fwlink/?linkid=870924
Comment:
    1) The wattage columns contain the values that are used on the "Wattage per Lamp" column on the "Measures" tab.
2) the Signage wattage is 'N/A' because signage is only for proposed fixtures and we do not use wattage drop downs for proposed fixtures.</t>
      </text>
    </comment>
    <comment ref="B87" authorId="7" shapeId="0" xr:uid="{75BD45BE-6244-4FB4-B539-BAD7C90E2F4E}">
      <text>
        <t>[Threaded comment]
Your version of Excel allows you to read this threaded comment; however, any edits to it will get removed if the file is opened in a newer version of Excel. Learn more: https://go.microsoft.com/fwlink/?linkid=870924
Comment:
    It is correct that the unit of measurement comes before the number of feet. For reasons unknown, the subcategory drop down list on the "Measures" tab refuses to work when the value is "10 ft".</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tc={F6C0AD2C-0D8C-47E0-BF39-56628D73D4AA}</author>
  </authors>
  <commentList>
    <comment ref="J67" authorId="0" shapeId="0" xr:uid="{F6C0AD2C-0D8C-47E0-BF39-56628D73D4AA}">
      <text>
        <t>[Threaded comment]
Your version of Excel allows you to read this threaded comment; however, any edits to it will get removed if the file is opened in a newer version of Excel. Learn more: https://go.microsoft.com/fwlink/?linkid=870924
Comment:
    It is correct that the unit of measurement comes before the number of feet. For reasons unknown, the subcategory drop down list on the "Measures" tab refuses to work when the value is "10 ft".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<sst xmlns="http://schemas.openxmlformats.org/spreadsheetml/2006/main" count="2589" uniqueCount="1266">
  <si>
    <t>Tacoma Power's Bright Rebates Lighting Application</t>
  </si>
  <si>
    <t>What does this application do?</t>
  </si>
  <si>
    <t>This application supports Tacoma Power’s Bright Rebates lighting program, one of Tacoma Power’s energy efficiency programs for business customers. It calculates a project's estimated annual kWh savings from replacing existing lighting and controls with more energy efficient equipment and estimates the incentive.</t>
  </si>
  <si>
    <r>
      <t xml:space="preserve">The application is for </t>
    </r>
    <r>
      <rPr>
        <u/>
        <sz val="11"/>
        <color theme="1"/>
        <rFont val="Calibri"/>
        <family val="2"/>
      </rPr>
      <t>retrofits only</t>
    </r>
    <r>
      <rPr>
        <sz val="11"/>
        <color theme="1"/>
        <rFont val="Calibri"/>
        <family val="2"/>
      </rPr>
      <t>. It is not for new construction or indoor agriculture projects; please see our website for information on these programs.</t>
    </r>
  </si>
  <si>
    <t>Before you get started…</t>
  </si>
  <si>
    <t>Contact us before you remove your existing equipment so that we can verify your eligibility.</t>
  </si>
  <si>
    <t>At that time, we will also confirm your Tacoma Power utility rate class to determine which incentive rate you'll receive:</t>
  </si>
  <si>
    <t>How to contact Tacoma Power</t>
  </si>
  <si>
    <t>If you have any questions about the Bright Rebates program, please contact us at:</t>
  </si>
  <si>
    <t>BrightRebates@tacoma.gov</t>
  </si>
  <si>
    <t>https://www.mytpu.org/ways-to-save/business-rebates/</t>
  </si>
  <si>
    <t>Next steps</t>
  </si>
  <si>
    <t>Please review the Bright Rebates application process and program requirements on the TPU website:</t>
  </si>
  <si>
    <t xml:space="preserve">How to Complete the Application </t>
  </si>
  <si>
    <t>Jump to instructions for --&gt;</t>
  </si>
  <si>
    <t>Errors</t>
  </si>
  <si>
    <t>Contacts</t>
  </si>
  <si>
    <t>Site</t>
  </si>
  <si>
    <t>Spaces</t>
  </si>
  <si>
    <t>Measures</t>
  </si>
  <si>
    <t>Summaries</t>
  </si>
  <si>
    <t>Abbreviations</t>
  </si>
  <si>
    <t>Color Legend</t>
  </si>
  <si>
    <t>All tabs</t>
  </si>
  <si>
    <t>1. Complete the tabs in order from LEFT to RIGHT.</t>
  </si>
  <si>
    <t>The "Contacts", "Site", "Spaces", and "Measures" tabs require data entry.</t>
  </si>
  <si>
    <t>2. Fill in all required cells.</t>
  </si>
  <si>
    <t>BLUE are required.</t>
  </si>
  <si>
    <t>ORANGE are optional.</t>
  </si>
  <si>
    <t>3.If a cell turns dark GRAY, it is not needed. Skip it.</t>
  </si>
  <si>
    <t>4. You may copy and paste values; however, you cannot drag cells or use Excel's "fill" function, i.e., the handle in the lower right corner of a selected cell.</t>
  </si>
  <si>
    <t>5. To clear your data entry, select only blue and orange cells. Then press "Delete" on the keyboard or right click and select the "Clear Contents" menu option.</t>
  </si>
  <si>
    <t>6. If you have previously used Tacoma Power's lighting application, please read the "Changes" tab (far right tab) to learn how this one differs from earlier ones.</t>
  </si>
  <si>
    <t>Fix Errors</t>
  </si>
  <si>
    <t>1. If you see the errors #N/A or #VALUE errors, the most likely reasons are the following:</t>
  </si>
  <si>
    <t>a) The rate class was accidentally left blank. Please select a "Rate Class" on the "Site" tab.</t>
  </si>
  <si>
    <t>b) The space type or description was changed. See item 11 in the "Spaces tab" instructions below for how to resolve.</t>
  </si>
  <si>
    <t>c) The fixture class, category, or subcategory was changed to an invalid combination. See item 1 in the "Measures tab" instructions below for how to resolve.</t>
  </si>
  <si>
    <t>2. If savings are all zero, please fill in the building type on the "Site" tab.</t>
  </si>
  <si>
    <t>3. If savings are zero for a particular measure row, please review and correct data entry on the "Spaces" tab.</t>
  </si>
  <si>
    <t>Ex. Was "Cooling Type" accidentally left blank?</t>
  </si>
  <si>
    <t>4. If the estimated incentive payout amount is zero on the "Project Summary" tab, please fill in the project cost on the "Site" tab.</t>
  </si>
  <si>
    <t>5. The far right columns on the "Measures" tab tell you if any data entry was missed for existing or proposed fixtures or controls.</t>
  </si>
  <si>
    <t>Please enter the missing information.</t>
  </si>
  <si>
    <t>Important: if the number of lamps (or units) per fixture is 1 or the quantity of fixtures is 1, you must enter 1. (The formulas interpret blank cells as zero, and the kWh savings will be wrong if cells are left blank.)</t>
  </si>
  <si>
    <t>Contacts tab</t>
  </si>
  <si>
    <t>1. Enter the project name.</t>
  </si>
  <si>
    <t>Typically this is the building name or address and a very short description of the work. Ex. "Tacoma Municipal Bldg - Exterior Ltg".</t>
  </si>
  <si>
    <t>2. In the "Customer Project Contact" section, enter the contact information for the person who holds the Tacoma Power account.</t>
  </si>
  <si>
    <t>3. In the "Person Signing Agreement" section, enter the name and email of the person who will sign the project's participation agreement (a.k.a. contract).</t>
  </si>
  <si>
    <t>If the customer project contact is the signer, skip this section.</t>
  </si>
  <si>
    <t>4. In the "Trade Ally Project Contact" section, enter the contact information of the person submitting the paperwork and/or the person leading the project who is not the customer.</t>
  </si>
  <si>
    <t>If there is no trade ally, please enter "self-install".</t>
  </si>
  <si>
    <t>5. Leave blank the "Tacoma Power Project Contact" section.</t>
  </si>
  <si>
    <t>After the application has been submitted, a Tacoma Power staff member will be assigned to your project and fill in this section.</t>
  </si>
  <si>
    <t>Site tab</t>
  </si>
  <si>
    <t>1. Enter the location at which the installation work will be done.</t>
  </si>
  <si>
    <t>2. Select the building type that most closely fits your facility.</t>
  </si>
  <si>
    <t>Please note that 'Assembly' is a public assembly or gathering location, such as a church or auditorium. It is not manufacturing.</t>
  </si>
  <si>
    <t>3. Select the building's Tacoma Power rate class.</t>
  </si>
  <si>
    <t>4. Enter the estimated project cost. Include costs of labor, materials, taxes, permits, etc.</t>
  </si>
  <si>
    <t>Spaces tab</t>
  </si>
  <si>
    <t>1. Fill in cells from left to right.</t>
  </si>
  <si>
    <t>2. Fill in one row for each unique space.</t>
  </si>
  <si>
    <t>Each space must include the space type, HVAC conditions of that space, and the number of hours per day and the number of weeks per year that the lighting is in operation.</t>
  </si>
  <si>
    <t>Examples of daily hours include:</t>
  </si>
  <si>
    <t>a. Conference rooms are typically 4 to 6 hours.</t>
  </si>
  <si>
    <t>b. Electrical rooms and closets are about 1 hour.</t>
  </si>
  <si>
    <t>c. Restrooms are 4 to 6 hours.</t>
  </si>
  <si>
    <t>d. Breakrooms may be 4 to 6 hours or full shift hours.</t>
  </si>
  <si>
    <t>e. Warehouses or production, stairwells, and egresses may be unheated and uncooled and operate 24 hours.</t>
  </si>
  <si>
    <t>Please talk with facility personnel to determine the accurate operating hours and HVAC conditions for each space.</t>
  </si>
  <si>
    <t>3. Enter emergency lighting, egresses, and exit signs that are never off as their own spaces with 24/7/52 operating hours.</t>
  </si>
  <si>
    <t>4. Enter 51 weeks a year if the customer takes off the seven major holidays.</t>
  </si>
  <si>
    <r>
      <t xml:space="preserve">Only enter 52 weeks if the company </t>
    </r>
    <r>
      <rPr>
        <u/>
        <sz val="11"/>
        <color theme="1"/>
        <rFont val="Calibri"/>
        <family val="2"/>
      </rPr>
      <t>never</t>
    </r>
    <r>
      <rPr>
        <sz val="11"/>
        <color theme="1"/>
        <rFont val="Calibri"/>
        <family val="2"/>
      </rPr>
      <t xml:space="preserve"> closes or the lights </t>
    </r>
    <r>
      <rPr>
        <u/>
        <sz val="11"/>
        <color theme="1"/>
        <rFont val="Calibri"/>
        <family val="2"/>
      </rPr>
      <t>never</t>
    </r>
    <r>
      <rPr>
        <sz val="11"/>
        <color theme="1"/>
        <rFont val="Calibri"/>
        <family val="2"/>
      </rPr>
      <t xml:space="preserve"> go off.</t>
    </r>
  </si>
  <si>
    <t>5. If a room has an existing occupancy sensor, A) reduce the operating hours by 25% for that space and B) note it in the "Additional Space Information" column so Tacoma Power knows there are existing controls.</t>
  </si>
  <si>
    <t>6. If you operate your exterior lighting more than 12 hours a day, please select 'Exterior - Other' as the "Space Type" and include a description of the operation in the "Space Description" column.</t>
  </si>
  <si>
    <t>Ex. the Port of Tacoma or truck fueling stations.</t>
  </si>
  <si>
    <t>More about the "Spaces" tab</t>
  </si>
  <si>
    <t>7. The “Space Description” is intended to further identify the space.</t>
  </si>
  <si>
    <t>Ex. '4th Floor' or 'NW parking lot'</t>
  </si>
  <si>
    <t>8. Each combination of "Space Type" and "Space Description" must be unique.</t>
  </si>
  <si>
    <t>If the row number cells turns pink, it means a duplicate combination occurred.</t>
  </si>
  <si>
    <t>9. An 'Exterior' space with dusk to dawn hours and no heating or cooling has been pre-filled for you.</t>
  </si>
  <si>
    <t>The space has been preset because 4,380 is the maximum allowed hours per energy code requirements.</t>
  </si>
  <si>
    <t>10. The “Additional Space Information” is for more space specifics.</t>
  </si>
  <si>
    <t>Ex. "Room 807" or “has existing occupancy sensors”.</t>
  </si>
  <si>
    <r>
      <t xml:space="preserve">11. If you change the space type or description </t>
    </r>
    <r>
      <rPr>
        <u/>
        <sz val="11"/>
        <color theme="1"/>
        <rFont val="Calibri"/>
        <family val="2"/>
      </rPr>
      <t>after</t>
    </r>
    <r>
      <rPr>
        <sz val="11"/>
        <color theme="1"/>
        <rFont val="Calibri"/>
        <family val="2"/>
      </rPr>
      <t xml:space="preserve"> you have used it on the "Measures" tab, you </t>
    </r>
    <r>
      <rPr>
        <u/>
        <sz val="11"/>
        <color theme="1"/>
        <rFont val="Calibri"/>
        <family val="2"/>
      </rPr>
      <t>must</t>
    </r>
    <r>
      <rPr>
        <sz val="11"/>
        <color theme="1"/>
        <rFont val="Calibri"/>
        <family val="2"/>
      </rPr>
      <t xml:space="preserve"> reselect the space on the "Measures" tab so that the savings and incentive recalculate.</t>
    </r>
  </si>
  <si>
    <t>Measures tab</t>
  </si>
  <si>
    <t>1. Fill in the cells from left to right.</t>
  </si>
  <si>
    <t>If you need to undo some data entry, clear cells from right to left, and then enter the updated information. (This ensures that the drop down lists and data validations work properly.)</t>
  </si>
  <si>
    <t>2. Fill in one row for each unique combination of space, measure type, existing fixture, proposed fixture, and controls.</t>
  </si>
  <si>
    <t>You can enter a total quantity for a space as long as the existing conditions are the same and the proposed equipment will be the same.</t>
  </si>
  <si>
    <t>Ex. if all restrooms in the employee-only areas are the same, you can enter one row, but if the restroom in the lobby has different fixtures or controls, that is a second row.</t>
  </si>
  <si>
    <t>3. Select a "Measure Type" for each row:</t>
  </si>
  <si>
    <t>a) Fixtures: select this when you are replacing existing fixtures with new fixtures, and, optionally, adding controls to the new fixtures.</t>
  </si>
  <si>
    <t>b) Controls Only: select this when you are adding controls to existing fixtures.</t>
  </si>
  <si>
    <r>
      <t xml:space="preserve">c) Decommissioning: select this when you are removing existing fixtures and </t>
    </r>
    <r>
      <rPr>
        <u/>
        <sz val="11"/>
        <color theme="1"/>
        <rFont val="Calibri"/>
        <family val="2"/>
      </rPr>
      <t>not</t>
    </r>
    <r>
      <rPr>
        <sz val="11"/>
        <color theme="1"/>
        <rFont val="Calibri"/>
        <family val="2"/>
      </rPr>
      <t xml:space="preserve"> replacing them.</t>
    </r>
  </si>
  <si>
    <t>Decommissioning fixtures</t>
  </si>
  <si>
    <r>
      <t xml:space="preserve">1. If you are removing </t>
    </r>
    <r>
      <rPr>
        <u/>
        <sz val="11"/>
        <color theme="1"/>
        <rFont val="Calibri"/>
        <family val="2"/>
      </rPr>
      <t>all</t>
    </r>
    <r>
      <rPr>
        <sz val="11"/>
        <color theme="1"/>
        <rFont val="Calibri"/>
        <family val="2"/>
      </rPr>
      <t xml:space="preserve"> fixtures from a space, 1) select the measure type 'Decommissioning' and 2) enter the fixture information in the "Existing Fixtures" section.</t>
    </r>
  </si>
  <si>
    <t>2. If you are removing some fixtures and replacing them with a fewer number of new fixtures, 1) select the measure type 'Fixtures' and 2) fill in both the "Existing Fixtures" and "Proposed Fixtures" sections.</t>
  </si>
  <si>
    <t>Existing Fixture Wattage</t>
  </si>
  <si>
    <r>
      <t xml:space="preserve">1. Please enter the lamp or fixture wattage </t>
    </r>
    <r>
      <rPr>
        <u/>
        <sz val="11"/>
        <color theme="1"/>
        <rFont val="Calibri"/>
        <family val="2"/>
      </rPr>
      <t>without</t>
    </r>
    <r>
      <rPr>
        <sz val="11"/>
        <color theme="1"/>
        <rFont val="Calibri"/>
        <family val="2"/>
      </rPr>
      <t xml:space="preserve"> the ballast factor.</t>
    </r>
  </si>
  <si>
    <t>If the cell turned pink, it means the wattage is invalid. Please select a wattage from the dropdown list or, for LED fixtures, type in the wattage per unit.</t>
  </si>
  <si>
    <t>Proposed Fixture Wattage</t>
  </si>
  <si>
    <t>1. Please enter wattage per unit.</t>
  </si>
  <si>
    <t>Examples of units include tubes and modules.</t>
  </si>
  <si>
    <t>Number of Lamps (or Units) per Fixture</t>
  </si>
  <si>
    <t>1. If the number of lamps (or units) per fixture is 1, you must enter 1.</t>
  </si>
  <si>
    <t>The formulas interpret blank cells as zero, and the kWh savings will be wrong if cells are left blank.</t>
  </si>
  <si>
    <t>Quantity of Fixture</t>
  </si>
  <si>
    <t>1. If the quantity of fixtures is 1, you must enter 1.</t>
  </si>
  <si>
    <t>Controls</t>
  </si>
  <si>
    <t>1. If you are installing only controls, select the measure type 'Controls Only' and fill in the "Existing Fixtures" section for the fixtures to which the controls are being applied and then fill in the "Controls" section.</t>
  </si>
  <si>
    <t>2. Please enter a quantity that is less than or equal to the fixture quantity.</t>
  </si>
  <si>
    <t>If the cell turned pink after you entered the controls quantity, it means the quantity is greater than the proposed fixture quantity or, for a 'Controls Only' measure, that the quantity is greater than the existing fixture quantity. Please correct the fixture or controls quantity to resolve the issue.</t>
  </si>
  <si>
    <t>3. If you are installing controls on an exterior fixture, please describe them in the "Line Item Comments" column.</t>
  </si>
  <si>
    <t>Controls on exterior lighting are allowed only if they are occupancy sensors or if they will step down the fixture output based on a time clock. (Photocells are a code requirement for exterior fixtures and do not qualify for an incentive.)</t>
  </si>
  <si>
    <t>More about incentives</t>
  </si>
  <si>
    <t>1. The phrase "Uncapped Incentive" means the amount shown has not yet been adjusted for TPU program parameters.</t>
  </si>
  <si>
    <t>For example, for a customer with the "General (G)" rate class, if the total "Uncapped Incentive" amount exceeds 60% of the project cost, then the estimated capped incentive amount will be 60% of the project cost.</t>
  </si>
  <si>
    <t xml:space="preserve">2. Please see the "Project Summary" tab for the estimated capped project incentive. </t>
  </si>
  <si>
    <t>Project Summary tab</t>
  </si>
  <si>
    <t>1. There is no data entry on this tab.</t>
  </si>
  <si>
    <t>It shows grand totals of project's estimated incentive payout amount, estimated kWh savings, and estimated return on investment.</t>
  </si>
  <si>
    <t>The tab is formatted to print.</t>
  </si>
  <si>
    <t>Measure Summary tab</t>
  </si>
  <si>
    <t>It shows the sum of the uncapped estimated incentive and the sum of the estimated kWh savings by fixture type and control type.</t>
  </si>
  <si>
    <t>Walkthrough tab</t>
  </si>
  <si>
    <t>1. Please print this tab as needed.</t>
  </si>
  <si>
    <t>It shows the measures in a condensed layout.</t>
  </si>
  <si>
    <t>It's intended to be used on walkthrough inspections.</t>
  </si>
  <si>
    <t>Fixture Review tab</t>
  </si>
  <si>
    <t>It shows counts of controls, counts of decommissioned existing fixtures, and counts of proposed fixtures grouped by manufacturer and model number.</t>
  </si>
  <si>
    <t>It's intended to be used when checking this application against invoices.</t>
  </si>
  <si>
    <t>DIY Summary tab</t>
  </si>
  <si>
    <t>1. Change the pivot table as desired to help you review the information that you entered on the "Measures" tab.</t>
  </si>
  <si>
    <t>2. Please refresh the table after you make changes to the "Measures" tab.</t>
  </si>
  <si>
    <t>TPU Data Entry tab</t>
  </si>
  <si>
    <t>1. This is for Tacoma Power's use only.</t>
  </si>
  <si>
    <t>TPU staff, please enter the sector that the project belongs under and enter the project's DSMC number.</t>
  </si>
  <si>
    <t>Other tabs</t>
  </si>
  <si>
    <t>1. Other tabs contain supplemental information and are for reference only.</t>
  </si>
  <si>
    <t>Acronyms and Abbreviations</t>
  </si>
  <si>
    <t>Go to the "Abbreviations" tab for an explanation of the acronyms and abbreviations used in the application.</t>
  </si>
  <si>
    <t>Color Coding Used in the Application</t>
  </si>
  <si>
    <t>Cell Color</t>
  </si>
  <si>
    <t>Blue are required.</t>
  </si>
  <si>
    <t>Orange are optional.</t>
  </si>
  <si>
    <t>Dark gray are not needed for the measure.</t>
  </si>
  <si>
    <t>Pink indicates there is a problem with the data entry.</t>
  </si>
  <si>
    <t>Tab Color</t>
  </si>
  <si>
    <t>Blue are for trade allies and/or customers to fill in.</t>
  </si>
  <si>
    <t>Green summarize the blue tabs.</t>
  </si>
  <si>
    <t>Purple is for Tacoma Power staff to fill in.</t>
  </si>
  <si>
    <t>No color is supplemental information.</t>
  </si>
  <si>
    <t>Orange is behind-the-scenes, not for display.</t>
  </si>
  <si>
    <t>Red is behind-the-scenes system administrator documentation, not for display.</t>
  </si>
  <si>
    <t>Contact Information</t>
  </si>
  <si>
    <t>Go to instructions.</t>
  </si>
  <si>
    <t>Project Name</t>
  </si>
  <si>
    <t>Customer Project Contact</t>
  </si>
  <si>
    <t>Company Name</t>
  </si>
  <si>
    <t>Address</t>
  </si>
  <si>
    <t>City</t>
  </si>
  <si>
    <t>State</t>
  </si>
  <si>
    <t>Zip Code</t>
  </si>
  <si>
    <t>Contact Name</t>
  </si>
  <si>
    <t>Contact Email</t>
  </si>
  <si>
    <t>Contact Phone</t>
  </si>
  <si>
    <t>Person Signing Agreement – if other than the Customer Project Contact</t>
  </si>
  <si>
    <t>Signer's Name</t>
  </si>
  <si>
    <t>Signer's Email</t>
  </si>
  <si>
    <t>Signer's Phone (optional)</t>
  </si>
  <si>
    <t>Trade Ally Project Contact</t>
  </si>
  <si>
    <t>Enter “Self-install” if the work is being completed in-house.</t>
  </si>
  <si>
    <t>Tacoma Power Project Contact</t>
  </si>
  <si>
    <t>Tacoma Power will fill in this information.</t>
  </si>
  <si>
    <t>Ryan Kim</t>
  </si>
  <si>
    <t>Site Information</t>
  </si>
  <si>
    <t>Installation Site</t>
  </si>
  <si>
    <t>Site Name</t>
  </si>
  <si>
    <t>Site Address</t>
  </si>
  <si>
    <t>Site City</t>
  </si>
  <si>
    <t>Site State</t>
  </si>
  <si>
    <t>Site Zip Code</t>
  </si>
  <si>
    <t>Building Type</t>
  </si>
  <si>
    <t>Office 20,000 to 100,000 sf</t>
  </si>
  <si>
    <t>Rate Class</t>
  </si>
  <si>
    <t>High Voltage (HVG)</t>
  </si>
  <si>
    <t>Estimated Project Cost</t>
  </si>
  <si>
    <t>Additional Project Information (optional)</t>
  </si>
  <si>
    <t>Spaces and Hours</t>
  </si>
  <si>
    <r>
      <t xml:space="preserve">If you change the space type or description </t>
    </r>
    <r>
      <rPr>
        <b/>
        <sz val="11"/>
        <color rgb="FFC00000"/>
        <rFont val="Calibri"/>
        <family val="2"/>
      </rPr>
      <t>AFTER</t>
    </r>
    <r>
      <rPr>
        <sz val="11"/>
        <color rgb="FFC00000"/>
        <rFont val="Calibri"/>
        <family val="2"/>
      </rPr>
      <t xml:space="preserve"> you have used it on the "Measures" tab, you </t>
    </r>
    <r>
      <rPr>
        <b/>
        <sz val="11"/>
        <color rgb="FFC00000"/>
        <rFont val="Calibri"/>
        <family val="2"/>
      </rPr>
      <t>MUST</t>
    </r>
    <r>
      <rPr>
        <sz val="11"/>
        <color rgb="FFC00000"/>
        <rFont val="Calibri"/>
        <family val="2"/>
      </rPr>
      <t xml:space="preserve"> reselect the space on the "Measures" tab so that the savings and incentive recalculate.</t>
    </r>
  </si>
  <si>
    <t>Space and HVAC</t>
  </si>
  <si>
    <t>Operating Hours per Day and Weeks per Year</t>
  </si>
  <si>
    <t>Additional Information</t>
  </si>
  <si>
    <t>HVAC</t>
  </si>
  <si>
    <t>Space and HVAC Helpers</t>
  </si>
  <si>
    <t>Admin note to self: Keep this column outside the table.</t>
  </si>
  <si>
    <t>Row</t>
  </si>
  <si>
    <t>Space Type</t>
  </si>
  <si>
    <t>Space Description</t>
  </si>
  <si>
    <t>Heating Type</t>
  </si>
  <si>
    <t>Cooling Type</t>
  </si>
  <si>
    <t>Sunday</t>
  </si>
  <si>
    <t>Monday</t>
  </si>
  <si>
    <t>Tuesday</t>
  </si>
  <si>
    <t>Wednesday</t>
  </si>
  <si>
    <t>Thursday</t>
  </si>
  <si>
    <t>Friday</t>
  </si>
  <si>
    <t>Saturday</t>
  </si>
  <si>
    <t>Weeks per Year</t>
  </si>
  <si>
    <t>Weekly Hours</t>
  </si>
  <si>
    <t>Annual Hours</t>
  </si>
  <si>
    <t>Additional Space Information (optional)</t>
  </si>
  <si>
    <t>HVAC Factor</t>
  </si>
  <si>
    <t>Space Conditioning Type Lookup Helper</t>
  </si>
  <si>
    <t>HVAC Factor Lookup Helper</t>
  </si>
  <si>
    <t>Space Name Concatenated Helper</t>
  </si>
  <si>
    <t>Unique Space Helper</t>
  </si>
  <si>
    <t>Space Name Concatenated Blank Rows Removed Helper</t>
  </si>
  <si>
    <t>SPACE_INDEX</t>
  </si>
  <si>
    <t>SPACE_TYPE</t>
  </si>
  <si>
    <t>SPACE_DESCRIPTION</t>
  </si>
  <si>
    <t>HEATING_TYPE</t>
  </si>
  <si>
    <t>COOLING_TYPE</t>
  </si>
  <si>
    <t>SUNDAY_HOURS</t>
  </si>
  <si>
    <t>MONDAY_HOURS</t>
  </si>
  <si>
    <t>TUESDAY_HOURS</t>
  </si>
  <si>
    <t>WEDNESDAY_HOURS</t>
  </si>
  <si>
    <t>THURSDAY_HOURS</t>
  </si>
  <si>
    <t>FRIDAY_HOURS</t>
  </si>
  <si>
    <t>SATURDAY_HOURS</t>
  </si>
  <si>
    <t>WEEKS_PER_YEAR</t>
  </si>
  <si>
    <t>WEEKLY_HOURS</t>
  </si>
  <si>
    <t>ANNUAL_HOURS</t>
  </si>
  <si>
    <t>ADDITIONAL_SPACE_INFORMATION</t>
  </si>
  <si>
    <t>HVAC_FACTOR</t>
  </si>
  <si>
    <t>SPACE_CONDITIONING_TYPE_LOOKUP_HELPER</t>
  </si>
  <si>
    <t>HVAC_FACTOR_LOOKUP_HELPER</t>
  </si>
  <si>
    <t>SPACE_NAME_CONCATENATED_HELPER</t>
  </si>
  <si>
    <t>UNIQUE_SPACE_HELPER</t>
  </si>
  <si>
    <t>SPACE_NAME_CONCATENATED_BLANK_ROWS_REMOVED_HELPER</t>
  </si>
  <si>
    <t>Exterior</t>
  </si>
  <si>
    <t>Dusk to Dawn</t>
  </si>
  <si>
    <t>No heating</t>
  </si>
  <si>
    <t>No cooling</t>
  </si>
  <si>
    <t>Conference</t>
  </si>
  <si>
    <t>Gas, oil, or biomass</t>
  </si>
  <si>
    <t>AC or heat pump</t>
  </si>
  <si>
    <t>Private Office</t>
  </si>
  <si>
    <t>Hallway</t>
  </si>
  <si>
    <t>Open Office</t>
  </si>
  <si>
    <t>Restroom</t>
  </si>
  <si>
    <t>Lobby</t>
  </si>
  <si>
    <t>Technical Area</t>
  </si>
  <si>
    <t>Storage</t>
  </si>
  <si>
    <t>Exterior - Other</t>
  </si>
  <si>
    <t>Electric heat pump</t>
  </si>
  <si>
    <t>Gymnasium</t>
  </si>
  <si>
    <t>Hospital Room</t>
  </si>
  <si>
    <t>Break Room</t>
  </si>
  <si>
    <t>Public Assembly</t>
  </si>
  <si>
    <t xml:space="preserve">All incentive amounts shown are unadjusted for TPU program parameters; see the "Project Summary" tab for estimated project incentive. </t>
  </si>
  <si>
    <t>Space</t>
  </si>
  <si>
    <t>Installation</t>
  </si>
  <si>
    <t>Existing Fixture</t>
  </si>
  <si>
    <t>Proposed Fixture</t>
  </si>
  <si>
    <t>Comments</t>
  </si>
  <si>
    <t>Grand Total kWh Savings</t>
  </si>
  <si>
    <t>Fixture Savings and Incentive Details</t>
  </si>
  <si>
    <t>Controls Savings and Incentive Details</t>
  </si>
  <si>
    <t>Space Details</t>
  </si>
  <si>
    <t>Existing Fixture Details</t>
  </si>
  <si>
    <t>Proposed Fixture Details</t>
  </si>
  <si>
    <t>Space Helpers</t>
  </si>
  <si>
    <t>Display Helpers</t>
  </si>
  <si>
    <t>Existing Fixture Helpers</t>
  </si>
  <si>
    <t>Proposed Fixture Helpers</t>
  </si>
  <si>
    <t>Fixture Incentive Helpers</t>
  </si>
  <si>
    <t>Controls Incentive and kWh Savings Helpers</t>
  </si>
  <si>
    <t>BPA Ref. No. Helpers</t>
  </si>
  <si>
    <t>Missing Information Helpers</t>
  </si>
  <si>
    <t>Check for Missing Information</t>
  </si>
  <si>
    <t>Measure Type</t>
  </si>
  <si>
    <t>Class</t>
  </si>
  <si>
    <t>Category</t>
  </si>
  <si>
    <t>Subcategory</t>
  </si>
  <si>
    <t>Wattage per Lamp</t>
  </si>
  <si>
    <t>Number of Lamps per Fixture</t>
  </si>
  <si>
    <t>Quantity of Fixtures</t>
  </si>
  <si>
    <t>Wattage per Unit</t>
  </si>
  <si>
    <t>Number of Units per Fixture</t>
  </si>
  <si>
    <t>Manufacturer</t>
  </si>
  <si>
    <t>Model Number</t>
  </si>
  <si>
    <t>Control Type</t>
  </si>
  <si>
    <t>Quantity</t>
  </si>
  <si>
    <t>% Wattage Reduced</t>
  </si>
  <si>
    <t>% Hours Reduced</t>
  </si>
  <si>
    <t>Line Item Comments (optional)</t>
  </si>
  <si>
    <t>kWh Site Savings</t>
  </si>
  <si>
    <t>kWh Savings Percentage</t>
  </si>
  <si>
    <t>Details &gt;&gt;&gt;&gt;</t>
  </si>
  <si>
    <t>Fixture kWh Site Savings</t>
  </si>
  <si>
    <t>Fixture kWh Savings Percentage</t>
  </si>
  <si>
    <t>Fixture Uncapped Incentive</t>
  </si>
  <si>
    <t>Controls kWh Site Savings</t>
  </si>
  <si>
    <t>Controls kWh Savings Percentage</t>
  </si>
  <si>
    <t>Controls Uncapped Incentive</t>
  </si>
  <si>
    <t>Fixture Wattage</t>
  </si>
  <si>
    <t>kWh Site Consumption</t>
  </si>
  <si>
    <t>Space Row Number Helper</t>
  </si>
  <si>
    <t>Row Condition Display Helper</t>
  </si>
  <si>
    <t>Ballast Factor Lookup Helper</t>
  </si>
  <si>
    <t>Ballast Factor Helper</t>
  </si>
  <si>
    <t>Wattage Range Name Lookup Helper</t>
  </si>
  <si>
    <t>Wattage Helper</t>
  </si>
  <si>
    <t>Count of Fixtures Helper</t>
  </si>
  <si>
    <t>Manufacturer Model Helper</t>
  </si>
  <si>
    <t>Incentive Name Helper</t>
  </si>
  <si>
    <t>Incentive Rate Lookup Helper</t>
  </si>
  <si>
    <t>Incentive Unit Lookup Helper</t>
  </si>
  <si>
    <t>Uncapped Incentive Helper</t>
  </si>
  <si>
    <t>kWh Site Savings Helper</t>
  </si>
  <si>
    <t>Fixture Commercial BPA Ref No Lookup Helper</t>
  </si>
  <si>
    <t>Fixture Industrial BPA Ref No Lookup Helper</t>
  </si>
  <si>
    <t>Fixture
BPA Ref. No.</t>
  </si>
  <si>
    <t>Controls
BPA Ref. No.</t>
  </si>
  <si>
    <t>Existing Fixture Missing Info Helper</t>
  </si>
  <si>
    <t>Proposed Fixure Missing Info Helper</t>
  </si>
  <si>
    <t>Controls Missing Info Helper</t>
  </si>
  <si>
    <t>Data Entry Check &gt;&gt;&gt;&gt;</t>
  </si>
  <si>
    <t>Grand Total  &gt;&gt;&gt;</t>
  </si>
  <si>
    <t>MEASURE_INDEX</t>
  </si>
  <si>
    <t>SPACE_NAME</t>
  </si>
  <si>
    <t>MEASURE_TYPE</t>
  </si>
  <si>
    <t>EXISTING_FIXTURE_CLASS</t>
  </si>
  <si>
    <t>EXISTING_FIXTURE_CATEGORY</t>
  </si>
  <si>
    <t>EXISTING_FIXTURE_SUBCATEGORY</t>
  </si>
  <si>
    <t>EXISTING_FIXTURE_LAMP_WATTAGE</t>
  </si>
  <si>
    <t>EXISTING_FIXTURE_LAMPS_PER_FIXTURE</t>
  </si>
  <si>
    <t>EXISTING_FIXTURE_QUANTITY</t>
  </si>
  <si>
    <t>PROPOSED_FIXTURE_CLASS</t>
  </si>
  <si>
    <t>PROPOSED_FIXTURE_CATEGORY</t>
  </si>
  <si>
    <t>PROPOSED_FIXTURE_SUBCATEGORY</t>
  </si>
  <si>
    <t>PROPOSED_FIXTURE_INSERT_WATTAGE</t>
  </si>
  <si>
    <t>PROPOSED_FIXTURE_INSERTS_PER_FIXTURE</t>
  </si>
  <si>
    <t>PROPOSED_FIXTURE_QUANTITY</t>
  </si>
  <si>
    <t>PROPOSED_MANUFACTURER</t>
  </si>
  <si>
    <t>PROPOSED_MODEL_NUMBER</t>
  </si>
  <si>
    <t>CONTROL_TYPE</t>
  </si>
  <si>
    <t>CONTROL_QUANTITY</t>
  </si>
  <si>
    <t>CONTROL_PERCENT_WATTAGE_REDUCED</t>
  </si>
  <si>
    <t>CONTROL_PERCENT_HOURS_REDUCED</t>
  </si>
  <si>
    <t>MEASURES_COMMENTS</t>
  </si>
  <si>
    <t>GRAND_TOTAL_KWH_SITE_SAVINGS</t>
  </si>
  <si>
    <t>GRAND_TOTAL_KWH_SAVINGS_PERCENTAGE</t>
  </si>
  <si>
    <t>BLANK_1</t>
  </si>
  <si>
    <t>FIXTURE_KWH_SITE_SAVINGS</t>
  </si>
  <si>
    <t>FIXTURE_KWH_SAVINGS_PERCENTAGE</t>
  </si>
  <si>
    <t>FIXTURE_UNCAPPED_INCENTIVE</t>
  </si>
  <si>
    <t>CONTROLS_KWH_SITE_SAVINGS</t>
  </si>
  <si>
    <t>CONTROLS_KWH_SAVINGS_PERCENTAGE</t>
  </si>
  <si>
    <t>CONTROLS_UNCAPPED_INCENTIVE</t>
  </si>
  <si>
    <t>EXISTING_FIXTURE_WATTAGE</t>
  </si>
  <si>
    <t>EXISTING_FIXTURE_KWH_SITE_CONSUMPTION</t>
  </si>
  <si>
    <t>PROPOSED_FIXTURE_WATTAGE</t>
  </si>
  <si>
    <t>PROPOSED_FIXTURE_KWH_SITE_CONSUMPTION</t>
  </si>
  <si>
    <t>ROW_CONDITION_DISPLAY_HELPER</t>
  </si>
  <si>
    <t>EXISTING_FIXTURE_BALLAST_FACTOR_LOOKUP_HELPER</t>
  </si>
  <si>
    <t>EXISTING_FIXTURE_BALLAST_FACTOR</t>
  </si>
  <si>
    <t>EXISTING_FIXTURE_WATTAGE_LOOKUP_HELPER</t>
  </si>
  <si>
    <t>EXISTING_FIXTURE_WATTAGE_HELPER</t>
  </si>
  <si>
    <t>PROPOSED_COUNT_OF_FIXTURES_HELPER</t>
  </si>
  <si>
    <t>PROPOSED_MANUFACTURER_MODEL_HELPER</t>
  </si>
  <si>
    <t>FIXTURE_INCENTIVE_NAME_HELPER</t>
  </si>
  <si>
    <t>FIXTURE_INCENTIVE_RATE_LOOKUP_HELPER</t>
  </si>
  <si>
    <t>FIXTURE_INCENTIVE_UNIT_LOOKUP_HELPER</t>
  </si>
  <si>
    <t>FIXTURE_INCENTIVE_UNCAPPED_HELPER</t>
  </si>
  <si>
    <t>CONTROLS_INCENTIVE_NAME_HELPER</t>
  </si>
  <si>
    <t>CONTROLS_INCENTIVE_RATE_LOOKUP_HELPER</t>
  </si>
  <si>
    <t>CONTROLS_INCENTIVE_UNIT_LOOKUP_HELPER</t>
  </si>
  <si>
    <t>FIXTURE_COMMERCIAL_BPA_REF_NO_LOOKUP_HELPER</t>
  </si>
  <si>
    <t>FIXTURE_INDUSTRIAL_BPA_REF_NO_LOOKUP_HELPER</t>
  </si>
  <si>
    <t>FIXTURE_BPA_REFERENCE_NUMBER</t>
  </si>
  <si>
    <t>CONTROLS_BPA_REFERENCE_NUMBER</t>
  </si>
  <si>
    <t>NOT_FOR_SNOWFLAKE_1</t>
  </si>
  <si>
    <t>NOT_FOR_SNOWFLAKE_2</t>
  </si>
  <si>
    <t>NOT_FOR_SNOWFLAKE_3</t>
  </si>
  <si>
    <t>BLANK_2</t>
  </si>
  <si>
    <t>NOT_FOR_SNOWFLAKE_4</t>
  </si>
  <si>
    <t>NOT_FOR_SNOWFLAKE_5</t>
  </si>
  <si>
    <t>NOT_FOR_SNOWFLAKE_6</t>
  </si>
  <si>
    <t>Fixtures</t>
  </si>
  <si>
    <t>T12</t>
  </si>
  <si>
    <t>6 ft</t>
  </si>
  <si>
    <t>VHO Lamp w/ Mag. Ballast</t>
  </si>
  <si>
    <t>LED</t>
  </si>
  <si>
    <t>General Indoor / Outdoor</t>
  </si>
  <si>
    <t>Standard</t>
  </si>
  <si>
    <t>Occupancy Sensor</t>
  </si>
  <si>
    <t>5 ft</t>
  </si>
  <si>
    <t>HO Lamp w/ Mag. Ballast</t>
  </si>
  <si>
    <t>T8</t>
  </si>
  <si>
    <t>Irregular Size</t>
  </si>
  <si>
    <t>3 ft</t>
  </si>
  <si>
    <t>Multi-function</t>
  </si>
  <si>
    <t>4 ft</t>
  </si>
  <si>
    <t>NLO Ballast</t>
  </si>
  <si>
    <t>Tube</t>
  </si>
  <si>
    <t>Line Voltage (Type B)</t>
  </si>
  <si>
    <t>No Controls</t>
  </si>
  <si>
    <t>CFL</t>
  </si>
  <si>
    <t>Hard-Wired or GU-24</t>
  </si>
  <si>
    <t>1 to 24 W</t>
  </si>
  <si>
    <t>Small Lamp / Fixture</t>
  </si>
  <si>
    <t>Retrofit Can</t>
  </si>
  <si>
    <t>HID</t>
  </si>
  <si>
    <t>HPS</t>
  </si>
  <si>
    <t>Mag. Ballast</t>
  </si>
  <si>
    <t>High Bay</t>
  </si>
  <si>
    <t>Wall Pack</t>
  </si>
  <si>
    <t>Decommissioning</t>
  </si>
  <si>
    <t>Controls Only</t>
  </si>
  <si>
    <t>Networked Controls</t>
  </si>
  <si>
    <t>9 ft</t>
  </si>
  <si>
    <t>Exit Sign</t>
  </si>
  <si>
    <t>New Fixture or Retrofit kit</t>
  </si>
  <si>
    <t>Ft 10</t>
  </si>
  <si>
    <t>Lighting Sold by the Foot</t>
  </si>
  <si>
    <t>Any Type (excl. signage)</t>
  </si>
  <si>
    <t>HID Screw-in Replacement</t>
  </si>
  <si>
    <t>Ballast Compatible (Type A)</t>
  </si>
  <si>
    <t>Floodlight</t>
  </si>
  <si>
    <t>Yard/Barn</t>
  </si>
  <si>
    <t>Slimline w/ Mag. Ballast</t>
  </si>
  <si>
    <r>
      <t>Project Summary</t>
    </r>
    <r>
      <rPr>
        <sz val="22"/>
        <color theme="1"/>
        <rFont val="Calibri"/>
        <family val="2"/>
      </rPr>
      <t xml:space="preserve"> </t>
    </r>
  </si>
  <si>
    <t>Customer Contact</t>
  </si>
  <si>
    <t>Trade Ally Contact</t>
  </si>
  <si>
    <t>Incentive and Project Cost</t>
  </si>
  <si>
    <t>Return on Investment</t>
  </si>
  <si>
    <t>Estimated Incentive*</t>
  </si>
  <si>
    <r>
      <t xml:space="preserve">Estimated Yearly Energy Cost Savings
</t>
    </r>
    <r>
      <rPr>
        <sz val="9"/>
        <color theme="1"/>
        <rFont val="Calibri"/>
        <family val="2"/>
      </rPr>
      <t>(kWh site savings x average energy cost)</t>
    </r>
  </si>
  <si>
    <r>
      <t xml:space="preserve">Estimated Yearly O&amp;M Savings
</t>
    </r>
    <r>
      <rPr>
        <sz val="9"/>
        <color theme="1"/>
        <rFont val="Calibri"/>
        <family val="2"/>
      </rPr>
      <t>(project cost x O&amp;M percent)</t>
    </r>
  </si>
  <si>
    <r>
      <t xml:space="preserve">Customer Out-of-Pocket Cost
</t>
    </r>
    <r>
      <rPr>
        <sz val="9"/>
        <color theme="1"/>
        <rFont val="Calibri"/>
        <family val="2"/>
      </rPr>
      <t>(project cost - incentive)</t>
    </r>
  </si>
  <si>
    <r>
      <rPr>
        <sz val="11"/>
        <color rgb="FF000000"/>
        <rFont val="Calibri"/>
        <family val="2"/>
      </rPr>
      <t xml:space="preserve">Estimated Simple Payback in Years
</t>
    </r>
    <r>
      <rPr>
        <sz val="9"/>
        <color rgb="FF000000"/>
        <rFont val="Calibri"/>
        <family val="2"/>
      </rPr>
      <t>(out-of-pocket cost / (yr. energy cost saved + O&amp;M saved))</t>
    </r>
  </si>
  <si>
    <r>
      <t xml:space="preserve">Estimated Incentive as Percentage of Project Cost
</t>
    </r>
    <r>
      <rPr>
        <sz val="9"/>
        <color theme="1"/>
        <rFont val="Calibri"/>
        <family val="2"/>
      </rPr>
      <t>(incentive / project cost)</t>
    </r>
  </si>
  <si>
    <r>
      <rPr>
        <sz val="11"/>
        <color rgb="FF000000"/>
        <rFont val="Calibri"/>
        <family val="2"/>
      </rPr>
      <t xml:space="preserve">Simple Return on Investment (ROI)
</t>
    </r>
    <r>
      <rPr>
        <sz val="9"/>
        <color rgb="FF000000"/>
        <rFont val="Calibri"/>
        <family val="2"/>
      </rPr>
      <t>(1/simple payback)</t>
    </r>
  </si>
  <si>
    <t>kWh Savings</t>
  </si>
  <si>
    <t>Cost of Deferring Energy Efficiency Improvements (energy + O&amp;M)</t>
  </si>
  <si>
    <t>Estimated kWh Site Savings</t>
  </si>
  <si>
    <t>Time</t>
  </si>
  <si>
    <t>Costs</t>
  </si>
  <si>
    <r>
      <t xml:space="preserve">kWh Savings Percentage
</t>
    </r>
    <r>
      <rPr>
        <sz val="9"/>
        <color theme="1"/>
        <rFont val="Calibri"/>
        <family val="2"/>
      </rPr>
      <t>(kWh site savings / existing kWh consumption)</t>
    </r>
  </si>
  <si>
    <t>6 Months</t>
  </si>
  <si>
    <t>1 Year</t>
  </si>
  <si>
    <t>3 Years</t>
  </si>
  <si>
    <t>This project is pending TPU approval. All figures should be considered estimates.</t>
  </si>
  <si>
    <t>5 Years</t>
  </si>
  <si>
    <t>Supporting Values (used in calculations above)</t>
  </si>
  <si>
    <t>Tacoma Power Contact</t>
  </si>
  <si>
    <t>Annual O&amp;M Savings Percentage of Project Cost</t>
  </si>
  <si>
    <t>Details of the Estimated Incentive (used in calculations above)</t>
  </si>
  <si>
    <t>kWh Savings by Type (used in formulas at left)</t>
  </si>
  <si>
    <t>Exit Sign Fix. Incentive Adj. for Negative kWh Savings</t>
  </si>
  <si>
    <t>Tube Fix. Incentive Adj. for Negative kWh Savings</t>
  </si>
  <si>
    <t>All Other Fix. Incentive Adj. for Negative kWh Sav.</t>
  </si>
  <si>
    <t>All Other Fixture Types, including Decommissioning</t>
  </si>
  <si>
    <t>Fixture Incentive Adjusted</t>
  </si>
  <si>
    <t>Total Fixture kWh Savings</t>
  </si>
  <si>
    <t>Controls Incentive</t>
  </si>
  <si>
    <t>Total Control kWh Savings</t>
  </si>
  <si>
    <t>Uncapped Incentive (Adj. Fixture + Controls)</t>
  </si>
  <si>
    <t>Total Estimated kWh Savings</t>
  </si>
  <si>
    <t>Max. Possible Incentive based on % of Project Cost</t>
  </si>
  <si>
    <t>Percentage of Project Cost Cap</t>
  </si>
  <si>
    <t>Incentive Rate Per kWh Saved</t>
  </si>
  <si>
    <t>Measures Summary</t>
  </si>
  <si>
    <t>Uncapped Incentive</t>
  </si>
  <si>
    <t>Count of Rows on "Measures" Tab that Have This Measure</t>
  </si>
  <si>
    <r>
      <t xml:space="preserve">BPA Ref. No.
</t>
    </r>
    <r>
      <rPr>
        <sz val="9"/>
        <color theme="1"/>
        <rFont val="Calibri"/>
        <family val="2"/>
      </rPr>
      <t>(Tacoma Power Use Only)</t>
    </r>
  </si>
  <si>
    <t>Grand Total</t>
  </si>
  <si>
    <t>MEASURE_SUMMARY_INDEX</t>
  </si>
  <si>
    <t>MEASURE_SUMMARY_CLASS</t>
  </si>
  <si>
    <t>MEASURE_SUMMARY_CATEGORY</t>
  </si>
  <si>
    <t>MEASURE_SUMMARY_KWH_SITE_SAVINGS</t>
  </si>
  <si>
    <t>MEASURE_SUMMARY_QUANTITY</t>
  </si>
  <si>
    <t>MEASURE_SUMMARY_UNCAPPED_INCENTIVE</t>
  </si>
  <si>
    <t>MEASURE_SUMMARY_COUNT_OF_ROWS_ON_MEASURES_PAGE_THAT_HAVE_THIS_MEASURE</t>
  </si>
  <si>
    <t>MEASURE_SUMMARY_BPA_REFERENCE_NUMBER</t>
  </si>
  <si>
    <t>Walkthrough</t>
  </si>
  <si>
    <t>Install.</t>
  </si>
  <si>
    <t>Helper</t>
  </si>
  <si>
    <t>Space &amp; Comments</t>
  </si>
  <si>
    <r>
      <t xml:space="preserve">Existing Fixture
</t>
    </r>
    <r>
      <rPr>
        <sz val="12"/>
        <color theme="1"/>
        <rFont val="Calibri"/>
        <family val="2"/>
      </rPr>
      <t>(Class - Category - Subcategory)</t>
    </r>
  </si>
  <si>
    <t>Watts / Lamp</t>
  </si>
  <si>
    <t>Lamps / Fix.</t>
  </si>
  <si>
    <t>Qty. of Fix.</t>
  </si>
  <si>
    <r>
      <t xml:space="preserve">Proposed Fixture
</t>
    </r>
    <r>
      <rPr>
        <sz val="12"/>
        <color theme="1"/>
        <rFont val="Calibri"/>
        <family val="2"/>
      </rPr>
      <t>(Category - Subcategory)</t>
    </r>
  </si>
  <si>
    <t>Watts / Unit</t>
  </si>
  <si>
    <t>Units / Fix.</t>
  </si>
  <si>
    <t>Manufacturer &amp; Model Number</t>
  </si>
  <si>
    <t>Qty.</t>
  </si>
  <si>
    <t>Is Space Populated Helper</t>
  </si>
  <si>
    <t>Fixtures and Controls Review</t>
  </si>
  <si>
    <t>Note: For proposed LED tubes, the quantity is calculated as number of tubes per fixture x quantity of fixtures.</t>
  </si>
  <si>
    <t>Measure</t>
  </si>
  <si>
    <t>Total  &gt;&gt;&gt;</t>
  </si>
  <si>
    <t>Proposed Fixture Manufacturer and Model Number</t>
  </si>
  <si>
    <t>&lt;--Admin note to self: this row is collapsed because--unless a customer fills in all 500 rows on the "Measures" tab--it will always be blank.</t>
  </si>
  <si>
    <t>&lt;--End of the "Proposed Fixture Manufacturer and Model Number" list.</t>
  </si>
  <si>
    <t>DIY Summary</t>
  </si>
  <si>
    <t>Tacoma Power note to self: Do not protect this sheet. It needs to remain unprotected so that users can refresh the table.</t>
  </si>
  <si>
    <t>1. Change the below pivot table as desired to help you review the information you entered on the "Measures" tab.</t>
  </si>
  <si>
    <t>Note: the "MEASURE_INDEX" field in this pivot table is the same as the "Row" column on the "Measures" tab.</t>
  </si>
  <si>
    <t>Row Labels</t>
  </si>
  <si>
    <t>Sum of PROPOSED_FIXTURE_QUANTITY</t>
  </si>
  <si>
    <t>(blank)</t>
  </si>
  <si>
    <t>Tacoma Power Use Only</t>
  </si>
  <si>
    <t>Please fill in the blue cells.</t>
  </si>
  <si>
    <t>Sector</t>
  </si>
  <si>
    <t>DSMC Project Number</t>
  </si>
  <si>
    <t>File Name</t>
  </si>
  <si>
    <t>SECTOR</t>
  </si>
  <si>
    <t>DSMC_PROJECT NUMBER</t>
  </si>
  <si>
    <t>FILE_NAME</t>
  </si>
  <si>
    <t>Commercial</t>
  </si>
  <si>
    <t>For data entry into DSMC</t>
  </si>
  <si>
    <t>Note: theses cells populate when the above sector and DSMC project number cells are filled in.</t>
  </si>
  <si>
    <t>Project Cost</t>
  </si>
  <si>
    <t>Capped Incentive</t>
  </si>
  <si>
    <t>Measures Summary Prep</t>
  </si>
  <si>
    <t>This is a behind-the-scenes tab; do not display to customers.</t>
  </si>
  <si>
    <t>This page exists solely for organizing and summing the information on the "Measures" page. The information is then presented on the "Measures Summary" page.</t>
  </si>
  <si>
    <t>Counter Helper</t>
  </si>
  <si>
    <t>BPA Ref. No.</t>
  </si>
  <si>
    <t>Count of Rows on "Measures" Tab that Have this Measure</t>
  </si>
  <si>
    <t>Signage</t>
  </si>
  <si>
    <t>Removal</t>
  </si>
  <si>
    <t>GRAND TOTAL</t>
  </si>
  <si>
    <t>Admin note to self: see comments in the collapsed columns and rows immediately at left and below about the formulas used in the above table.</t>
  </si>
  <si>
    <t>Table Column Header</t>
  </si>
  <si>
    <t>Admin Notes</t>
  </si>
  <si>
    <t>There are three different formulas in this column. The formula in the first row starts the counters; the formula in the subsequent rows count up from the first row; the formula in the grand total row returns how many measures are on the project.</t>
  </si>
  <si>
    <t>All values are hardcoded. Update as needed.</t>
  </si>
  <si>
    <t>There are three different formulas and one hardcoded value in this column.</t>
  </si>
  <si>
    <t>kWh Savings Site</t>
  </si>
  <si>
    <t>There are two different formulas in this column: one for fixtures and one for controls.</t>
  </si>
  <si>
    <t>Proposed Quantity</t>
  </si>
  <si>
    <t>Incentive Uncapped</t>
  </si>
  <si>
    <t>BPA Ref No.</t>
  </si>
  <si>
    <r>
      <t xml:space="preserve">1) There are two different VLOOKUP formulas in this column: one for fixtures and one for controls. 2) </t>
    </r>
    <r>
      <rPr>
        <sz val="11"/>
        <color rgb="FFC00000"/>
        <rFont val="Calibri"/>
        <family val="2"/>
      </rPr>
      <t>They are fragile</t>
    </r>
    <r>
      <rPr>
        <sz val="11"/>
        <rFont val="Calibri"/>
        <family val="2"/>
      </rPr>
      <t>; if any columns are moved, added, or deleted on the "Measure" tab, the formulas will fail.</t>
    </r>
  </si>
  <si>
    <t>Count of Rows on "Measures" Page that Have this Measure</t>
  </si>
  <si>
    <t>1) This column is used by the "Counter Helper" column and on the "Measure Summary" tab. 2) It contains two different formulas.</t>
  </si>
  <si>
    <t>Trade Ally for Tacoma Power</t>
  </si>
  <si>
    <t>This page exists solely to transpose the values on the customer-facing "Contacts" page so that the data are easier to scrape out of the workbook and upload to Snowflake.</t>
  </si>
  <si>
    <t>Person Signing Agreement - if other than the Customer Project Contact</t>
  </si>
  <si>
    <t>PROJECT_NAME</t>
  </si>
  <si>
    <t>CUSTOMER_COMPANY_NAME</t>
  </si>
  <si>
    <t>CUSTOMER_ADDRESS</t>
  </si>
  <si>
    <t>CUSTOMER_CITY</t>
  </si>
  <si>
    <t>CUSTOMER_STATE</t>
  </si>
  <si>
    <t>CUSTOMER_ZIP_CODE</t>
  </si>
  <si>
    <t>CUSTOMER_CONTACT_NAME</t>
  </si>
  <si>
    <t>CUSTOMER_CONTACT_EMAIL</t>
  </si>
  <si>
    <t>CUSTOMER_CONTACT_PHONE</t>
  </si>
  <si>
    <t>SIGNERS_NAME</t>
  </si>
  <si>
    <t>SIGNERS_EMAIL</t>
  </si>
  <si>
    <t>SIGNERS_PHONE</t>
  </si>
  <si>
    <t>TRADE_ALLY_COMPANY_NAME</t>
  </si>
  <si>
    <t>TRADE_ALLY_ADDRESS</t>
  </si>
  <si>
    <t>TRADE_ALLY_CITY</t>
  </si>
  <si>
    <t>TRADE_ALLY_STATE</t>
  </si>
  <si>
    <t>TRADE_ALLY_ZIP_CODE</t>
  </si>
  <si>
    <t>TRADE_ALLY_CONTACT_NAME</t>
  </si>
  <si>
    <t>TRADE_ALLY_CONTACT_EMAIL</t>
  </si>
  <si>
    <t>TRADE_ALLY_CONTACT_PHONE</t>
  </si>
  <si>
    <t>POWER_CONTACT_NAME</t>
  </si>
  <si>
    <t>POWER_CONTACT_EMAIL</t>
  </si>
  <si>
    <t>POWER_CONTACT_PHONE</t>
  </si>
  <si>
    <t>Customer and Site for Tacoma Power</t>
  </si>
  <si>
    <t>This page exists solely to transpose the values on the customer-facing "Customer and Site" page so that the data are easier to scrape out of the workbook and upload to Snowflake.</t>
  </si>
  <si>
    <t>SITE_NAME</t>
  </si>
  <si>
    <t>SITE_ADDRESS</t>
  </si>
  <si>
    <t>SITE_CITY</t>
  </si>
  <si>
    <t>SITE_STATE</t>
  </si>
  <si>
    <t>SITE_ZIP_CODE</t>
  </si>
  <si>
    <t>BUILDING_TYPE</t>
  </si>
  <si>
    <t>CUSTOMER_RATE_CLASS</t>
  </si>
  <si>
    <t>ADDITIONAL_PROJECT_INFORMATION</t>
  </si>
  <si>
    <t>Project Summary for Tacoma Power</t>
  </si>
  <si>
    <t>This page exists solely to transpose the values on the customer-facing "Project Summary" page so that the data are easier to scrape out of the workbook and upload to Snowflake.</t>
  </si>
  <si>
    <t>Details of estimated incentive</t>
  </si>
  <si>
    <t>Supporting Values</t>
  </si>
  <si>
    <t>PROJECT_SUMMARY_ESTIMATED_INCENTIVE</t>
  </si>
  <si>
    <t>PROJECT_SUMMARY_ESTIMATED_PROJECT_COST</t>
  </si>
  <si>
    <t>PROJECT_SUMMARY_CUSTOMER_OUT-OF-POCKET_COST</t>
  </si>
  <si>
    <t>PROJECT_SUMMARY_ESTIMATED_INCENTIVE_AS_PERCENTAGE_OF_PROJECT_COST</t>
  </si>
  <si>
    <t>PROJECT_SUMMARY_ESTIMATED_KWH_SITE_SAVINGS</t>
  </si>
  <si>
    <t>PROJECT_SUMMARY_KWH_SAVINGS_PERCENTAGE</t>
  </si>
  <si>
    <t>PROJECT_SUMMARY_ESTIMATED_YEARLY_ENERGY_COST_SAVINGS</t>
  </si>
  <si>
    <t>PROJECT_SUMMARY_ESTIMATED_YEARLY_OANDM_SAVINGS</t>
  </si>
  <si>
    <t>PROJECT_SUMMARY_ESTIMATED_SIMPLE_PAYBACK_IN_YEARS</t>
  </si>
  <si>
    <t>PROJECT_SUMMARY_SIMPLE_RETURN_ON_INVESTMENT_ROI</t>
  </si>
  <si>
    <t>PROJECT_SUMMARY_UNCAPPED_INCENTIVE</t>
  </si>
  <si>
    <t>PROJECT_SUMMARY_MAX_POSSIBLE_INCENTIVE_AT_PCT_OF_PROJECT_COST</t>
  </si>
  <si>
    <t>PROJECT_SUMMARY_PERCENTAGE_OF_PROJECT_COST_CAP</t>
  </si>
  <si>
    <t>PROJECT_SUMMARY_ANNUAL_OANDM_SAVINGS_PERCENTAGE_OF_PROJECT_COST</t>
  </si>
  <si>
    <t>Incentive Rates</t>
  </si>
  <si>
    <t>This table is used on the "Measures" tab to calculate the uncapped incentive amount for fixtures and controls. It's also used on the "Project Summary" tab for calculating the incentive payout amount.</t>
  </si>
  <si>
    <t>Utility Rate Class</t>
  </si>
  <si>
    <t>Incentive Type</t>
  </si>
  <si>
    <t>Incentive Name</t>
  </si>
  <si>
    <t>Incentive Rate</t>
  </si>
  <si>
    <t>Incentive Unit</t>
  </si>
  <si>
    <t>Percent of Project Cost that Total Project Incentive Cannot Exceed</t>
  </si>
  <si>
    <t>All</t>
  </si>
  <si>
    <t>Fixed</t>
  </si>
  <si>
    <t>LED Tube</t>
  </si>
  <si>
    <t>per tube</t>
  </si>
  <si>
    <t>LED Exit Sign</t>
  </si>
  <si>
    <t>per fixture</t>
  </si>
  <si>
    <t>Small General (B)</t>
  </si>
  <si>
    <t>Standard B</t>
  </si>
  <si>
    <t>per kWh saved</t>
  </si>
  <si>
    <t>General (G)</t>
  </si>
  <si>
    <t>Standard G</t>
  </si>
  <si>
    <t>Standard HVG</t>
  </si>
  <si>
    <t>Source: Tacoma Power, Customer Energy Solutions division, April 2026.</t>
  </si>
  <si>
    <t>Average Cost per kWh that a Customer Pays for Energy</t>
  </si>
  <si>
    <t>Used on the "Project Summary" page as part of determining the estimated energy costs savings.</t>
  </si>
  <si>
    <t>Energy Rate</t>
  </si>
  <si>
    <t>Unit</t>
  </si>
  <si>
    <t>Per kWh Consumed</t>
  </si>
  <si>
    <t>Energy only (Demand costs are excluded.)</t>
  </si>
  <si>
    <t>Source: Tacoma Power Electric Rate Schedules - April 1, 2026; "All-Schedules-2026_Clean.pdf"</t>
  </si>
  <si>
    <t>An explanation of the acronyms and abbreviations used in this application.</t>
  </si>
  <si>
    <t>Abbreviation</t>
  </si>
  <si>
    <t>Full Name</t>
  </si>
  <si>
    <t>Adj</t>
  </si>
  <si>
    <t>adjusted</t>
  </si>
  <si>
    <t>BPA</t>
  </si>
  <si>
    <t>Bonneville Power Administration</t>
  </si>
  <si>
    <t>compact fluorescent</t>
  </si>
  <si>
    <t>Ctrls</t>
  </si>
  <si>
    <t>controls</t>
  </si>
  <si>
    <t>DIY</t>
  </si>
  <si>
    <t>do-it-yourself</t>
  </si>
  <si>
    <t>EE</t>
  </si>
  <si>
    <t>electronic</t>
  </si>
  <si>
    <t>Excl</t>
  </si>
  <si>
    <t>excluding</t>
  </si>
  <si>
    <t>Fix</t>
  </si>
  <si>
    <t>fixture</t>
  </si>
  <si>
    <t>high intensity discharge</t>
  </si>
  <si>
    <t>HO</t>
  </si>
  <si>
    <t>high output</t>
  </si>
  <si>
    <t>HP</t>
  </si>
  <si>
    <t>high performance</t>
  </si>
  <si>
    <t>high pressure sodium</t>
  </si>
  <si>
    <t>light emitting diode</t>
  </si>
  <si>
    <t>LLO</t>
  </si>
  <si>
    <t>low light output</t>
  </si>
  <si>
    <t>Mag</t>
  </si>
  <si>
    <t>magnetic</t>
  </si>
  <si>
    <t>MH</t>
  </si>
  <si>
    <t>metal halide</t>
  </si>
  <si>
    <t>MV</t>
  </si>
  <si>
    <t>mercury vapor</t>
  </si>
  <si>
    <t>NLO</t>
  </si>
  <si>
    <t>normal light output</t>
  </si>
  <si>
    <t>Prog</t>
  </si>
  <si>
    <t>program</t>
  </si>
  <si>
    <t>Sav</t>
  </si>
  <si>
    <t>savings</t>
  </si>
  <si>
    <t>TPU</t>
  </si>
  <si>
    <t>Tacoma Public Utilities</t>
  </si>
  <si>
    <t>VHO</t>
  </si>
  <si>
    <t>very high output</t>
  </si>
  <si>
    <t>VLLO</t>
  </si>
  <si>
    <t>very low light output</t>
  </si>
  <si>
    <t>w/</t>
  </si>
  <si>
    <t>with</t>
  </si>
  <si>
    <t>w/o</t>
  </si>
  <si>
    <t>without</t>
  </si>
  <si>
    <t>How this lighting application differs from the previous application</t>
  </si>
  <si>
    <t>Incentives</t>
  </si>
  <si>
    <t>Fixture incentive categories</t>
  </si>
  <si>
    <t>1. The concept of "deemed" has been replaced by the concept of "fixed" incentives, which applies to exit signs and LED tubes.</t>
  </si>
  <si>
    <t>2. The concept of "non-standard" has been replaced by the concept of a "standard" incentive, which applies to all fixtures, excluding exit signs and LED tubes. It also applies to all controls.</t>
  </si>
  <si>
    <t>3. Please see the "Incentive Rates" tab for additional details.</t>
  </si>
  <si>
    <t>Fixture minimum savings percentage for incentive</t>
  </si>
  <si>
    <t>If a measure's fixture kWh savings percentage is greater than 0%, an incentive amount will be returned.</t>
  </si>
  <si>
    <t>Previously, if the fixture's kWh savings percentage was less than 10%, no incentive was given.</t>
  </si>
  <si>
    <t>Project total incentive amount</t>
  </si>
  <si>
    <t>The project's total estimated incentive amount will not calculate if the project cost is blank.</t>
  </si>
  <si>
    <t>Previously, an estimated incentive payout amount would be calculated.</t>
  </si>
  <si>
    <t>Primary space</t>
  </si>
  <si>
    <t>Each space is entered manually on the "Spaces" tab.</t>
  </si>
  <si>
    <t xml:space="preserve">Previously, a "primary" space could be designated and other spaces could reference it. </t>
  </si>
  <si>
    <t>Wattage data entry</t>
  </si>
  <si>
    <t>The wattage for existing LEDs and proposed fixtures is typed in manually, and you may enter fractions of wattage, ex. 20.5.</t>
  </si>
  <si>
    <t>Previously, there is was a predefined list of LED wattages.</t>
  </si>
  <si>
    <t>For existing non-LED fixtures, predefined lists, a.k.a. dropdown menus, continue to be available.</t>
  </si>
  <si>
    <t>Decommissioned fixtures</t>
  </si>
  <si>
    <t>If existing fixtures are decommissioned, they receive the "standard" incentive rate, which varies based on the customer's Tacoma Power rate class.</t>
  </si>
  <si>
    <t>This means customers in the "Small General" rate class earn a slightly higher incentive for decommissioned fixtures than previously.</t>
  </si>
  <si>
    <t>Previously, for decommissioned fixtures, the incentive rate was the same for all rate classes.</t>
  </si>
  <si>
    <t>Controls % hours reduced</t>
  </si>
  <si>
    <t>The "% Hours Reduced" for non-networked controls is always 25%.</t>
  </si>
  <si>
    <t>Previously, 25% was the default and it could be changed if desired.</t>
  </si>
  <si>
    <t>Networked controls on existing fixtures</t>
  </si>
  <si>
    <t>Networked controls can be added to existing LED general indoor/outdoor and LED high bay fixtures.</t>
  </si>
  <si>
    <t>Previously, it was not possible to put networked controls on any existing fixture.</t>
  </si>
  <si>
    <t>Controls quantity</t>
  </si>
  <si>
    <t>A quantity must be entered for each control type, including networked controls.</t>
  </si>
  <si>
    <t>Previously, for networked controls, the application's behind-the-scenes formulas used the proposed fixture quantity as the controls quantity.</t>
  </si>
  <si>
    <t>LED exit signs</t>
  </si>
  <si>
    <t>For proposed fixtures, the class is 'LED' and the category is 'Exit Signs'.</t>
  </si>
  <si>
    <t>For existing fixtures, the class is 'Exit Signs' and category is 'LED'.</t>
  </si>
  <si>
    <t>Previously, the proposed fixture's class and category were the same as that of the existing fixtures.</t>
  </si>
  <si>
    <t>The swap was done to make the drop down lists and lookup formulas work in Excel.</t>
  </si>
  <si>
    <r>
      <t>Project Summary</t>
    </r>
    <r>
      <rPr>
        <sz val="11"/>
        <color theme="1"/>
        <rFont val="Calibri"/>
        <family val="2"/>
      </rPr>
      <t xml:space="preserve"> (formerly called the Customer Proposal)</t>
    </r>
  </si>
  <si>
    <t>Estimated yearly energy cost savings</t>
  </si>
  <si>
    <t>The formula for determining estimated energy cost savings is "kWh site savings x average energy cost per kWh".</t>
  </si>
  <si>
    <t>Previously, the formula was "kWh savings site x average energy cost per kWh + kW savings x average demand cost per kW". (And previously the formula was called "Estimated Yearly Electricity Cost Savings".)</t>
  </si>
  <si>
    <t>This means the application shows a more conservative estimate for cost savings than past applications did.</t>
  </si>
  <si>
    <t>Overall Application</t>
  </si>
  <si>
    <t>New construction</t>
  </si>
  <si>
    <t>This application is for retrofit projects only.</t>
  </si>
  <si>
    <t>Calculations for new construction lighting do not exist in this application.</t>
  </si>
  <si>
    <t>Previously, the option for new construction calculations existed.</t>
  </si>
  <si>
    <t>Macros</t>
  </si>
  <si>
    <t>There are no macros in this version of the application.</t>
  </si>
  <si>
    <t>You will not encounter macro security warnings or blocks.</t>
  </si>
  <si>
    <t>You can open this application in a browser, ex. if you saved it on OneDrive or SharePoint.</t>
  </si>
  <si>
    <t>You can have other Excel files open at the same time as this application.</t>
  </si>
  <si>
    <t>You can open this application on a Mac.</t>
  </si>
  <si>
    <t>For TPU Staff Only</t>
  </si>
  <si>
    <t>Adjustments for federal standards</t>
  </si>
  <si>
    <t>There are no "Site Savings Adjusted for Federal Standards" in this application because BPA does not currently make such adjustments.</t>
  </si>
  <si>
    <t>Thus, the site savings that are presented in this calculator are what should be reported to BPA.</t>
  </si>
  <si>
    <t>Previous applications made reference to federal adjustments; however, the wording was out-of-date because adjustments were last made in 2023 for incandescent lamps.</t>
  </si>
  <si>
    <t>HVAC Interactive Effects Factor</t>
  </si>
  <si>
    <t>Used on the "Spaces" page.</t>
  </si>
  <si>
    <t>Electric Resistance w/ Cooling</t>
  </si>
  <si>
    <t>Electric Resistance w/o Cooling</t>
  </si>
  <si>
    <t>Electric Heat Pump w/ Cooling</t>
  </si>
  <si>
    <t>Electric Heat Pump w/o Cooling</t>
  </si>
  <si>
    <t>Gas, Oil, or Biomass w/ Cooling</t>
  </si>
  <si>
    <t>Gas, Oil, or Biomass w/o Cooling</t>
  </si>
  <si>
    <t>Cooling w/o Heat</t>
  </si>
  <si>
    <t>Refrigerated Space</t>
  </si>
  <si>
    <t>None/Exterior</t>
  </si>
  <si>
    <t>Assembly</t>
  </si>
  <si>
    <t>Automotive Repair</t>
  </si>
  <si>
    <t>College or University</t>
  </si>
  <si>
    <t>Exterior 24 Hour Operation</t>
  </si>
  <si>
    <t>Hospital</t>
  </si>
  <si>
    <t>Industrial Plant with One Shift</t>
  </si>
  <si>
    <t>Industrial Plant with Two Shifts</t>
  </si>
  <si>
    <t>Industrial Plant with Three Shifts</t>
  </si>
  <si>
    <t>Library</t>
  </si>
  <si>
    <t>Lodging</t>
  </si>
  <si>
    <t>Manufacturing</t>
  </si>
  <si>
    <t>Office &lt;20,000 sf</t>
  </si>
  <si>
    <t>Office &gt;100,000 sf</t>
  </si>
  <si>
    <t>Other Health, Nursing, Medical Clinic</t>
  </si>
  <si>
    <t>Parking Garage</t>
  </si>
  <si>
    <t>Restaurant</t>
  </si>
  <si>
    <t>Retail 5,000 to 50,000 sf</t>
  </si>
  <si>
    <t>Retail Anchor Store &gt;50,000 sf Multistory</t>
  </si>
  <si>
    <t>Retail Big Box &gt;50,000 sf One-Story</t>
  </si>
  <si>
    <t>Retail Boutique &lt;5,000 sf</t>
  </si>
  <si>
    <t>Retail Mini Mart</t>
  </si>
  <si>
    <t>Retail Supermarket</t>
  </si>
  <si>
    <t>School K-12</t>
  </si>
  <si>
    <t>Street &amp; Area Lighting (Photo Sensor Controlled)</t>
  </si>
  <si>
    <t>Warehouse</t>
  </si>
  <si>
    <t>Other</t>
  </si>
  <si>
    <t>Source: Bonneville Power Administration Excel-based lighting calculator version 6.X3; "LC6.X3-Tacoma Power 04-2025.xls"</t>
  </si>
  <si>
    <r>
      <t>Space Conditioning Type</t>
    </r>
    <r>
      <rPr>
        <sz val="11"/>
        <color theme="1"/>
        <rFont val="Calibri"/>
        <family val="2"/>
      </rPr>
      <t xml:space="preserve"> (used to determine HVAC factor)</t>
    </r>
  </si>
  <si>
    <t>Space Conditioning Type</t>
  </si>
  <si>
    <t>Refrigerated</t>
  </si>
  <si>
    <t>Electric resistance</t>
  </si>
  <si>
    <t>Ballast Factors and BPA Reference Numbers</t>
  </si>
  <si>
    <t>Returns the following to the "Measures" tab: 1) ballast factor: used to calculate the existing fixture kWh consumption,  2) range names for the wattage: used in data validations for dropdown lists, and 3) the proposed fixtures BPA ref. nos.: used for reporting via Snowflake.</t>
  </si>
  <si>
    <r>
      <t xml:space="preserve">Admin note to self: if you make changes to the fixture table, you </t>
    </r>
    <r>
      <rPr>
        <u/>
        <sz val="11"/>
        <rFont val="Calibri"/>
        <family val="2"/>
      </rPr>
      <t>must</t>
    </r>
    <r>
      <rPr>
        <sz val="11"/>
        <rFont val="Calibri"/>
        <family val="2"/>
      </rPr>
      <t xml:space="preserve"> make the same changes on the "Fixture Picklists" tab. The values on the two tabs must always be in sync for the dropdowns and lookups on the "Measures" tab to work.</t>
    </r>
  </si>
  <si>
    <t>Be Aware: the Controls BPA Ref. Nos. are in the table below the fixture table.</t>
  </si>
  <si>
    <t>Existing Fixture Ballast Factors and Proposed Fixture BPA Ref. Nos.</t>
  </si>
  <si>
    <t>Fixture Class</t>
  </si>
  <si>
    <t>Fixture Category</t>
  </si>
  <si>
    <t>Fixture Sub-category</t>
  </si>
  <si>
    <t>Ballast Factor</t>
  </si>
  <si>
    <t>Allowed for Existing Fixture</t>
  </si>
  <si>
    <t>Allowed for Proposed Fixture</t>
  </si>
  <si>
    <t>Commercial BPA Reference Number</t>
  </si>
  <si>
    <t>Industrial BPA Reference Number</t>
  </si>
  <si>
    <t>Wattage Range Name</t>
  </si>
  <si>
    <t>Wattage 1</t>
  </si>
  <si>
    <t>Wattage 2</t>
  </si>
  <si>
    <t>Wattage 3</t>
  </si>
  <si>
    <t>Wattage 4</t>
  </si>
  <si>
    <t>Wattage 5</t>
  </si>
  <si>
    <t>Wattage 6</t>
  </si>
  <si>
    <t>Wattage 7</t>
  </si>
  <si>
    <t>Wattage 8</t>
  </si>
  <si>
    <t>Wattage 9</t>
  </si>
  <si>
    <t>Wattage 10</t>
  </si>
  <si>
    <t>Wattage 11</t>
  </si>
  <si>
    <t>Wattage 12</t>
  </si>
  <si>
    <t>Wattage 13</t>
  </si>
  <si>
    <t>Wattage 14</t>
  </si>
  <si>
    <t>Wattage 15</t>
  </si>
  <si>
    <t>Wattage 16</t>
  </si>
  <si>
    <t>Wattage 17</t>
  </si>
  <si>
    <t>Wattage 18</t>
  </si>
  <si>
    <t>Wattage 19</t>
  </si>
  <si>
    <t>Wattage 20</t>
  </si>
  <si>
    <t>Wattage 21</t>
  </si>
  <si>
    <t>Wattage 22</t>
  </si>
  <si>
    <t>Wattage 23</t>
  </si>
  <si>
    <t>Wattage 24</t>
  </si>
  <si>
    <t>Wattage 25</t>
  </si>
  <si>
    <t>Wattage 26</t>
  </si>
  <si>
    <t>Wattage 27</t>
  </si>
  <si>
    <t>Wattage 28</t>
  </si>
  <si>
    <t>Wattage 29</t>
  </si>
  <si>
    <t>Wattage 30</t>
  </si>
  <si>
    <t>Wattage 31</t>
  </si>
  <si>
    <t>Wattage 32</t>
  </si>
  <si>
    <t>Wattage 33</t>
  </si>
  <si>
    <t>Wattage 34</t>
  </si>
  <si>
    <t>Wattage 35</t>
  </si>
  <si>
    <t>Wattage 36</t>
  </si>
  <si>
    <t>Wattage 37</t>
  </si>
  <si>
    <t>Cold Cathode</t>
  </si>
  <si>
    <t>Dimmable or Flashable</t>
  </si>
  <si>
    <t>Yes</t>
  </si>
  <si>
    <t>No</t>
  </si>
  <si>
    <t>25 to 45 W</t>
  </si>
  <si>
    <t>&gt;45 W</t>
  </si>
  <si>
    <t>Screw-In</t>
  </si>
  <si>
    <t>Screw-in or Plug-in</t>
  </si>
  <si>
    <t>Incandescent</t>
  </si>
  <si>
    <t>Linear Fluorescent</t>
  </si>
  <si>
    <t>F4T5</t>
  </si>
  <si>
    <t>F6T5</t>
  </si>
  <si>
    <t>F8T5</t>
  </si>
  <si>
    <t>EE Ballast</t>
  </si>
  <si>
    <t>Pulse-Start</t>
  </si>
  <si>
    <t>Induction</t>
  </si>
  <si>
    <t>Any Type</t>
  </si>
  <si>
    <t>CLILB82125</t>
  </si>
  <si>
    <t>ILILB83125</t>
  </si>
  <si>
    <t>Type in the wattage.</t>
  </si>
  <si>
    <t>CLILB82111</t>
  </si>
  <si>
    <t>ILILB83105</t>
  </si>
  <si>
    <t>Parking Lot</t>
  </si>
  <si>
    <t>Roadway</t>
  </si>
  <si>
    <t>Canopy</t>
  </si>
  <si>
    <t>High Mast</t>
  </si>
  <si>
    <t>CLILB82123</t>
  </si>
  <si>
    <t>ILILB83123</t>
  </si>
  <si>
    <t>CLILB82124</t>
  </si>
  <si>
    <t>ILILB83124</t>
  </si>
  <si>
    <t>CLILB82112</t>
  </si>
  <si>
    <t>ILILB83106</t>
  </si>
  <si>
    <t>CLILB82114</t>
  </si>
  <si>
    <t>ILILB83108</t>
  </si>
  <si>
    <t>Refrigerated Case</t>
  </si>
  <si>
    <t>CFLED</t>
  </si>
  <si>
    <t>CLILB82109</t>
  </si>
  <si>
    <t>ILILB83103</t>
  </si>
  <si>
    <t>MR16</t>
  </si>
  <si>
    <t>Screw-in A-Lamp</t>
  </si>
  <si>
    <t>Screw-in Reflector</t>
  </si>
  <si>
    <t>CLILB82110</t>
  </si>
  <si>
    <t>ILILB83104</t>
  </si>
  <si>
    <t>External Driver (Type C)</t>
  </si>
  <si>
    <t>Quartz</t>
  </si>
  <si>
    <t>Bi-Pin</t>
  </si>
  <si>
    <t>Halogen</t>
  </si>
  <si>
    <t>LED Tube - Sign</t>
  </si>
  <si>
    <t>N/A</t>
  </si>
  <si>
    <t>CLILB82127</t>
  </si>
  <si>
    <t>ILILB83127</t>
  </si>
  <si>
    <t>Linear Strip - Sign</t>
  </si>
  <si>
    <t>Other - Sign</t>
  </si>
  <si>
    <t>T10</t>
  </si>
  <si>
    <t>2 ft</t>
  </si>
  <si>
    <t>Lamp w/ EE Ballast</t>
  </si>
  <si>
    <t>Lamp w/ Mag. Ballast</t>
  </si>
  <si>
    <t>5 ft 4 in</t>
  </si>
  <si>
    <t>7 ft</t>
  </si>
  <si>
    <t>8 ft</t>
  </si>
  <si>
    <t>HO Lamp w/ EE Ballast</t>
  </si>
  <si>
    <t>U-Lamp</t>
  </si>
  <si>
    <t>T5</t>
  </si>
  <si>
    <t>HO Lamp w/ Prog. Start Ballast</t>
  </si>
  <si>
    <t xml:space="preserve">4 ft </t>
  </si>
  <si>
    <t>4 ft High Bay</t>
  </si>
  <si>
    <t>LLO Ballast</t>
  </si>
  <si>
    <t>HO Ballast</t>
  </si>
  <si>
    <t>T8 HP</t>
  </si>
  <si>
    <t>HLO Ballast</t>
  </si>
  <si>
    <t>VLLO Ballast</t>
  </si>
  <si>
    <r>
      <t>Control BPA Ref. Nos.</t>
    </r>
    <r>
      <rPr>
        <b/>
        <sz val="11"/>
        <color theme="1"/>
        <rFont val="Calibri"/>
        <family val="2"/>
      </rPr>
      <t xml:space="preserve"> (Tacoma Power Use Only)</t>
    </r>
  </si>
  <si>
    <t>Reference Number</t>
  </si>
  <si>
    <t>CLILC82116</t>
  </si>
  <si>
    <t>Industrial</t>
  </si>
  <si>
    <t>ILILC83110</t>
  </si>
  <si>
    <t>General Picklists</t>
  </si>
  <si>
    <t>See the "Data Entry" tab for details on where the picklist is used in the calculator and what its range name is.</t>
  </si>
  <si>
    <t>BPA Building Type</t>
  </si>
  <si>
    <t>BPA Space Type</t>
  </si>
  <si>
    <t>Blank</t>
  </si>
  <si>
    <t>Multi-function Controls Wattage Reduction Pct</t>
  </si>
  <si>
    <t>Classroom</t>
  </si>
  <si>
    <t>Computer Room</t>
  </si>
  <si>
    <t>Dining</t>
  </si>
  <si>
    <t>Kitchen</t>
  </si>
  <si>
    <t>Lodging (Guest Rooms)</t>
  </si>
  <si>
    <t>Process</t>
  </si>
  <si>
    <t>Retail</t>
  </si>
  <si>
    <t>Stairs</t>
  </si>
  <si>
    <t>Fixture Picklists</t>
  </si>
  <si>
    <t>This tab holds that values for the existing and prposed fixture class, category, and subcategory dropdown options on the "Measures" tab.</t>
  </si>
  <si>
    <r>
      <t xml:space="preserve">Admin note to self: if you make changes to these lists and tables, you </t>
    </r>
    <r>
      <rPr>
        <u/>
        <sz val="11"/>
        <rFont val="Calibri"/>
        <family val="2"/>
      </rPr>
      <t>must</t>
    </r>
    <r>
      <rPr>
        <sz val="11"/>
        <rFont val="Calibri"/>
        <family val="2"/>
      </rPr>
      <t xml:space="preserve"> make the same changes on the "Ballast Factors" tab. The values on the two tabs must always be in sync for the dropdowns and lookups on the "Measures" tab to work.</t>
    </r>
  </si>
  <si>
    <r>
      <rPr>
        <b/>
        <sz val="14"/>
        <rFont val="Calibri"/>
        <family val="2"/>
      </rPr>
      <t xml:space="preserve">Class Picklists: </t>
    </r>
    <r>
      <rPr>
        <sz val="11"/>
        <rFont val="Calibri"/>
        <family val="2"/>
      </rPr>
      <t>These are used in the data validation for the  "Class" columns.</t>
    </r>
  </si>
  <si>
    <t>Existing Fixture Class</t>
  </si>
  <si>
    <t>Proposed Fixture Class</t>
  </si>
  <si>
    <r>
      <rPr>
        <b/>
        <sz val="14"/>
        <rFont val="Calibri"/>
        <family val="2"/>
      </rPr>
      <t>Category and Subcategory Picklists:</t>
    </r>
    <r>
      <rPr>
        <sz val="11"/>
        <rFont val="Calibri"/>
        <family val="2"/>
      </rPr>
      <t xml:space="preserve"> 1) The tables' column headers are use in the data validation for the "Category" columns. 2) The tables' cell values are use in the data validation for the "Subcategory" columns.</t>
    </r>
  </si>
  <si>
    <t>Constants</t>
  </si>
  <si>
    <t>The below is used to calculate kWh consumption and control savings on the "Measures" tab. It's also used to calculate annual operating hours on the "Spaces" tab.</t>
  </si>
  <si>
    <t>Constant</t>
  </si>
  <si>
    <t>Value</t>
  </si>
  <si>
    <t>kWh</t>
  </si>
  <si>
    <t>kWh Conversion</t>
  </si>
  <si>
    <t>Converts watts to kilowatts. Used in formula on "Measures" tab.</t>
  </si>
  <si>
    <r>
      <t xml:space="preserve">Allowed % Hours Reduced for </t>
    </r>
    <r>
      <rPr>
        <sz val="11"/>
        <color rgb="FF7030A0"/>
        <rFont val="Calibri"/>
        <family val="2"/>
      </rPr>
      <t>Networked</t>
    </r>
    <r>
      <rPr>
        <sz val="11"/>
        <color theme="1"/>
        <rFont val="Calibri"/>
        <family val="2"/>
      </rPr>
      <t xml:space="preserve"> Controls</t>
    </r>
  </si>
  <si>
    <t>Used in formula on "Measures" tab.</t>
  </si>
  <si>
    <r>
      <t xml:space="preserve">Allowed % Hours Reduced for </t>
    </r>
    <r>
      <rPr>
        <sz val="11"/>
        <color theme="5" tint="-0.249977111117893"/>
        <rFont val="Calibri"/>
        <family val="2"/>
      </rPr>
      <t>Non-networked</t>
    </r>
    <r>
      <rPr>
        <sz val="11"/>
        <color theme="1"/>
        <rFont val="Calibri"/>
        <family val="2"/>
      </rPr>
      <t xml:space="preserve"> Controls</t>
    </r>
  </si>
  <si>
    <t>Days in Year</t>
  </si>
  <si>
    <t>Used in formula on "Spaces" tab.</t>
  </si>
  <si>
    <t>Days in Week</t>
  </si>
  <si>
    <t>Weeks in Year</t>
  </si>
  <si>
    <t>Used in formula on "Spaces" tab and used in data validation rule on the "Weeks Per Year" column on "Spaces" tab.</t>
  </si>
  <si>
    <t>Minimum Allowed Operating Hours</t>
  </si>
  <si>
    <t>Used in data validation rule on days columns the "Spaces" tab.</t>
  </si>
  <si>
    <t>Maximum Allowed Operating Hours</t>
  </si>
  <si>
    <t>Minimum Allowed Operating Weeks in Year</t>
  </si>
  <si>
    <t>Used in data validation rule on the on "Weeks Per Year" column on the "Spaces" tab.</t>
  </si>
  <si>
    <t>Annual O&amp;M savings percent of project cost</t>
  </si>
  <si>
    <t>Source: Bonneville Power Administration Excel-based lighting calculator version 6.X3; "LC6.X3-Tacoma Power 04-2025.xls". Used in formula on "Project Summary" tab.</t>
  </si>
  <si>
    <t>Change Log</t>
  </si>
  <si>
    <t>This sheet tracks the changes that were made to the calculator and which version of it that the changes appeared in.</t>
  </si>
  <si>
    <t>Date</t>
  </si>
  <si>
    <t>Change Made</t>
  </si>
  <si>
    <t>Version the Change First Appeared In</t>
  </si>
  <si>
    <t>Calulator published on TPU website.</t>
  </si>
  <si>
    <t>July_2026</t>
  </si>
  <si>
    <t>Tacoma Power Staff Contacts</t>
  </si>
  <si>
    <t>The below is used on the "Contacts" tab for populating the staff member's name, email, and phone.</t>
  </si>
  <si>
    <t>Add and delete rows to the table as staff members change over time.</t>
  </si>
  <si>
    <t>Tacoma Power Staff</t>
  </si>
  <si>
    <t>Email</t>
  </si>
  <si>
    <t>Phone</t>
  </si>
  <si>
    <t>Jeff Gascoyne</t>
  </si>
  <si>
    <t>jgascoyne@tacoma.gov</t>
  </si>
  <si>
    <t>rkim1@tacoma.gov</t>
  </si>
  <si>
    <t>Picklists, Data Validations, and Conditional Formatting in Plain English</t>
  </si>
  <si>
    <t>This tab is part of the sys. admin's documentation of how the calculator was built.</t>
  </si>
  <si>
    <t>It explains which cells have 1) picklists (a.k.a. dropdowns), where the picklists are located, and the general formula that a picklist uses; 2) data validations; and 3) conditional formatting.</t>
  </si>
  <si>
    <t>The goal of this sheet is to help you see where values are used in the areas of Excel that its Trace Dependents and Trace Precedents features don't look in.</t>
  </si>
  <si>
    <t>Light gray fill means the cell has a picklist, data validation, and/or conditional formatting, but it's located on a different row in the below table. (Some cells/columns have multiple rows in the table.)</t>
  </si>
  <si>
    <t>Tab Name</t>
  </si>
  <si>
    <t>Cell or Column Name</t>
  </si>
  <si>
    <t>Picklist Range Name</t>
  </si>
  <si>
    <t>Picklist Location (tab name)</t>
  </si>
  <si>
    <t>Conditional Formatting</t>
  </si>
  <si>
    <t>Data Validation</t>
  </si>
  <si>
    <t>TPURateClass</t>
  </si>
  <si>
    <t>Picklists</t>
  </si>
  <si>
    <t>None</t>
  </si>
  <si>
    <t>Picklist</t>
  </si>
  <si>
    <t>BuildingTypeList</t>
  </si>
  <si>
    <t>IF "Unique Space Helper" = FALSE THEN turn cell pink.</t>
  </si>
  <si>
    <t>SpaceType</t>
  </si>
  <si>
    <t>HeatType</t>
  </si>
  <si>
    <t>CoolType</t>
  </si>
  <si>
    <t>Between MinOperateHours and
MaxOperateHours</t>
  </si>
  <si>
    <t>Between MinOperateWeeks and WeeksInYear</t>
  </si>
  <si>
    <t>MeasureType</t>
  </si>
  <si>
    <t>Class [existing]</t>
  </si>
  <si>
    <t>FixClassExist</t>
  </si>
  <si>
    <t>Category [existing]</t>
  </si>
  <si>
    <t>CFLCat</t>
  </si>
  <si>
    <t>The picklist values are the CFL table's column headers.</t>
  </si>
  <si>
    <t>ExitSignCat</t>
  </si>
  <si>
    <t>The picklist values are the Exit Sign table's column headers.</t>
  </si>
  <si>
    <t>HIDCat</t>
  </si>
  <si>
    <t>The picklist values are the HID table's column headers.</t>
  </si>
  <si>
    <t>InductionCat</t>
  </si>
  <si>
    <t>The picklist values are the Induction table's column headers.</t>
  </si>
  <si>
    <t>LEDCat</t>
  </si>
  <si>
    <t>The picklist values are the LED table's column headers.</t>
  </si>
  <si>
    <t>QuartzCat</t>
  </si>
  <si>
    <t>The picklist values are the Quartz table's column headers.</t>
  </si>
  <si>
    <t>T5Cat</t>
  </si>
  <si>
    <t>The picklist values are the T5 table's column headers.</t>
  </si>
  <si>
    <t>T8Cat</t>
  </si>
  <si>
    <t>The picklist values are the T8 table's column headers.</t>
  </si>
  <si>
    <t>T8HPCat</t>
  </si>
  <si>
    <t>The picklist values are the T8HP table's column headers.</t>
  </si>
  <si>
    <t>T10Cat</t>
  </si>
  <si>
    <t>The picklist values are the T10 table's column headers.</t>
  </si>
  <si>
    <t>T12Cat</t>
  </si>
  <si>
    <t>The picklist values are the T12 table's column headers.</t>
  </si>
  <si>
    <t>This is the picklist option that displays when the fixture class is blank.</t>
  </si>
  <si>
    <t>Subcategory [existing]</t>
  </si>
  <si>
    <t>CFLSub</t>
  </si>
  <si>
    <t>The picklist values are the CFL table's values.</t>
  </si>
  <si>
    <t>ExitSignSub</t>
  </si>
  <si>
    <t>The picklist values are the Exit Sign table's values.</t>
  </si>
  <si>
    <t>HIDSub</t>
  </si>
  <si>
    <t>The picklist values are the HID table's values.</t>
  </si>
  <si>
    <t>InductionSub</t>
  </si>
  <si>
    <t>The picklist values are the Induction table's values.</t>
  </si>
  <si>
    <t>LEDSub</t>
  </si>
  <si>
    <t>The picklist values are the LED table's values.</t>
  </si>
  <si>
    <t>QuartzSub</t>
  </si>
  <si>
    <t>The picklist values are the Quartz table's values.</t>
  </si>
  <si>
    <t>T5Sub</t>
  </si>
  <si>
    <t>The picklist values are the T5 table's values.</t>
  </si>
  <si>
    <t>T8Sub</t>
  </si>
  <si>
    <t>The picklist values are the T8 table's values.</t>
  </si>
  <si>
    <t>T8HPSub</t>
  </si>
  <si>
    <t>The picklist values are the T8HP table's values.</t>
  </si>
  <si>
    <t>T10Sub</t>
  </si>
  <si>
    <t>The picklist values are the T10 table's values.</t>
  </si>
  <si>
    <t>T12Sub</t>
  </si>
  <si>
    <t>The picklist values are the T12 table's values.</t>
  </si>
  <si>
    <t>Wattage per Lamp [existing]</t>
  </si>
  <si>
    <t>Lots of them. See the "Wattage Range Name" column.</t>
  </si>
  <si>
    <t>IF "Wattage Helper" = 'Invalid' THEN turn cell pink.</t>
  </si>
  <si>
    <t>1) It's correct that the data validation has its error messages turned off--this had to be done to allow users to enter LED wattages.
2) In place of the data validation error messages, we use the conditional formatting to alert users about data entry errors.
3) It's correct that we do not enforce that only numeric values be entered. Excel only allows one data validation per cell, and so we used it to create the dropdowns.</t>
  </si>
  <si>
    <t>Number of Lamps per Fixture [existing]</t>
  </si>
  <si>
    <t>Whole numbers only</t>
  </si>
  <si>
    <t>Quantity of Fixtures [existing]</t>
  </si>
  <si>
    <t>Class [proposed]</t>
  </si>
  <si>
    <t>FixClassPropose</t>
  </si>
  <si>
    <t>IF "Measure Type" = 'Controls Only' OR 'Decommissioning' THEN turn cell dark gray.</t>
  </si>
  <si>
    <t>Category [proposed]</t>
  </si>
  <si>
    <t>SignageCat</t>
  </si>
  <si>
    <t>The picklist values are the Signage table's column headers.</t>
  </si>
  <si>
    <t>Subcategory [proposed]</t>
  </si>
  <si>
    <t>SignageSub</t>
  </si>
  <si>
    <t>The picklist values are the Signage table's values.</t>
  </si>
  <si>
    <t>Wattage per Unit [proposed]</t>
  </si>
  <si>
    <t>Numbers only</t>
  </si>
  <si>
    <t>Number of Units per Fixture [proposed]</t>
  </si>
  <si>
    <t>Quantity of Fixtures [proposed]</t>
  </si>
  <si>
    <t>Manufacturer [proposed]</t>
  </si>
  <si>
    <t>Model Number [proposed]</t>
  </si>
  <si>
    <t>ControlType</t>
  </si>
  <si>
    <t>IF "Measure Type" = 'Decommissioning' THEN turn cell dark gray.</t>
  </si>
  <si>
    <t>Quantity [controls]</t>
  </si>
  <si>
    <t>IF "Measure Type" = 'Decommissioning' OR "Control Type" = 'No Controls' THEN turn cell dark gray.</t>
  </si>
  <si>
    <t>IF ("Measure Type = 'Controls Only' AND Control Quantity &gt; Existing Fixture Quantity) OR ("Measure Type" = 'Fixtures' AND Control Quantity &gt; Proposed Fixture Quantity) THEN turn cell pink.</t>
  </si>
  <si>
    <t>MultifuncCtrlWattReducePct</t>
  </si>
  <si>
    <t>IF "Measure Type" = 'Decommissioning' OR "Control Type" = 'No Controls' OR "Control Type &lt;&gt; 'Multi-Function' THEN turn cell dark gray.</t>
  </si>
  <si>
    <t>Existing Fixture [Check for Missing Information]</t>
  </si>
  <si>
    <t>IF "Existing Fixture" = 'Missing info' THEN turn cell pink.</t>
  </si>
  <si>
    <t>Proposed Fixture [Check for Missing Information]</t>
  </si>
  <si>
    <t>IF "Proposed Fixture" = 'Missing info' THEN turn cell pink.</t>
  </si>
  <si>
    <t>Controls [Check for Missing Information]</t>
  </si>
  <si>
    <t>IF "Controls" = 'Missing info' THEN turn cell pink.</t>
  </si>
  <si>
    <t>TPU Data Entry</t>
  </si>
  <si>
    <t>SectorList</t>
  </si>
  <si>
    <t>Formulas in Plain English</t>
  </si>
  <si>
    <t>This tab explains the general formulas for space conditions, kWh savings, incentive, and return on investment that are used in the calculator. It's written in half plain English and half pseudo-code.</t>
  </si>
  <si>
    <t>See the "Spaces", "Measures", and "Project Summary" tabs for the precise formulas, which include how the calculator handles scenarios such as unused rows, rows that have fixtures but no controls, row that are for decommissioned fixtures only, etc.</t>
  </si>
  <si>
    <t>See also the companion Visio file "Lighting Calculator Dataflow.vsdx" for a visual of which data feed into which formulas.</t>
  </si>
  <si>
    <t>Formula Name</t>
  </si>
  <si>
    <t>General Formula</t>
  </si>
  <si>
    <t>Hours</t>
  </si>
  <si>
    <t>Day Hours Sun. + Day Hours Mon. + Day Hours Tues. + Day Hours Wed. + Day Hours Thurs. + Day Hours Fri. + Day Hours Sat.</t>
  </si>
  <si>
    <t>Weekly Hours * Weeks per Year * (Days in Year / (Weeks in Year * Days in Week))</t>
  </si>
  <si>
    <t>Space Conditioning Type Lookup</t>
  </si>
  <si>
    <t>INDEX MATCH on Heating Type and Cooling Type to return Space Conditioning Type from Space Condition Table</t>
  </si>
  <si>
    <t>HVAC Interactive Factor Lookup</t>
  </si>
  <si>
    <t>INDEX MATCH on Space Conditioning Type and Building Type to return HVAC Factor from HVAC Factor Table</t>
  </si>
  <si>
    <t>Existing Fixture Ballast Factor</t>
  </si>
  <si>
    <t>INDEX MATCH on Existing Fixture Class, Existing Fixture Category, and Existing Fixture Sub-category to return the Ballast Factor from the Ballast Factor Table</t>
  </si>
  <si>
    <t>Existing Wattage per Lamp * Existing Lamps per Fixture * Existing Fixture Ballast Factor</t>
  </si>
  <si>
    <t>Existing Fixture kWh Consumption Site</t>
  </si>
  <si>
    <t>(Existing Fixture Wattage * Existing Fixture Quantity * Annual Hours * HVAC Factor)/1000</t>
  </si>
  <si>
    <t>Propose Wattage per Unit * Proposed Units per Fixture</t>
  </si>
  <si>
    <t>Proposed Fixture kWh Consumption Site</t>
  </si>
  <si>
    <t>(Proposed Fixture Wattage * Proposed Fixture Quantity * Annual Hours * HVAC Factor)/1000</t>
  </si>
  <si>
    <t>Fixture kWh Savings Site</t>
  </si>
  <si>
    <t>Existing Fixture kWh Consumption Site - Proposed Fixture kWh Consumption Site</t>
  </si>
  <si>
    <t>Fixture kWh Savings Site / Existing Fixture kWh Consumption Site</t>
  </si>
  <si>
    <t>Controls kWh Savings Site</t>
  </si>
  <si>
    <t>IF(Measure Type = 'Controls Only' THEN IF(Control Type = 'Multi-function' THEN Existing Fixture kWh Consumption Site * Hours Reduced Percentage * Wattage Reduced Percentage ELSE Existing Fixture kWh Consumption Site * Hours Reduced Percentage)
ELSE IF(Measure Type = 'Fixtures' THEN IF(Control Type = 'Multi-function' THEN Proposed Fixture kWh Consumption Site * Hours Reduced Percentage * Wattage Reduced Percentage ELSE Proposed Fixture kWh Consumption Site * Hours Reduced Percentage)
ELSE 0))</t>
  </si>
  <si>
    <t>Controls kWh Savings Site / Existing Fixture kWh Consumption Site</t>
  </si>
  <si>
    <t>Total kWh Savings Site</t>
  </si>
  <si>
    <t>Fixture kWh Savings Site + Controls kWh Savings Site</t>
  </si>
  <si>
    <t>Total kWh Savings Percentage</t>
  </si>
  <si>
    <t>Total kWh Savings Site / Existing Fixture kWh Consumption Site</t>
  </si>
  <si>
    <t>Incentive</t>
  </si>
  <si>
    <t>Fixture Incentive Name</t>
  </si>
  <si>
    <t>Fixture Incentive Rate</t>
  </si>
  <si>
    <t>INDEX MATCH on Fixture Incentive Name to return Incentive Rate from Incentive Rate Table</t>
  </si>
  <si>
    <t>Fixture Incentive Unit</t>
  </si>
  <si>
    <t>INDEX MATCH on Fixture Incentive Name to return Incentive Unit from Incentive Rate Table</t>
  </si>
  <si>
    <t>Fixture Incentive Amount</t>
  </si>
  <si>
    <t>Controls Incentive Name</t>
  </si>
  <si>
    <t>IF (Rate Class = 'Small General (B)' THEN 'Standard B'
ELSE IF (Rate Class = 'General (G) THEN 'Standard G'
ELSE IF (Rate ClassField = 'High Voltage (HVG)' THEN 'Standard HVG'
ELSE 'Error')))</t>
  </si>
  <si>
    <t>Controls Incentive Rate</t>
  </si>
  <si>
    <t>INDEX MATCH on Controls Incentive Name to return Incentive Rate from Incentive Rate Table</t>
  </si>
  <si>
    <t>Controls Incentive Amount</t>
  </si>
  <si>
    <t>IF (Controls kWh Savings Site &lt; 0 THEN 0
ELSE IF (Controls kWh Savings Site * Controls Incentive Rate
ELSE,0))</t>
  </si>
  <si>
    <t>Reporting</t>
  </si>
  <si>
    <t>Fixture Commercial BPA Reference Number</t>
  </si>
  <si>
    <t>INDEX MATCH on Proposed Fixture Class, Proposed Fixture Category, and Proposed Fixture Sub-category to return the Fixture Commercial BPA Reference Number from the Ballast Factor Table</t>
  </si>
  <si>
    <t>Fixture Industrial BPA Reference Number</t>
  </si>
  <si>
    <t>INDEX MATCH on Proposed Fixture Class, Proposed Fixture Category, and Proposed Fixture Sub-category to return the Fixture Industrial BPA Reference Number from the Ballast Factor Table</t>
  </si>
  <si>
    <t>Fixture BPA Reference Number</t>
  </si>
  <si>
    <t>IF (Sector = 'Commercial' THEN Fixture Commercial BPA Reference Number
ELSE IF (Sector = 'Industrial' THEN Fixture Industrial BPA Reference Number
ELSE 'Sector is blank'))</t>
  </si>
  <si>
    <t>Controls BPA Reference Number</t>
  </si>
  <si>
    <t>INDEX MATCH on Sector to return the Controls BPA Reference Number from the Controls BPA Ref No. Table</t>
  </si>
  <si>
    <t>VLOOKUP on Rate Class to return Percent of Project Cost that Total Project Incentive Cannot Exceed from the Incentive Rate Table</t>
  </si>
  <si>
    <t>Maximum Allowed Project Incentive by Percentage of Project Cost</t>
  </si>
  <si>
    <t>IF(Project Cost * Percent of Project Cost that Total Project Incentive Cannot Exceed)</t>
  </si>
  <si>
    <t>Project Incentive Payout</t>
  </si>
  <si>
    <t>Project Incentive Explanation</t>
  </si>
  <si>
    <t>Note: On the "Project Summary" tab the following formula exists. I'm calling it out because when there are no data in the calculator, you can't see that there's a formula in the cell (A24 as of 6/2/26.)
IF(ISBLANK(RateClassField),"",CONCAT("* Tacoma Power pays the lesser of the uncapped incentive or ", Percent of Project Cost that Total Project Incentive Cannot Exceed*100, "% of project cost."))</t>
  </si>
  <si>
    <t>ROI</t>
  </si>
  <si>
    <t>Incentive as Percentage of Project Cost</t>
  </si>
  <si>
    <t>Project Incentive Payout / Project Cost</t>
  </si>
  <si>
    <t>Customer Out-of-Pocket Cost</t>
  </si>
  <si>
    <t>Project Cost - Project Incentive Payout</t>
  </si>
  <si>
    <t>Average Energy Cost</t>
  </si>
  <si>
    <t>VLOOKUP on Rate Class to return Energy Rate from the Electricity Rate Table</t>
  </si>
  <si>
    <t>Yearly Energy Cost Savings</t>
  </si>
  <si>
    <t>Total kWh savings site x Average Energy Cost</t>
  </si>
  <si>
    <t>Yearly O&amp;M Savings</t>
  </si>
  <si>
    <t>Project Cost x O&amp;M Percent</t>
  </si>
  <si>
    <t>Simple Payback in Years</t>
  </si>
  <si>
    <t>IF Project Incentive Payout = Project Cost THEN 1 ELSE Customer Out-of-Pocket Cost / (Yearly Energy Cost Savings + Yearly O&amp;M Savings)</t>
  </si>
  <si>
    <t>Return On Investment (ROI)</t>
  </si>
  <si>
    <t>1/Simple Payback in Years</t>
  </si>
  <si>
    <t>Cost of Waiting 6 months</t>
  </si>
  <si>
    <t>(Yearly Energy Cost Savings + Yearly O&amp;M Savings) / 2</t>
  </si>
  <si>
    <t>Cost of Waiting 1 Year</t>
  </si>
  <si>
    <t>Yearly Energy Cost Savings + Yearly O&amp;M Savings</t>
  </si>
  <si>
    <t>Cost of Waiting 3 Years</t>
  </si>
  <si>
    <t>Cost of Waiting 1 Year * 3</t>
  </si>
  <si>
    <t>Cost of Waiting 5 Years</t>
  </si>
  <si>
    <t>Cost of Waiting 1 Year * 5</t>
  </si>
  <si>
    <t>Print Areas</t>
  </si>
  <si>
    <t>The below is used to dynamically set the print areas for the "Spaces", "Measures", "Walkthrough", and "Fixture Review" tabs.</t>
  </si>
  <si>
    <t>We only want to print rows that are populated, and we do this by counting a) the number of populated roles, b) the number of header rows that are above the tables, and c) the number of columns in the table.</t>
  </si>
  <si>
    <t>How to set dynamic print areas</t>
  </si>
  <si>
    <t>For each of the tabs…</t>
  </si>
  <si>
    <t>1. Go to the tab.</t>
  </si>
  <si>
    <t>2. Highlight with the cursor all cells from A1 to the last for-customer-display column and down to the last row of the table.</t>
  </si>
  <si>
    <t>3. Set this as the print area.</t>
  </si>
  <si>
    <t>4. Go to Page Setup.</t>
  </si>
  <si>
    <t>5. Set the margins.</t>
  </si>
  <si>
    <t>6. Set the header.</t>
  </si>
  <si>
    <t>7. Set the footers.</t>
  </si>
  <si>
    <t>8. Set the appropriate rows to repeat for printing.</t>
  </si>
  <si>
    <t>9. Set the appropriate columns to repeat for printing.</t>
  </si>
  <si>
    <t>10. Save the page setup.</t>
  </si>
  <si>
    <t>11. Copy the tab's OFFSET formula from below.</t>
  </si>
  <si>
    <t>12. Go to the Name Manager.</t>
  </si>
  <si>
    <r>
      <t>13. Create a new Named Range. Title it "DynamicPrintArea</t>
    </r>
    <r>
      <rPr>
        <i/>
        <sz val="11"/>
        <color theme="1"/>
        <rFont val="Calibri"/>
        <family val="2"/>
      </rPr>
      <t>TabName</t>
    </r>
    <r>
      <rPr>
        <sz val="11"/>
        <color theme="1"/>
        <rFont val="Calibri"/>
        <family val="2"/>
      </rPr>
      <t>".</t>
    </r>
  </si>
  <si>
    <t>14. Enter the OFFSET formula.</t>
  </si>
  <si>
    <t>15. Save the Named Range.</t>
  </si>
  <si>
    <t>16. Still in the Name Manager, find the Named Range title "Print_Area" that pertains to the tab.</t>
  </si>
  <si>
    <t>Do NOT rename it.</t>
  </si>
  <si>
    <r>
      <t>17. In it's formula expression box, enter "=DynamicPrintArea</t>
    </r>
    <r>
      <rPr>
        <i/>
        <sz val="11"/>
        <color theme="1"/>
        <rFont val="Calibri"/>
        <family val="2"/>
      </rPr>
      <t>TabName</t>
    </r>
    <r>
      <rPr>
        <sz val="11"/>
        <color theme="1"/>
        <rFont val="Calibri"/>
        <family val="2"/>
      </rPr>
      <t>".</t>
    </r>
  </si>
  <si>
    <t>18. Save the Named Range "Print_Area".</t>
  </si>
  <si>
    <t>19. Go to the tab and test via its Print Preview.</t>
  </si>
  <si>
    <r>
      <rPr>
        <b/>
        <sz val="11"/>
        <color rgb="FFC00000"/>
        <rFont val="Calibri"/>
        <family val="2"/>
      </rPr>
      <t>IMPORTANT:</t>
    </r>
    <r>
      <rPr>
        <sz val="11"/>
        <color theme="1"/>
        <rFont val="Calibri"/>
        <family val="2"/>
      </rPr>
      <t xml:space="preserve"> If you go to the tab's Page Setup settings after you've done the above steps, you </t>
    </r>
    <r>
      <rPr>
        <u/>
        <sz val="11"/>
        <color theme="1"/>
        <rFont val="Calibri"/>
        <family val="2"/>
      </rPr>
      <t>must</t>
    </r>
    <r>
      <rPr>
        <sz val="11"/>
        <color theme="1"/>
        <rFont val="Calibri"/>
        <family val="2"/>
      </rPr>
      <t xml:space="preserve"> A) set the print area again (step 3), B) reassociate the DynamicPrintArea named range to the Print_Area named range (steps 16 thru 18), and C) test (step 19).</t>
    </r>
  </si>
  <si>
    <t>Formula Building Blocks for Dynamic Print Area</t>
  </si>
  <si>
    <t>The below rows show each component of the OFFSET formula that determines which cells should be printed.</t>
  </si>
  <si>
    <t>It's just a way to think out loud and assemble the OFFSET formula piece by piece.</t>
  </si>
  <si>
    <t>Remember: If you add or remove any columns or rows on the tabs, you must update the OFFSET formula.</t>
  </si>
  <si>
    <t>Description</t>
  </si>
  <si>
    <t>Results of Formula at Right</t>
  </si>
  <si>
    <t>Formula Building Blocks</t>
  </si>
  <si>
    <t>Starting cell for the print area</t>
  </si>
  <si>
    <t>Spaces!$A$1</t>
  </si>
  <si>
    <t>Number of header rows above the table</t>
  </si>
  <si>
    <t>MATCH("Row",Spaces!$A$1:$A$57,0)</t>
  </si>
  <si>
    <t>Number of rows populated, excluding table's column header</t>
  </si>
  <si>
    <t>COUNTA(SpaceTable[Space Type])</t>
  </si>
  <si>
    <t>Number of columns in the table</t>
  </si>
  <si>
    <t>COUNTA(Spaces!$6:$6)</t>
  </si>
  <si>
    <t>Formula for the dynamic print area</t>
  </si>
  <si>
    <t>Hard copy of the above formula - This is what is copied into the Name Manager</t>
  </si>
  <si>
    <t>OFFSET(Spaces!$A$1,0,0,MATCH("Row",Spaces!$A$1:$A$57,0)+COUNTA(SpaceTable[Space Type]),COUNTA(Spaces!$6:$6))</t>
  </si>
  <si>
    <t>Measures!$A$1</t>
  </si>
  <si>
    <t>MATCH("Row",Measures!$A$1:$A$507,0)</t>
  </si>
  <si>
    <t>COUNTA(Measures!$B$5:$B$507)-1</t>
  </si>
  <si>
    <t>COUNTA(Measures!$5:$5)</t>
  </si>
  <si>
    <t>OFFSET(Measures!$A$1,0,0,MATCH("Row",Measures!$A$1:$A$507,0)+COUNTA(Measures!$B$5:$B$507)-1,COUNTA(Measures!$5:$5))</t>
  </si>
  <si>
    <t>Walkthrough!$A$1</t>
  </si>
  <si>
    <t>MATCH("Row",Walkthrough!$A$1:$A$507,0)</t>
  </si>
  <si>
    <t>COUNTIF(Walkthrough!$P$7:$P507,"Yes")</t>
  </si>
  <si>
    <t>COUNTA(Walkthrough!$7:$7)</t>
  </si>
  <si>
    <t>OFFSET(Walkthrough!$A$1,0,0,MATCH("Row",Walkthrough!$A$1:$A$507,0)+COUNTIF(Walkthrough!$P$7:$P507,"Yes"),COUNTA(Walkthrough!$7:$7))</t>
  </si>
  <si>
    <t>'Fixture Review'!$A$1</t>
  </si>
  <si>
    <t>MATCH("Measure",'Fixture Review'!$A$1:$A$6,0)</t>
  </si>
  <si>
    <t>COUNTA('Fixture Review'!$A$7:$A$119)</t>
  </si>
  <si>
    <t>COUNTA('Fixture Review'!$6:$6)</t>
  </si>
  <si>
    <t>OFFSET('Fixture Review'!$A$1,0,0,MATCH("Measure",'Fixture Review'!$A$1:$A$6,0)+COUNTA('Fixture Review'!$A$7:$A$119),COUNTA('Fixture Review'!$6:$6))</t>
  </si>
  <si>
    <t>SUM(Existing Fixture kWh Consumption Site) for all measures</t>
  </si>
  <si>
    <t>Exit Sign kWh Savings Site</t>
  </si>
  <si>
    <t>IF (Proposed Fixture Category = 'Exit Sign', SUM (Fixture kWh Savings Site)</t>
  </si>
  <si>
    <t>All Other Fixture Types, incl. Decommissioning, kWh Savings Site</t>
  </si>
  <si>
    <t>IF (Total Fixture kWh Savings Site &lt; 0 THEN 0
ELSE IF (Exit Sign kWh Savings Site &lt; 0 THEN 0
ELSE IF (Proposed Fixture Category = 'Exit Sign', SUM (Fixture Incentive Amount)</t>
  </si>
  <si>
    <t>IF (Total Fixture kWh Savings Site &lt; 0 THEN 0
ELSE IF (All Other Fixture Types, incl. Decommissioning, kWh Savings Site &lt; 0 THEN 0
ELSE All Other Fixture Types, incl. Decommissioning, kWh Savings Site * Fixture Incentive Rate</t>
  </si>
  <si>
    <t>Tube kWh Savings Site</t>
  </si>
  <si>
    <t>IF (Proposed Fixture Category = 'Tube', SUM (Fixture kWh Savings Site)</t>
  </si>
  <si>
    <t>IF(Proposed Fixture Category = 'Tube' THEN 'LED Tubes'
ELSE IF (Proposed Fixture Category = 'Exit Sign' THEN 'LED Exit Sign'
ELSE IF (Rate Class = 'Small General (B)' THEN 'Standard B'
ELSE IF (Rate Class = 'General (G) THEN 'Standard G'
ELSE IF (Rate ClassField = 'High Voltage (HVG)' THEN 'Standard HVG'
ELSE 'Error')))))</t>
  </si>
  <si>
    <t>Total Fixture kWh Savings Site - Exit Sign kWh Savings Site - Tube kWh Savings Site</t>
  </si>
  <si>
    <t>IF (Total Fixture kWh Savings Site &lt; 0 THEN 0
ELSE IF (Tube kWh Savings Site &lt; 0 THEN 0
ELSE IF (Proposed Fixture Category = 'Tube', SUM (Fixture Incentive Amount)</t>
  </si>
  <si>
    <t>Exit Sign Fix. Incentive Adj. for Negative kWh Savings + Tube Fix. Incentive Adj. for Negative kWh Savings + All Other Fix. Incentive Adj. for Negative kWh Sav.</t>
  </si>
  <si>
    <t>SUM (Controls Incentive Amount)</t>
  </si>
  <si>
    <t>SUM (Fixture kWh Savings Site) for all measures</t>
  </si>
  <si>
    <t>Grand Total Fixture kWh Savings Site</t>
  </si>
  <si>
    <t>Grand Total Fixture kWh Savings Percentage</t>
  </si>
  <si>
    <t>Grand Total Fixture kWh Savings Site / Grand Total Existing Fixture kWh Consumption Site</t>
  </si>
  <si>
    <t>Grand Total Existing Fixture kWh Consumption Site</t>
  </si>
  <si>
    <t>Grand Total Controls Incentive Amount</t>
  </si>
  <si>
    <t>Fixture Incentive Adjusted + Grand Total Controls Incentive Amount</t>
  </si>
  <si>
    <t>Column Header 1</t>
  </si>
  <si>
    <t>Column Header 2</t>
  </si>
  <si>
    <t>SUM (Controls kWh Savings Site)</t>
  </si>
  <si>
    <t>Grand Total Controls kWh Savings</t>
  </si>
  <si>
    <t>MIN(Uncapped Incentive (Adj. Fixture + Controls), Maximum Allowed Project Incentive by Percentage of Project Cost)</t>
  </si>
  <si>
    <t>IF (Fixture kWh Savings Site = 0 THEN 0
ELSE IF (Fixture Incentive Unit = 'Per kWh Saved' THEN ROUND (Fixture Incentive Rate * Fixture kWh Savings Site, 2)
ELSE IF ELSE IF (Fixture Incentive Unit = 'Per Tube' AND Fixture kWh Savings Site &lt; 0 THEN ROUND (-Fixture Incentive Rate * Proposed Units per Fixture * Proposed Fixture Quantity ,2)
ELSE IF (Fixture Incentive Unit = 'Per Tube' THEN ROUND (Fixture Incentive Rate * Proposed Units per Fixture * Proposed Fixture Quantity ,2)
ELSE IF (Fixture Incentive Unit ='Per Fixture' AND AND Fixture kWh Savings Site &lt; 0 THEN ROUND (-Fixture Incentive Rate *Proposed Fixture Quantity, 2)
ELSE IF (Fixture Incentive Unit ='Per Fixture' THEN ROUND (Fixture Incentive Rate *Proposed Fixture Quantity, 2)
ELSE,0)))))</t>
  </si>
  <si>
    <t>Updated "Next Steps" link on the "Welcome" tab:
To: Bright-Rebates-Project-Checklist.pdf: https://www.mytpu.org/wp-content/uploads/Bright-Rebates-Project-Checklist.pdf
From: Bright Rebates Process Requirements (PDF):  https://www.mytpu.org/wp-content/uploads/BCEP_Process_Requirements.pdf.</t>
  </si>
  <si>
    <t>July_6_2026</t>
  </si>
  <si>
    <t>Application Version: July_6_2026</t>
  </si>
  <si>
    <t>Bright-Rebates-Project-Checklist.pdf</t>
  </si>
  <si>
    <t>CONTROLS_KWH_SITE_SAVINGS_HELPER</t>
  </si>
  <si>
    <t>PROJECT_SUMMARY_AVG_ENERGY_COST_FOR_RATE_CLASS</t>
  </si>
  <si>
    <t>INCENTIVE_RATE_PER_KWH_SAVED</t>
  </si>
  <si>
    <t>EXIT_SIGN_KWH_SAVINGS</t>
  </si>
  <si>
    <t>TUBE_KWH_SAVINGS</t>
  </si>
  <si>
    <t>TOTAL_FIXTURE_KWH_SAVINGS</t>
  </si>
  <si>
    <t>TOTAL_CONTROL_KWH_SAVINGS</t>
  </si>
  <si>
    <t>ALL_OTHER_FIXTURE_TYPES_PLUS_DECOMMISSIONING_KWH_SAVINGS</t>
  </si>
  <si>
    <t>EXIT_SIGN_FIXURE_INCENTIVE_ADJUSTED_FOR_NEGATIVE_KWH_SAVINGS</t>
  </si>
  <si>
    <t>TUBE_FIXURE_INCENTIVE_ADJUSTED_FOR_NEGATIVE_KWH_SAVINGS</t>
  </si>
  <si>
    <t>ALL_OTHER_FIXURES_PLUS_DECOMMISSIONING_INCENTIVE_ADJUSTED_FOR_NEGATIVE_KWH_SAVINGS</t>
  </si>
  <si>
    <t>FIXTURE_INCENTIVE_ADJUSTED_FOR_NEGATIVE_KWH_SAVINGS</t>
  </si>
  <si>
    <t>CONTROLS_INCENTIVE</t>
  </si>
  <si>
    <t>UNCAPPED_INCENTIVE_ADJUSTED_FIXTURE_PLUS_CONTROLS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</si>
</sst>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0.0000"/>
    <numFmt numFmtId="165" formatCode="&quot;$&quot;#,##0"/>
    <numFmt numFmtId="166" formatCode="&quot;$&quot;#,##0.00"/>
    <numFmt numFmtId="167" formatCode="0.0%"/>
    <numFmt numFmtId="168" formatCode="0.0"/>
    <numFmt numFmtId="169" formatCode="#,##0.00000"/>
    <numFmt numFmtId="170" formatCode="&quot;$&quot;#,##0.000000"/>
    <numFmt numFmtId="171" formatCode="[&lt;=9999999]###\-####;\(###\)\ ###\-####"/>
  </numFmts>
  <fonts count="48" x14ac:knownFonts="1">
    <font>
      <sz val="11"/>
      <color theme="1"/>
      <name val="Calibri"/>
      <family val="2"/>
    </font>
    <font>
      <u/>
      <sz val="11"/>
      <color theme="10"/>
      <name val="Calibri"/>
      <family val="2"/>
    </font>
    <font>
      <b/>
      <sz val="11"/>
      <color theme="1"/>
      <name val="Calibri"/>
      <family val="2"/>
    </font>
    <font>
      <sz val="10"/>
      <color theme="1"/>
      <name val="Arial"/>
      <family val="2"/>
    </font>
    <font>
      <sz val="11"/>
      <color indexed="8"/>
      <name val="Calibri"/>
      <family val="2"/>
    </font>
    <font>
      <sz val="11"/>
      <color theme="1"/>
      <name val="Calibri"/>
      <family val="2"/>
    </font>
    <font>
      <sz val="11"/>
      <color rgb="FF000000"/>
      <name val="Calibri"/>
      <family val="2"/>
    </font>
    <font>
      <sz val="11"/>
      <color rgb="FFC00000"/>
      <name val="Calibri"/>
      <family val="2"/>
    </font>
    <font>
      <sz val="11"/>
      <name val="Calibri"/>
      <family val="2"/>
    </font>
    <font>
      <sz val="11"/>
      <color theme="1"/>
      <name val="Aptos Narrow"/>
      <family val="2"/>
      <scheme val="minor"/>
    </font>
    <font>
      <u/>
      <sz val="11"/>
      <name val="Calibri"/>
      <family val="2"/>
    </font>
    <font>
      <sz val="10"/>
      <color theme="1"/>
      <name val="Calibri"/>
      <family val="2"/>
    </font>
    <font>
      <sz val="8"/>
      <name val="Calibri"/>
      <family val="2"/>
    </font>
    <font>
      <b/>
      <sz val="14"/>
      <color theme="1"/>
      <name val="Calibri"/>
      <family val="2"/>
    </font>
    <font>
      <i/>
      <sz val="11"/>
      <color theme="1"/>
      <name val="Calibri"/>
      <family val="2"/>
    </font>
    <font>
      <u/>
      <sz val="11"/>
      <color theme="1"/>
      <name val="Calibri"/>
      <family val="2"/>
    </font>
    <font>
      <b/>
      <sz val="11"/>
      <color rgb="FF7030A0"/>
      <name val="Calibri"/>
      <family val="2"/>
    </font>
    <font>
      <sz val="11"/>
      <color theme="5" tint="-0.249977111117893"/>
      <name val="Calibri"/>
      <family val="2"/>
    </font>
    <font>
      <b/>
      <sz val="11"/>
      <color theme="5" tint="-0.249977111117893"/>
      <name val="Calibri"/>
      <family val="2"/>
    </font>
    <font>
      <b/>
      <sz val="11"/>
      <color theme="9" tint="-0.249977111117893"/>
      <name val="Calibri"/>
      <family val="2"/>
    </font>
    <font>
      <b/>
      <sz val="11"/>
      <color theme="8" tint="-0.249977111117893"/>
      <name val="Calibri"/>
      <family val="2"/>
    </font>
    <font>
      <b/>
      <sz val="11"/>
      <color theme="7" tint="-0.249977111117893"/>
      <name val="Calibri"/>
      <family val="2"/>
    </font>
    <font>
      <b/>
      <sz val="11"/>
      <color theme="2" tint="-0.749992370372631"/>
      <name val="Calibri"/>
      <family val="2"/>
    </font>
    <font>
      <b/>
      <sz val="11"/>
      <name val="Calibri"/>
      <family val="2"/>
    </font>
    <font>
      <b/>
      <sz val="18"/>
      <color theme="1"/>
      <name val="Calibri"/>
      <family val="2"/>
    </font>
    <font>
      <sz val="9"/>
      <color theme="1"/>
      <name val="Calibri"/>
      <family val="2"/>
    </font>
    <font>
      <b/>
      <sz val="16"/>
      <color theme="1"/>
      <name val="Calibri"/>
      <family val="2"/>
    </font>
    <font>
      <sz val="11"/>
      <color rgb="FF7030A0"/>
      <name val="Calibri"/>
      <family val="2"/>
    </font>
    <font>
      <sz val="9"/>
      <color rgb="FF000000"/>
      <name val="Calibri"/>
      <family val="2"/>
    </font>
    <font>
      <b/>
      <i/>
      <sz val="11"/>
      <name val="Calibri"/>
      <family val="2"/>
    </font>
    <font>
      <sz val="9"/>
      <name val="Calibri"/>
      <family val="2"/>
    </font>
    <font>
      <b/>
      <sz val="11"/>
      <color rgb="FFC00000"/>
      <name val="Calibri"/>
      <family val="2"/>
    </font>
    <font>
      <i/>
      <sz val="11"/>
      <name val="Calibri"/>
      <family val="2"/>
    </font>
    <font>
      <sz val="14"/>
      <color theme="1"/>
      <name val="Calibri"/>
      <family val="2"/>
    </font>
    <font>
      <b/>
      <sz val="14"/>
      <name val="Calibri"/>
      <family val="2"/>
    </font>
    <font>
      <b/>
      <sz val="22"/>
      <color theme="1"/>
      <name val="Calibri"/>
      <family val="2"/>
    </font>
    <font>
      <sz val="22"/>
      <color theme="1"/>
      <name val="Calibri"/>
      <family val="2"/>
    </font>
    <font>
      <b/>
      <sz val="20"/>
      <color theme="1"/>
      <name val="Calibri"/>
      <family val="2"/>
    </font>
    <font>
      <b/>
      <sz val="9"/>
      <color rgb="FFC00000"/>
      <name val="Calibri"/>
      <family val="2"/>
    </font>
    <font>
      <sz val="11"/>
      <color rgb="FF0070C0"/>
      <name val="Calibri"/>
      <family val="2"/>
    </font>
    <font>
      <b/>
      <sz val="12"/>
      <color theme="7" tint="-0.249977111117893"/>
      <name val="Calibri"/>
      <family val="2"/>
    </font>
    <font>
      <b/>
      <sz val="12"/>
      <color theme="8" tint="-0.249977111117893"/>
      <name val="Calibri"/>
      <family val="2"/>
    </font>
    <font>
      <sz val="12"/>
      <color theme="1"/>
      <name val="Calibri"/>
      <family val="2"/>
    </font>
    <font>
      <b/>
      <sz val="12"/>
      <color theme="9" tint="-0.249977111117893"/>
      <name val="Calibri"/>
      <family val="2"/>
    </font>
    <font>
      <b/>
      <sz val="12"/>
      <color rgb="FF7030A0"/>
      <name val="Calibri"/>
      <family val="2"/>
    </font>
    <font>
      <b/>
      <sz val="12"/>
      <color theme="2" tint="-0.749992370372631"/>
      <name val="Calibri"/>
      <family val="2"/>
    </font>
    <font>
      <b/>
      <sz val="12"/>
      <color theme="1"/>
      <name val="Calibri"/>
      <family val="2"/>
    </font>
    <font>
      <sz val="11"/>
      <color theme="0"/>
      <name val="Calibri"/>
      <family val="2"/>
    </font>
  </fonts>
  <fills count="21">
    <fill>
      <patternFill patternType="none"/>
    </fill>
    <fill>
      <patternFill patternType="gray125"/>
    </fill>
    <fill>
      <patternFill patternType="solid">
        <fgColor theme="2"/>
        <bgColor indexed="64"/>
      </patternFill>
    </fill>
    <fill>
      <patternFill patternType="solid">
        <fgColor theme="5" tint="0.79998168889431442"/>
        <bgColor indexed="64"/>
      </patternFill>
    </fill>
    <fill>
      <patternFill patternType="solid">
        <fgColor theme="3" tint="0.89999084444715716"/>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9" tint="-0.249977111117893"/>
        <bgColor indexed="64"/>
      </patternFill>
    </fill>
    <fill>
      <patternFill patternType="solid">
        <fgColor theme="5" tint="-0.249977111117893"/>
        <bgColor indexed="64"/>
      </patternFill>
    </fill>
    <fill>
      <patternFill patternType="solid">
        <fgColor rgb="FF7030A0"/>
        <bgColor indexed="64"/>
      </patternFill>
    </fill>
    <fill>
      <patternFill patternType="solid">
        <fgColor theme="2" tint="-0.749992370372631"/>
        <bgColor indexed="64"/>
      </patternFill>
    </fill>
    <fill>
      <patternFill patternType="solid">
        <fgColor theme="1"/>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2" tint="-0.249977111117893"/>
        <bgColor indexed="64"/>
      </patternFill>
    </fill>
    <fill>
      <patternFill patternType="solid">
        <fgColor theme="6" tint="0.79998168889431442"/>
        <bgColor indexed="64"/>
      </patternFill>
    </fill>
    <fill>
      <patternFill patternType="solid">
        <fgColor rgb="FFCCCCFF"/>
        <bgColor indexed="64"/>
      </patternFill>
    </fill>
    <fill>
      <patternFill patternType="solid">
        <fgColor rgb="FFFF3300"/>
        <bgColor indexed="64"/>
      </patternFill>
    </fill>
    <fill>
      <patternFill patternType="solid">
        <fgColor rgb="FF782170"/>
        <bgColor indexed="64"/>
      </patternFill>
    </fill>
    <fill>
      <patternFill patternType="solid">
        <fgColor rgb="FF3C7D22"/>
        <bgColor indexed="64"/>
      </patternFill>
    </fill>
  </fills>
  <borders count="33">
    <border>
      <left/>
      <right/>
      <top/>
      <bottom/>
      <diagonal/>
    </border>
    <border>
      <left/>
      <right/>
      <top/>
      <bottom style="thin">
        <color indexed="64"/>
      </bottom>
      <diagonal/>
    </border>
    <border>
      <left/>
      <right/>
      <top style="thin">
        <color theme="0" tint="-0.499984740745262"/>
      </top>
      <bottom style="medium">
        <color theme="0" tint="-0.499984740745262"/>
      </bottom>
      <diagonal/>
    </border>
    <border>
      <left/>
      <right/>
      <top/>
      <bottom style="thin">
        <color theme="0" tint="-0.499984740745262"/>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499984740745262"/>
      </left>
      <right/>
      <top style="thin">
        <color theme="0" tint="-0.24994659260841701"/>
      </top>
      <bottom style="thin">
        <color theme="0" tint="-0.24994659260841701"/>
      </bottom>
      <diagonal/>
    </border>
    <border>
      <left/>
      <right style="medium">
        <color theme="0" tint="-0.499984740745262"/>
      </right>
      <top style="thin">
        <color theme="0" tint="-0.24994659260841701"/>
      </top>
      <bottom style="thin">
        <color theme="0" tint="-0.24994659260841701"/>
      </bottom>
      <diagonal/>
    </border>
    <border>
      <left/>
      <right/>
      <top/>
      <bottom style="thin">
        <color theme="0" tint="-0.24994659260841701"/>
      </bottom>
      <diagonal/>
    </border>
    <border>
      <left/>
      <right/>
      <top style="thin">
        <color theme="0" tint="-0.24994659260841701"/>
      </top>
      <bottom/>
      <diagonal/>
    </border>
    <border>
      <left/>
      <right style="medium">
        <color auto="1"/>
      </right>
      <top/>
      <bottom/>
      <diagonal/>
    </border>
    <border>
      <left/>
      <right/>
      <top/>
      <bottom style="medium">
        <color theme="0" tint="-0.499984740745262"/>
      </bottom>
      <diagonal/>
    </border>
    <border>
      <left style="thin">
        <color theme="0" tint="-0.24994659260841701"/>
      </left>
      <right style="medium">
        <color theme="0" tint="-0.499984740745262"/>
      </right>
      <top style="thin">
        <color theme="0" tint="-0.24994659260841701"/>
      </top>
      <bottom style="thin">
        <color theme="0" tint="-0.24994659260841701"/>
      </bottom>
      <diagonal/>
    </border>
    <border>
      <left/>
      <right style="medium">
        <color theme="0" tint="-0.499984740745262"/>
      </right>
      <top/>
      <bottom style="thin">
        <color theme="0" tint="-0.24994659260841701"/>
      </bottom>
      <diagonal/>
    </border>
    <border>
      <left/>
      <right style="medium">
        <color theme="0" tint="-0.499984740745262"/>
      </right>
      <top/>
      <bottom/>
      <diagonal/>
    </border>
    <border>
      <left/>
      <right style="medium">
        <color theme="0" tint="-0.499984740745262"/>
      </right>
      <top style="thin">
        <color theme="0" tint="-0.499984740745262"/>
      </top>
      <bottom style="medium">
        <color theme="0" tint="-0.499984740745262"/>
      </bottom>
      <diagonal/>
    </border>
    <border>
      <left/>
      <right style="medium">
        <color theme="0" tint="-0.499984740745262"/>
      </right>
      <top/>
      <bottom style="thin">
        <color theme="0" tint="-0.499984740745262"/>
      </bottom>
      <diagonal/>
    </border>
    <border>
      <left style="medium">
        <color theme="0" tint="-0.499984740745262"/>
      </left>
      <right/>
      <top/>
      <bottom/>
      <diagonal/>
    </border>
    <border>
      <left style="medium">
        <color theme="0" tint="-0.499984740745262"/>
      </left>
      <right/>
      <top style="thin">
        <color theme="0" tint="-0.499984740745262"/>
      </top>
      <bottom style="medium">
        <color theme="0" tint="-0.499984740745262"/>
      </bottom>
      <diagonal/>
    </border>
    <border>
      <left style="medium">
        <color theme="0" tint="-0.499984740745262"/>
      </left>
      <right style="medium">
        <color theme="0" tint="-0.499984740745262"/>
      </right>
      <top/>
      <bottom/>
      <diagonal/>
    </border>
    <border>
      <left style="medium">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style="medium">
        <color theme="0" tint="-0.499984740745262"/>
      </right>
      <top style="thin">
        <color theme="0" tint="-0.24994659260841701"/>
      </top>
      <bottom style="thin">
        <color theme="0" tint="-0.24994659260841701"/>
      </bottom>
      <diagonal/>
    </border>
    <border>
      <left/>
      <right style="medium">
        <color theme="0" tint="-0.499984740745262"/>
      </right>
      <top/>
      <bottom style="medium">
        <color theme="0" tint="-0.499984740745262"/>
      </bottom>
      <diagonal/>
    </border>
    <border>
      <left style="medium">
        <color theme="0" tint="-0.499984740745262"/>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theme="0" tint="-0.499984740745262"/>
      </right>
      <top/>
      <bottom style="thin">
        <color theme="0" tint="-0.24994659260841701"/>
      </bottom>
      <diagonal/>
    </border>
    <border>
      <left/>
      <right/>
      <top style="thin">
        <color theme="0" tint="-0.14996795556505021"/>
      </top>
      <bottom style="thin">
        <color theme="0" tint="-0.14996795556505021"/>
      </bottom>
      <diagonal/>
    </border>
    <border>
      <left style="medium">
        <color theme="0" tint="-0.499984740745262"/>
      </left>
      <right style="thin">
        <color theme="0" tint="-0.24994659260841701"/>
      </right>
      <top style="thin">
        <color theme="0" tint="-0.24994659260841701"/>
      </top>
      <bottom style="thin">
        <color theme="0" tint="-0.24994659260841701"/>
      </bottom>
      <diagonal/>
    </border>
    <border>
      <left style="medium">
        <color theme="0" tint="-0.499984740745262"/>
      </left>
      <right/>
      <top/>
      <bottom style="medium">
        <color theme="0" tint="-0.499984740745262"/>
      </bottom>
      <diagonal/>
    </border>
    <border>
      <left/>
      <right/>
      <top style="thin">
        <color indexed="64"/>
      </top>
      <bottom style="thin">
        <color theme="0" tint="-0.24994659260841701"/>
      </bottom>
      <diagonal/>
    </border>
    <border>
      <left/>
      <right/>
      <top style="double">
        <color theme="0" tint="-0.24994659260841701"/>
      </top>
      <bottom style="double">
        <color theme="0" tint="-0.24994659260841701"/>
      </bottom>
      <diagonal/>
    </border>
  </borders>
  <cellStyleXfs count="6">
    <xf numFmtId="0" fontId="0" fillId="0" borderId="0"/>
    <xf numFmtId="0" fontId="1" fillId="0" borderId="0" applyNumberFormat="0" applyFill="0" applyBorder="0" applyAlignment="0" applyProtection="0"/>
    <xf numFmtId="0" fontId="3" fillId="0" borderId="0"/>
    <xf numFmtId="9" fontId="4" fillId="0" borderId="0" applyFont="0" applyFill="0" applyBorder="0" applyAlignment="0" applyProtection="0"/>
    <xf numFmtId="0" fontId="9" fillId="0" borderId="0"/>
    <xf numFmtId="9" fontId="5" fillId="0" borderId="0" applyFont="0" applyFill="0" applyBorder="0" applyAlignment="0" applyProtection="0"/>
  </cellStyleXfs>
  <cellXfs count="612">
    <xf numFmtId="0" fontId="0" fillId="0" borderId="0" xfId="0"/>
    <xf numFmtId="0" fontId="2" fillId="0" borderId="0" xfId="0" applyFont="1"/>
    <xf numFmtId="9" fontId="0" fillId="0" borderId="0" xfId="0" applyNumberFormat="1"/>
    <xf numFmtId="0" fontId="0" fillId="0" borderId="1" xfId="0" applyBorder="1"/>
    <xf numFmtId="167" fontId="0" fillId="0" borderId="0" xfId="0" applyNumberFormat="1"/>
    <xf numFmtId="1" fontId="0" fillId="0" borderId="0" xfId="0" applyNumberFormat="1"/>
    <xf numFmtId="166" fontId="0" fillId="0" borderId="0" xfId="0" applyNumberFormat="1"/>
    <xf numFmtId="0" fontId="2" fillId="0" borderId="0" xfId="0" applyFont="1" applyAlignment="1">
      <alignment wrapText="1"/>
    </xf>
    <xf numFmtId="0" fontId="11" fillId="0" borderId="0" xfId="2" applyFont="1" applyFill="1" applyBorder="1"/>
    <xf numFmtId="0" fontId="5" fillId="0" borderId="0" xfId="0" applyFont="1" applyFill="1" applyBorder="1"/>
    <xf numFmtId="0" fontId="5" fillId="0" borderId="0" xfId="0" applyFont="1" applyFill="1" applyBorder="1" applyAlignment="1"/>
    <xf numFmtId="0" fontId="0" fillId="0" borderId="0" xfId="0" applyAlignment="1">
      <alignment vertical="top" wrapText="1"/>
    </xf>
    <xf numFmtId="0" fontId="0" fillId="0" borderId="0" xfId="0" applyFill="1" applyAlignment="1">
      <alignment vertical="top" wrapText="1"/>
    </xf>
    <xf numFmtId="0" fontId="2" fillId="0" borderId="0" xfId="0" applyFont="1" applyAlignment="1"/>
    <xf numFmtId="0" fontId="0" fillId="0" borderId="0" xfId="0" applyAlignment="1">
      <alignment vertical="top"/>
    </xf>
    <xf numFmtId="0" fontId="2" fillId="0" borderId="0" xfId="0" applyFont="1" applyFill="1" applyAlignment="1">
      <alignment wrapText="1"/>
    </xf>
    <xf numFmtId="0" fontId="0" fillId="0" borderId="0" xfId="0" applyFont="1"/>
    <xf numFmtId="0" fontId="13" fillId="0" borderId="0" xfId="0" applyFont="1"/>
    <xf numFmtId="0" fontId="14" fillId="2" borderId="0" xfId="0" applyFont="1" applyFill="1" applyAlignment="1">
      <alignment wrapText="1"/>
    </xf>
    <xf numFmtId="168" fontId="0" fillId="0" borderId="0" xfId="0" applyNumberFormat="1"/>
    <xf numFmtId="0" fontId="13" fillId="0" borderId="0" xfId="0" applyFont="1" applyAlignment="1">
      <alignment vertical="top"/>
    </xf>
    <xf numFmtId="0" fontId="13" fillId="0" borderId="0" xfId="0" applyFont="1" applyAlignment="1">
      <alignment vertical="top" wrapText="1"/>
    </xf>
    <xf numFmtId="0" fontId="2" fillId="0" borderId="1" xfId="0" applyFont="1" applyBorder="1" applyAlignment="1">
      <alignment vertical="top"/>
    </xf>
    <xf numFmtId="0" fontId="0" fillId="0" borderId="1" xfId="0" applyBorder="1" applyAlignment="1">
      <alignment vertical="top"/>
    </xf>
    <xf numFmtId="0" fontId="0" fillId="0" borderId="1" xfId="0" applyBorder="1" applyAlignment="1">
      <alignment vertical="top" wrapText="1"/>
    </xf>
    <xf numFmtId="0" fontId="21" fillId="5" borderId="0" xfId="0" applyFont="1" applyFill="1" applyBorder="1"/>
    <xf numFmtId="0" fontId="20" fillId="6" borderId="0" xfId="0" applyFont="1" applyFill="1" applyBorder="1"/>
    <xf numFmtId="0" fontId="0" fillId="6" borderId="0" xfId="0" applyFill="1" applyBorder="1"/>
    <xf numFmtId="168" fontId="0" fillId="6" borderId="0" xfId="0" applyNumberFormat="1" applyFill="1" applyBorder="1"/>
    <xf numFmtId="1" fontId="0" fillId="6" borderId="0" xfId="0" applyNumberFormat="1" applyFill="1" applyBorder="1"/>
    <xf numFmtId="0" fontId="19" fillId="7" borderId="0" xfId="0" applyFont="1" applyFill="1" applyBorder="1"/>
    <xf numFmtId="0" fontId="0" fillId="7" borderId="0" xfId="0" applyFill="1" applyBorder="1"/>
    <xf numFmtId="168" fontId="0" fillId="7" borderId="0" xfId="0" applyNumberFormat="1" applyFill="1" applyBorder="1"/>
    <xf numFmtId="1" fontId="0" fillId="7" borderId="0" xfId="0" applyNumberFormat="1" applyFill="1" applyBorder="1"/>
    <xf numFmtId="0" fontId="16" fillId="9" borderId="0" xfId="0" applyFont="1" applyFill="1" applyBorder="1"/>
    <xf numFmtId="0" fontId="0" fillId="9" borderId="0" xfId="0" applyFill="1" applyBorder="1"/>
    <xf numFmtId="0" fontId="0" fillId="0" borderId="0" xfId="0" applyAlignment="1">
      <alignment horizontal="left"/>
    </xf>
    <xf numFmtId="0" fontId="2" fillId="0" borderId="1" xfId="0" applyFont="1" applyBorder="1" applyAlignment="1">
      <alignment vertical="top" wrapText="1"/>
    </xf>
    <xf numFmtId="0" fontId="2" fillId="0" borderId="0" xfId="0" applyFont="1" applyFill="1" applyBorder="1"/>
    <xf numFmtId="0" fontId="0" fillId="0" borderId="0" xfId="0" applyFont="1" applyFill="1" applyBorder="1"/>
    <xf numFmtId="0" fontId="2" fillId="0" borderId="0" xfId="0" applyFont="1" applyFill="1" applyBorder="1" applyAlignment="1">
      <alignment wrapText="1"/>
    </xf>
    <xf numFmtId="0" fontId="5" fillId="0" borderId="0" xfId="0" applyFont="1" applyFill="1" applyBorder="1" applyAlignment="1">
      <alignment vertical="top"/>
    </xf>
    <xf numFmtId="0" fontId="5" fillId="0" borderId="0" xfId="0" applyFont="1" applyFill="1" applyBorder="1" applyAlignment="1">
      <alignment vertical="top" wrapText="1"/>
    </xf>
    <xf numFmtId="0" fontId="13" fillId="0" borderId="0" xfId="0" applyFont="1" applyFill="1" applyBorder="1"/>
    <xf numFmtId="0" fontId="23" fillId="0" borderId="0" xfId="2" applyFont="1" applyFill="1" applyBorder="1" applyAlignment="1">
      <alignment horizontal="center" wrapText="1"/>
    </xf>
    <xf numFmtId="0" fontId="5" fillId="0" borderId="0" xfId="2" applyFont="1" applyFill="1" applyBorder="1"/>
    <xf numFmtId="2" fontId="5" fillId="0" borderId="0" xfId="2" applyNumberFormat="1" applyFont="1" applyFill="1" applyBorder="1" applyAlignment="1">
      <alignment horizontal="center"/>
    </xf>
    <xf numFmtId="0" fontId="2" fillId="0" borderId="0" xfId="0" applyFont="1" applyBorder="1"/>
    <xf numFmtId="0" fontId="14" fillId="2" borderId="0" xfId="0" applyFont="1" applyFill="1" applyAlignment="1">
      <alignment horizontal="center" wrapText="1"/>
    </xf>
    <xf numFmtId="0" fontId="2" fillId="0" borderId="0" xfId="0" applyFont="1" applyAlignment="1">
      <alignment vertical="top"/>
    </xf>
    <xf numFmtId="0" fontId="25" fillId="0" borderId="0" xfId="0" applyFont="1"/>
    <xf numFmtId="0" fontId="25" fillId="0" borderId="0" xfId="0" applyFont="1" applyAlignment="1">
      <alignment vertical="top"/>
    </xf>
    <xf numFmtId="0" fontId="0" fillId="0" borderId="0" xfId="0" applyAlignment="1">
      <alignment horizontal="center" vertical="top"/>
    </xf>
    <xf numFmtId="0" fontId="0" fillId="0" borderId="0" xfId="0" applyAlignment="1"/>
    <xf numFmtId="3" fontId="0" fillId="0" borderId="0" xfId="0" applyNumberFormat="1"/>
    <xf numFmtId="3" fontId="0" fillId="6" borderId="0" xfId="0" applyNumberFormat="1" applyFill="1" applyBorder="1"/>
    <xf numFmtId="3" fontId="0" fillId="9" borderId="0" xfId="0" applyNumberFormat="1" applyFill="1" applyBorder="1"/>
    <xf numFmtId="3" fontId="0" fillId="10" borderId="0" xfId="0" applyNumberFormat="1" applyFill="1"/>
    <xf numFmtId="2" fontId="0" fillId="0" borderId="0" xfId="0" applyNumberFormat="1"/>
    <xf numFmtId="2" fontId="2" fillId="0" borderId="0" xfId="0" applyNumberFormat="1" applyFont="1" applyFill="1" applyAlignment="1">
      <alignment wrapText="1"/>
    </xf>
    <xf numFmtId="2" fontId="0" fillId="0" borderId="0" xfId="0" applyNumberFormat="1" applyAlignment="1">
      <alignment vertical="top" wrapText="1"/>
    </xf>
    <xf numFmtId="2" fontId="0" fillId="0" borderId="0" xfId="0" applyNumberFormat="1" applyFont="1"/>
    <xf numFmtId="2" fontId="0" fillId="6" borderId="0" xfId="0" applyNumberFormat="1" applyFont="1" applyFill="1" applyBorder="1"/>
    <xf numFmtId="9" fontId="17" fillId="8" borderId="0" xfId="0" applyNumberFormat="1" applyFont="1" applyFill="1" applyBorder="1"/>
    <xf numFmtId="165" fontId="0" fillId="0" borderId="0" xfId="0" applyNumberFormat="1"/>
    <xf numFmtId="9" fontId="0" fillId="9" borderId="0" xfId="0" applyNumberFormat="1" applyFill="1" applyBorder="1"/>
    <xf numFmtId="4" fontId="21" fillId="0" borderId="0" xfId="0" applyNumberFormat="1" applyFont="1" applyBorder="1" applyAlignment="1">
      <alignment vertical="top"/>
    </xf>
    <xf numFmtId="4" fontId="0" fillId="0" borderId="0" xfId="0" applyNumberFormat="1" applyBorder="1" applyAlignment="1">
      <alignment vertical="top"/>
    </xf>
    <xf numFmtId="0" fontId="0" fillId="5" borderId="0" xfId="0" applyFill="1" applyAlignment="1">
      <alignment vertical="top"/>
    </xf>
    <xf numFmtId="0" fontId="21" fillId="0" borderId="0" xfId="0" applyFont="1" applyFill="1" applyBorder="1"/>
    <xf numFmtId="0" fontId="0" fillId="0" borderId="0" xfId="0" applyFill="1" applyBorder="1"/>
    <xf numFmtId="9" fontId="0" fillId="0" borderId="0" xfId="0" applyNumberFormat="1" applyFill="1" applyBorder="1"/>
    <xf numFmtId="0" fontId="20" fillId="0" borderId="0" xfId="0" applyFont="1" applyFill="1" applyBorder="1"/>
    <xf numFmtId="168" fontId="0" fillId="0" borderId="0" xfId="0" applyNumberFormat="1" applyFill="1" applyBorder="1"/>
    <xf numFmtId="1" fontId="0" fillId="0" borderId="0" xfId="0" applyNumberFormat="1" applyFill="1" applyBorder="1"/>
    <xf numFmtId="0" fontId="19" fillId="0" borderId="0" xfId="0" applyFont="1" applyFill="1" applyBorder="1"/>
    <xf numFmtId="9" fontId="17" fillId="0" borderId="0" xfId="0" applyNumberFormat="1" applyFont="1" applyFill="1" applyBorder="1"/>
    <xf numFmtId="0" fontId="16" fillId="0" borderId="0" xfId="0" applyFont="1" applyFill="1" applyBorder="1"/>
    <xf numFmtId="3" fontId="16" fillId="0" borderId="0" xfId="0" applyNumberFormat="1" applyFont="1" applyFill="1" applyBorder="1"/>
    <xf numFmtId="169" fontId="0" fillId="0" borderId="0" xfId="0" applyNumberFormat="1"/>
    <xf numFmtId="10" fontId="0" fillId="0" borderId="0" xfId="0" applyNumberFormat="1"/>
    <xf numFmtId="2" fontId="14" fillId="2" borderId="0" xfId="0" applyNumberFormat="1" applyFont="1" applyFill="1" applyBorder="1" applyAlignment="1">
      <alignment horizontal="center" wrapText="1"/>
    </xf>
    <xf numFmtId="0" fontId="14" fillId="2" borderId="0" xfId="0" applyFont="1" applyFill="1" applyBorder="1" applyAlignment="1">
      <alignment horizontal="center" wrapText="1"/>
    </xf>
    <xf numFmtId="0" fontId="0" fillId="0" borderId="2" xfId="0" applyBorder="1"/>
    <xf numFmtId="0" fontId="2" fillId="0" borderId="2" xfId="0" applyFont="1" applyBorder="1"/>
    <xf numFmtId="168" fontId="2" fillId="0" borderId="2" xfId="0" applyNumberFormat="1" applyFont="1" applyBorder="1"/>
    <xf numFmtId="1" fontId="2" fillId="0" borderId="2" xfId="0" applyNumberFormat="1" applyFont="1" applyBorder="1"/>
    <xf numFmtId="2" fontId="2" fillId="0" borderId="2" xfId="0" applyNumberFormat="1" applyFont="1" applyBorder="1"/>
    <xf numFmtId="3" fontId="2" fillId="0" borderId="2" xfId="0" applyNumberFormat="1" applyFont="1" applyBorder="1"/>
    <xf numFmtId="9" fontId="2" fillId="0" borderId="2" xfId="5" applyNumberFormat="1" applyFont="1" applyBorder="1"/>
    <xf numFmtId="166" fontId="0" fillId="0" borderId="0" xfId="0" applyNumberFormat="1" applyAlignment="1">
      <alignment vertical="top"/>
    </xf>
    <xf numFmtId="0" fontId="2" fillId="0" borderId="0" xfId="0" applyFont="1" applyAlignment="1">
      <alignment vertical="top" wrapText="1"/>
    </xf>
    <xf numFmtId="0" fontId="0" fillId="12" borderId="0" xfId="0" applyFill="1" applyAlignment="1">
      <alignment vertical="top"/>
    </xf>
    <xf numFmtId="3" fontId="0" fillId="0" borderId="0" xfId="0" applyNumberFormat="1" applyAlignment="1">
      <alignment vertical="top"/>
    </xf>
    <xf numFmtId="165" fontId="8" fillId="0" borderId="0" xfId="0" applyNumberFormat="1" applyFont="1" applyAlignment="1">
      <alignment vertical="top"/>
    </xf>
    <xf numFmtId="0" fontId="8" fillId="0" borderId="0" xfId="0" applyFont="1" applyAlignment="1">
      <alignment vertical="top"/>
    </xf>
    <xf numFmtId="168" fontId="8" fillId="0" borderId="0" xfId="0" applyNumberFormat="1" applyFont="1" applyAlignment="1">
      <alignment vertical="top"/>
    </xf>
    <xf numFmtId="167" fontId="8" fillId="0" borderId="0" xfId="0" applyNumberFormat="1" applyFont="1" applyAlignment="1">
      <alignment vertical="top"/>
    </xf>
    <xf numFmtId="0" fontId="8" fillId="0" borderId="0" xfId="0" applyFont="1" applyFill="1" applyAlignment="1">
      <alignment vertical="top"/>
    </xf>
    <xf numFmtId="0" fontId="0" fillId="0" borderId="0" xfId="0" applyFill="1" applyAlignment="1">
      <alignment vertical="top"/>
    </xf>
    <xf numFmtId="3" fontId="8" fillId="0" borderId="0" xfId="0" applyNumberFormat="1" applyFont="1" applyFill="1" applyAlignment="1">
      <alignment vertical="top"/>
    </xf>
    <xf numFmtId="1" fontId="8" fillId="0" borderId="0" xfId="0" applyNumberFormat="1" applyFont="1" applyAlignment="1">
      <alignment vertical="top"/>
    </xf>
    <xf numFmtId="0" fontId="2" fillId="2" borderId="0" xfId="0" applyFont="1" applyFill="1" applyAlignment="1">
      <alignment vertical="top"/>
    </xf>
    <xf numFmtId="164" fontId="0" fillId="0" borderId="0" xfId="0" applyNumberFormat="1"/>
    <xf numFmtId="170" fontId="0" fillId="0" borderId="0" xfId="0" applyNumberFormat="1"/>
    <xf numFmtId="0" fontId="2" fillId="0" borderId="0" xfId="0" applyFont="1" applyBorder="1" applyAlignment="1">
      <alignment horizontal="right" wrapText="1"/>
    </xf>
    <xf numFmtId="0" fontId="2" fillId="0" borderId="0" xfId="0" applyFont="1" applyFill="1" applyBorder="1" applyAlignment="1">
      <alignment horizontal="right" wrapText="1"/>
    </xf>
    <xf numFmtId="3" fontId="6" fillId="0" borderId="0" xfId="0" applyNumberFormat="1" applyFont="1"/>
    <xf numFmtId="3" fontId="2" fillId="0" borderId="0" xfId="0" applyNumberFormat="1" applyFont="1" applyBorder="1" applyAlignment="1">
      <alignment horizontal="right" wrapText="1"/>
    </xf>
    <xf numFmtId="165" fontId="2" fillId="0" borderId="0" xfId="0" applyNumberFormat="1" applyFont="1" applyBorder="1" applyAlignment="1">
      <alignment horizontal="right" wrapText="1"/>
    </xf>
    <xf numFmtId="0" fontId="26" fillId="0" borderId="0" xfId="0" applyFont="1" applyAlignment="1">
      <alignment horizontal="left" vertical="top"/>
    </xf>
    <xf numFmtId="0" fontId="2" fillId="0" borderId="0" xfId="0" applyFont="1" applyBorder="1" applyAlignment="1">
      <alignment horizontal="left"/>
    </xf>
    <xf numFmtId="0" fontId="29" fillId="2" borderId="0" xfId="0" applyFont="1" applyFill="1" applyBorder="1" applyAlignment="1">
      <alignment wrapText="1"/>
    </xf>
    <xf numFmtId="0" fontId="26" fillId="0" borderId="0" xfId="0" applyFont="1" applyAlignment="1"/>
    <xf numFmtId="0" fontId="23" fillId="0" borderId="0" xfId="0" applyFont="1" applyFill="1" applyAlignment="1"/>
    <xf numFmtId="0" fontId="8" fillId="0" borderId="0" xfId="0" applyFont="1" applyFill="1" applyAlignment="1"/>
    <xf numFmtId="0" fontId="23" fillId="0" borderId="0" xfId="0" applyFont="1" applyAlignment="1">
      <alignment vertical="top"/>
    </xf>
    <xf numFmtId="3" fontId="2" fillId="0" borderId="0" xfId="0" applyNumberFormat="1" applyFont="1" applyAlignment="1">
      <alignment vertical="top"/>
    </xf>
    <xf numFmtId="165" fontId="2" fillId="0" borderId="0" xfId="0" applyNumberFormat="1" applyFont="1" applyAlignment="1">
      <alignment vertical="top"/>
    </xf>
    <xf numFmtId="0" fontId="30" fillId="0" borderId="0" xfId="0" applyFont="1" applyAlignment="1">
      <alignment vertical="top"/>
    </xf>
    <xf numFmtId="0" fontId="2" fillId="0" borderId="0" xfId="0" applyFont="1" applyBorder="1" applyAlignment="1"/>
    <xf numFmtId="0" fontId="2" fillId="0" borderId="0" xfId="0" applyFont="1" applyFill="1" applyBorder="1" applyAlignment="1">
      <alignment horizontal="left" wrapText="1" indent="1"/>
    </xf>
    <xf numFmtId="0" fontId="0" fillId="0" borderId="0" xfId="0" applyBorder="1"/>
    <xf numFmtId="166" fontId="14" fillId="2" borderId="3" xfId="0" applyNumberFormat="1" applyFont="1" applyFill="1" applyBorder="1" applyAlignment="1">
      <alignment horizontal="center" wrapText="1"/>
    </xf>
    <xf numFmtId="0" fontId="0" fillId="0" borderId="0" xfId="0" applyFont="1" applyBorder="1" applyAlignment="1">
      <alignment horizontal="center" wrapText="1"/>
    </xf>
    <xf numFmtId="168" fontId="0" fillId="0" borderId="0" xfId="0" applyNumberFormat="1" applyFont="1" applyBorder="1" applyAlignment="1">
      <alignment horizontal="center" wrapText="1"/>
    </xf>
    <xf numFmtId="1" fontId="0" fillId="0" borderId="0" xfId="0" applyNumberFormat="1" applyFont="1" applyBorder="1" applyAlignment="1">
      <alignment horizontal="center" wrapText="1"/>
    </xf>
    <xf numFmtId="3" fontId="0" fillId="0" borderId="3" xfId="0" applyNumberFormat="1" applyFont="1" applyBorder="1" applyAlignment="1">
      <alignment horizontal="center" wrapText="1"/>
    </xf>
    <xf numFmtId="0" fontId="0" fillId="0" borderId="0" xfId="0" applyFont="1" applyAlignment="1">
      <alignment wrapText="1"/>
    </xf>
    <xf numFmtId="165" fontId="0" fillId="0" borderId="0" xfId="0" applyNumberFormat="1" applyFont="1" applyFill="1" applyBorder="1"/>
    <xf numFmtId="165" fontId="0" fillId="0" borderId="0" xfId="0" applyNumberFormat="1" applyFont="1" applyBorder="1"/>
    <xf numFmtId="0" fontId="23" fillId="0" borderId="0" xfId="0" applyFont="1" applyFill="1" applyBorder="1" applyAlignment="1">
      <alignment horizontal="right" wrapText="1"/>
    </xf>
    <xf numFmtId="0" fontId="0" fillId="0" borderId="4" xfId="0" applyBorder="1"/>
    <xf numFmtId="0" fontId="0" fillId="0" borderId="4" xfId="0" applyBorder="1" applyAlignment="1">
      <alignment vertical="top"/>
    </xf>
    <xf numFmtId="2" fontId="0" fillId="0" borderId="4" xfId="0" applyNumberFormat="1" applyFill="1" applyBorder="1" applyAlignment="1">
      <alignment vertical="top"/>
    </xf>
    <xf numFmtId="0" fontId="0" fillId="0" borderId="4" xfId="0" applyNumberFormat="1" applyBorder="1" applyAlignment="1">
      <alignment vertical="top"/>
    </xf>
    <xf numFmtId="3" fontId="2" fillId="0" borderId="8" xfId="0" applyNumberFormat="1" applyFont="1" applyFill="1" applyBorder="1" applyAlignment="1">
      <alignment vertical="top"/>
    </xf>
    <xf numFmtId="3" fontId="2" fillId="0" borderId="8" xfId="0" applyNumberFormat="1" applyFont="1" applyBorder="1" applyAlignment="1">
      <alignment vertical="top"/>
    </xf>
    <xf numFmtId="9" fontId="0" fillId="0" borderId="6" xfId="5" applyNumberFormat="1" applyFont="1" applyBorder="1" applyAlignment="1">
      <alignment vertical="top"/>
    </xf>
    <xf numFmtId="165" fontId="0" fillId="0" borderId="6" xfId="0" applyNumberFormat="1" applyBorder="1" applyAlignment="1">
      <alignment vertical="top"/>
    </xf>
    <xf numFmtId="0" fontId="0" fillId="0" borderId="6" xfId="0" applyBorder="1" applyAlignment="1">
      <alignment vertical="top"/>
    </xf>
    <xf numFmtId="3" fontId="0" fillId="0" borderId="6" xfId="0" applyNumberFormat="1" applyBorder="1" applyAlignment="1">
      <alignment vertical="top"/>
    </xf>
    <xf numFmtId="2" fontId="0" fillId="0" borderId="7" xfId="0" applyNumberFormat="1" applyFill="1" applyBorder="1" applyAlignment="1">
      <alignment vertical="top"/>
    </xf>
    <xf numFmtId="2" fontId="0" fillId="0" borderId="4" xfId="0" applyNumberFormat="1" applyFont="1" applyBorder="1" applyAlignment="1">
      <alignment vertical="top"/>
    </xf>
    <xf numFmtId="0" fontId="0" fillId="0" borderId="4" xfId="0" quotePrefix="1" applyBorder="1" applyAlignment="1">
      <alignment vertical="top"/>
    </xf>
    <xf numFmtId="0" fontId="0" fillId="0" borderId="0" xfId="0" applyBorder="1" applyAlignment="1">
      <alignment vertical="top" wrapText="1"/>
    </xf>
    <xf numFmtId="9" fontId="0" fillId="0" borderId="0" xfId="0" applyNumberFormat="1" applyFill="1" applyBorder="1" applyAlignment="1">
      <alignment vertical="top"/>
    </xf>
    <xf numFmtId="0" fontId="0" fillId="0" borderId="0" xfId="0" applyBorder="1" applyAlignment="1">
      <alignment vertical="top"/>
    </xf>
    <xf numFmtId="165" fontId="0" fillId="0" borderId="0" xfId="0" applyNumberFormat="1" applyFill="1" applyBorder="1" applyAlignment="1">
      <alignment vertical="top"/>
    </xf>
    <xf numFmtId="0" fontId="2" fillId="2" borderId="10" xfId="0" applyFont="1" applyFill="1" applyBorder="1" applyAlignment="1">
      <alignment vertical="top"/>
    </xf>
    <xf numFmtId="0" fontId="0" fillId="2" borderId="10" xfId="0" applyFont="1" applyFill="1" applyBorder="1" applyAlignment="1">
      <alignment vertical="top"/>
    </xf>
    <xf numFmtId="0" fontId="2" fillId="0" borderId="6" xfId="0" applyFont="1" applyBorder="1" applyAlignment="1">
      <alignment vertical="top"/>
    </xf>
    <xf numFmtId="165" fontId="2" fillId="0" borderId="6" xfId="0" applyNumberFormat="1" applyFont="1" applyFill="1" applyBorder="1" applyAlignment="1">
      <alignment vertical="top"/>
    </xf>
    <xf numFmtId="165" fontId="0" fillId="0" borderId="6" xfId="0" applyNumberFormat="1" applyFill="1" applyBorder="1" applyAlignment="1">
      <alignment vertical="top"/>
    </xf>
    <xf numFmtId="0" fontId="0" fillId="0" borderId="6" xfId="0" applyBorder="1" applyAlignment="1">
      <alignment vertical="top" wrapText="1"/>
    </xf>
    <xf numFmtId="9" fontId="0" fillId="0" borderId="6" xfId="0" applyNumberFormat="1" applyFill="1" applyBorder="1" applyAlignment="1">
      <alignment vertical="top"/>
    </xf>
    <xf numFmtId="9" fontId="0" fillId="2" borderId="10" xfId="0" applyNumberFormat="1" applyFont="1" applyFill="1" applyBorder="1" applyAlignment="1">
      <alignment vertical="top"/>
    </xf>
    <xf numFmtId="3" fontId="2" fillId="0" borderId="6" xfId="0" applyNumberFormat="1" applyFont="1" applyFill="1" applyBorder="1" applyAlignment="1">
      <alignment vertical="top"/>
    </xf>
    <xf numFmtId="0" fontId="0" fillId="0" borderId="6" xfId="0" applyFont="1" applyBorder="1" applyAlignment="1">
      <alignment vertical="top" wrapText="1"/>
    </xf>
    <xf numFmtId="9" fontId="0" fillId="0" borderId="6" xfId="0" applyNumberFormat="1" applyFont="1" applyFill="1" applyBorder="1" applyAlignment="1">
      <alignment vertical="top"/>
    </xf>
    <xf numFmtId="0" fontId="6" fillId="0" borderId="6" xfId="0" applyFont="1" applyBorder="1" applyAlignment="1">
      <alignment vertical="top" wrapText="1"/>
    </xf>
    <xf numFmtId="168" fontId="0" fillId="0" borderId="6" xfId="0" applyNumberFormat="1" applyFill="1" applyBorder="1" applyAlignment="1">
      <alignment vertical="top"/>
    </xf>
    <xf numFmtId="167" fontId="0" fillId="0" borderId="6" xfId="0" applyNumberFormat="1" applyFill="1" applyBorder="1" applyAlignment="1">
      <alignment vertical="top"/>
    </xf>
    <xf numFmtId="0" fontId="14" fillId="0" borderId="6" xfId="0" applyFont="1" applyBorder="1" applyAlignment="1"/>
    <xf numFmtId="0" fontId="14" fillId="0" borderId="6" xfId="0" applyFont="1" applyFill="1" applyBorder="1" applyAlignment="1">
      <alignment horizontal="right"/>
    </xf>
    <xf numFmtId="0" fontId="0" fillId="0" borderId="6" xfId="0" applyFont="1" applyFill="1" applyBorder="1" applyAlignment="1">
      <alignment vertical="top"/>
    </xf>
    <xf numFmtId="9" fontId="0" fillId="0" borderId="6" xfId="0" applyNumberFormat="1" applyBorder="1" applyAlignment="1">
      <alignment vertical="top"/>
    </xf>
    <xf numFmtId="0" fontId="0" fillId="0" borderId="6" xfId="0" applyBorder="1" applyAlignment="1">
      <alignment horizontal="left"/>
    </xf>
    <xf numFmtId="0" fontId="0" fillId="0" borderId="6" xfId="0" applyBorder="1"/>
    <xf numFmtId="3" fontId="0" fillId="0" borderId="6" xfId="0" applyNumberFormat="1" applyBorder="1"/>
    <xf numFmtId="165" fontId="0" fillId="0" borderId="6" xfId="0" applyNumberFormat="1" applyBorder="1"/>
    <xf numFmtId="0" fontId="8" fillId="0" borderId="6" xfId="0" applyFont="1" applyBorder="1" applyAlignment="1">
      <alignment vertical="top"/>
    </xf>
    <xf numFmtId="0" fontId="0" fillId="0" borderId="6" xfId="0" applyBorder="1" applyAlignment="1">
      <alignment horizontal="left" vertical="top" indent="1"/>
    </xf>
    <xf numFmtId="0" fontId="2" fillId="0" borderId="11" xfId="0" applyFont="1" applyBorder="1" applyAlignment="1">
      <alignment horizontal="left"/>
    </xf>
    <xf numFmtId="0" fontId="0" fillId="0" borderId="11" xfId="0" applyBorder="1"/>
    <xf numFmtId="3" fontId="2" fillId="0" borderId="11" xfId="0" applyNumberFormat="1" applyFont="1" applyBorder="1"/>
    <xf numFmtId="165" fontId="2" fillId="0" borderId="11" xfId="0" applyNumberFormat="1" applyFont="1" applyBorder="1"/>
    <xf numFmtId="0" fontId="2" fillId="0" borderId="11" xfId="0" applyFont="1" applyBorder="1"/>
    <xf numFmtId="0" fontId="23" fillId="0" borderId="4" xfId="0" applyFont="1" applyBorder="1" applyAlignment="1">
      <alignment vertical="top" wrapText="1"/>
    </xf>
    <xf numFmtId="0" fontId="8" fillId="0" borderId="4" xfId="0" applyFont="1" applyBorder="1" applyAlignment="1">
      <alignment vertical="top" wrapText="1"/>
    </xf>
    <xf numFmtId="0" fontId="8" fillId="0" borderId="4" xfId="0" applyFont="1" applyBorder="1" applyAlignment="1">
      <alignment vertical="top"/>
    </xf>
    <xf numFmtId="0" fontId="0" fillId="2" borderId="0" xfId="0" applyFill="1" applyAlignment="1">
      <alignment vertical="top"/>
    </xf>
    <xf numFmtId="0" fontId="2" fillId="0" borderId="10" xfId="0" applyFont="1" applyBorder="1" applyAlignment="1">
      <alignment horizontal="right" vertical="top"/>
    </xf>
    <xf numFmtId="0" fontId="2" fillId="0" borderId="0" xfId="0" applyFont="1" applyBorder="1" applyAlignment="1">
      <alignment horizontal="right" vertical="top"/>
    </xf>
    <xf numFmtId="170" fontId="0" fillId="0" borderId="6" xfId="0" applyNumberFormat="1" applyBorder="1" applyAlignment="1">
      <alignment vertical="top"/>
    </xf>
    <xf numFmtId="0" fontId="2" fillId="0" borderId="0" xfId="0" applyFont="1" applyFill="1"/>
    <xf numFmtId="0" fontId="2" fillId="0" borderId="12" xfId="0" applyFont="1" applyFill="1" applyBorder="1"/>
    <xf numFmtId="9" fontId="0" fillId="0" borderId="12" xfId="0" applyNumberFormat="1" applyBorder="1"/>
    <xf numFmtId="167" fontId="0" fillId="0" borderId="12" xfId="0" applyNumberFormat="1" applyBorder="1"/>
    <xf numFmtId="166" fontId="0" fillId="0" borderId="12" xfId="0" applyNumberFormat="1" applyBorder="1"/>
    <xf numFmtId="0" fontId="0" fillId="0" borderId="10" xfId="0" applyBorder="1" applyAlignment="1">
      <alignment vertical="top"/>
    </xf>
    <xf numFmtId="3" fontId="0" fillId="0" borderId="10" xfId="0" applyNumberFormat="1" applyBorder="1"/>
    <xf numFmtId="0" fontId="2" fillId="0" borderId="10" xfId="0" applyFont="1" applyBorder="1" applyAlignment="1">
      <alignment horizontal="right"/>
    </xf>
    <xf numFmtId="0" fontId="0" fillId="0" borderId="10" xfId="0" applyBorder="1" applyAlignment="1"/>
    <xf numFmtId="0" fontId="0" fillId="0" borderId="0" xfId="0" applyBorder="1" applyAlignment="1"/>
    <xf numFmtId="9" fontId="0" fillId="0" borderId="0" xfId="0" applyNumberFormat="1" applyAlignment="1"/>
    <xf numFmtId="168" fontId="0" fillId="0" borderId="0" xfId="0" applyNumberFormat="1" applyAlignment="1"/>
    <xf numFmtId="1" fontId="0" fillId="0" borderId="0" xfId="0" applyNumberFormat="1" applyAlignment="1"/>
    <xf numFmtId="0" fontId="6" fillId="0" borderId="0" xfId="0" applyFont="1" applyAlignment="1"/>
    <xf numFmtId="167" fontId="0" fillId="0" borderId="0" xfId="0" applyNumberFormat="1" applyAlignment="1"/>
    <xf numFmtId="165" fontId="0" fillId="0" borderId="0" xfId="0" applyNumberFormat="1" applyAlignment="1"/>
    <xf numFmtId="3" fontId="0" fillId="0" borderId="0" xfId="0" applyNumberFormat="1" applyAlignment="1"/>
    <xf numFmtId="2" fontId="0" fillId="0" borderId="0" xfId="0" applyNumberFormat="1" applyFont="1" applyAlignment="1"/>
    <xf numFmtId="0" fontId="26" fillId="0" borderId="0" xfId="0" applyFont="1" applyAlignment="1">
      <alignment horizontal="left"/>
    </xf>
    <xf numFmtId="3" fontId="31" fillId="0" borderId="0" xfId="0" applyNumberFormat="1" applyFont="1" applyFill="1" applyAlignment="1"/>
    <xf numFmtId="168" fontId="0" fillId="0" borderId="6" xfId="0" applyNumberFormat="1" applyBorder="1" applyAlignment="1">
      <alignment vertical="top"/>
    </xf>
    <xf numFmtId="0" fontId="1" fillId="0" borderId="0" xfId="1" applyAlignment="1"/>
    <xf numFmtId="49" fontId="0" fillId="0" borderId="0" xfId="0" applyNumberFormat="1"/>
    <xf numFmtId="0" fontId="2" fillId="0" borderId="12" xfId="0" applyFont="1" applyBorder="1"/>
    <xf numFmtId="0" fontId="0" fillId="0" borderId="12" xfId="0" applyBorder="1"/>
    <xf numFmtId="168" fontId="8" fillId="0" borderId="0" xfId="0" applyNumberFormat="1" applyFont="1" applyFill="1" applyAlignment="1">
      <alignment vertical="top"/>
    </xf>
    <xf numFmtId="0" fontId="0" fillId="0" borderId="13" xfId="0" applyFill="1" applyBorder="1" applyAlignment="1">
      <alignment horizontal="center" wrapText="1"/>
    </xf>
    <xf numFmtId="0" fontId="0" fillId="0" borderId="10" xfId="0" applyFont="1" applyBorder="1"/>
    <xf numFmtId="0" fontId="0" fillId="0" borderId="10" xfId="0" applyBorder="1"/>
    <xf numFmtId="0" fontId="0" fillId="0" borderId="13" xfId="0" applyFill="1" applyBorder="1" applyAlignment="1">
      <alignment horizontal="center"/>
    </xf>
    <xf numFmtId="0" fontId="30" fillId="0" borderId="0" xfId="0" applyFont="1" applyFill="1" applyAlignment="1"/>
    <xf numFmtId="0" fontId="0" fillId="0" borderId="0" xfId="0" applyFont="1" applyFill="1" applyAlignment="1">
      <alignment wrapText="1"/>
    </xf>
    <xf numFmtId="0" fontId="0" fillId="0" borderId="12" xfId="0" applyFont="1" applyFill="1" applyBorder="1" applyAlignment="1">
      <alignment wrapText="1"/>
    </xf>
    <xf numFmtId="3" fontId="0" fillId="0" borderId="4" xfId="0" applyNumberFormat="1" applyBorder="1"/>
    <xf numFmtId="165" fontId="0" fillId="0" borderId="4" xfId="0" applyNumberFormat="1" applyBorder="1"/>
    <xf numFmtId="166" fontId="2" fillId="0" borderId="0" xfId="0" applyNumberFormat="1" applyFont="1"/>
    <xf numFmtId="9" fontId="17" fillId="8" borderId="0" xfId="0" applyNumberFormat="1" applyFont="1" applyFill="1" applyBorder="1" applyAlignment="1"/>
    <xf numFmtId="166" fontId="17" fillId="8" borderId="0" xfId="0" applyNumberFormat="1" applyFont="1" applyFill="1" applyBorder="1" applyAlignment="1"/>
    <xf numFmtId="0" fontId="0" fillId="9" borderId="0" xfId="0" applyFill="1" applyBorder="1" applyAlignment="1"/>
    <xf numFmtId="9" fontId="8" fillId="0" borderId="0" xfId="0" applyNumberFormat="1" applyFont="1" applyBorder="1" applyAlignment="1">
      <alignment horizontal="center" wrapText="1"/>
    </xf>
    <xf numFmtId="165" fontId="8" fillId="0" borderId="0" xfId="0" applyNumberFormat="1" applyFont="1" applyBorder="1" applyAlignment="1">
      <alignment horizontal="center" wrapText="1"/>
    </xf>
    <xf numFmtId="9" fontId="8" fillId="0" borderId="3" xfId="0" applyNumberFormat="1" applyFont="1" applyBorder="1" applyAlignment="1">
      <alignment horizontal="center" wrapText="1"/>
    </xf>
    <xf numFmtId="0" fontId="32" fillId="2" borderId="0" xfId="0" applyFont="1" applyFill="1" applyAlignment="1">
      <alignment wrapText="1"/>
    </xf>
    <xf numFmtId="166" fontId="32" fillId="2" borderId="0" xfId="0" applyNumberFormat="1" applyFont="1" applyFill="1" applyAlignment="1">
      <alignment wrapText="1"/>
    </xf>
    <xf numFmtId="166" fontId="0" fillId="0" borderId="4" xfId="0" applyNumberFormat="1" applyBorder="1" applyAlignment="1">
      <alignment vertical="top"/>
    </xf>
    <xf numFmtId="3" fontId="0" fillId="0" borderId="16" xfId="0" applyNumberFormat="1" applyFill="1" applyBorder="1"/>
    <xf numFmtId="3" fontId="0" fillId="7" borderId="16" xfId="0" applyNumberFormat="1" applyFill="1" applyBorder="1"/>
    <xf numFmtId="3" fontId="0" fillId="0" borderId="16" xfId="0" applyNumberFormat="1" applyFont="1" applyBorder="1" applyAlignment="1">
      <alignment horizontal="center" wrapText="1"/>
    </xf>
    <xf numFmtId="3" fontId="2" fillId="0" borderId="17" xfId="0" applyNumberFormat="1" applyFont="1" applyBorder="1"/>
    <xf numFmtId="3" fontId="0" fillId="0" borderId="9" xfId="0" applyNumberFormat="1" applyFill="1" applyBorder="1" applyAlignment="1">
      <alignment vertical="top"/>
    </xf>
    <xf numFmtId="3" fontId="0" fillId="6" borderId="16" xfId="0" applyNumberFormat="1" applyFill="1" applyBorder="1"/>
    <xf numFmtId="9" fontId="0" fillId="5" borderId="16" xfId="0" applyNumberFormat="1" applyFill="1" applyBorder="1"/>
    <xf numFmtId="9" fontId="2" fillId="0" borderId="17" xfId="0" applyNumberFormat="1" applyFont="1" applyBorder="1"/>
    <xf numFmtId="2" fontId="0" fillId="0" borderId="9" xfId="0" applyNumberFormat="1" applyFill="1" applyBorder="1" applyAlignment="1">
      <alignment vertical="top"/>
    </xf>
    <xf numFmtId="165" fontId="0" fillId="0" borderId="16" xfId="0" applyNumberFormat="1" applyFill="1" applyBorder="1"/>
    <xf numFmtId="165" fontId="0" fillId="9" borderId="16" xfId="0" applyNumberFormat="1" applyFill="1" applyBorder="1"/>
    <xf numFmtId="165" fontId="8" fillId="0" borderId="18" xfId="0" applyNumberFormat="1" applyFont="1" applyBorder="1" applyAlignment="1">
      <alignment horizontal="center" wrapText="1"/>
    </xf>
    <xf numFmtId="165" fontId="2" fillId="0" borderId="17" xfId="0" applyNumberFormat="1" applyFont="1" applyBorder="1"/>
    <xf numFmtId="165" fontId="0" fillId="0" borderId="9" xfId="0" applyNumberFormat="1" applyBorder="1" applyAlignment="1">
      <alignment vertical="top"/>
    </xf>
    <xf numFmtId="165" fontId="17" fillId="0" borderId="16" xfId="0" applyNumberFormat="1" applyFont="1" applyFill="1" applyBorder="1"/>
    <xf numFmtId="165" fontId="17" fillId="8" borderId="16" xfId="0" applyNumberFormat="1" applyFont="1" applyFill="1" applyBorder="1"/>
    <xf numFmtId="165" fontId="8" fillId="0" borderId="16" xfId="0" applyNumberFormat="1" applyFont="1" applyBorder="1" applyAlignment="1">
      <alignment horizontal="center" wrapText="1"/>
    </xf>
    <xf numFmtId="3" fontId="18" fillId="0" borderId="19" xfId="0" applyNumberFormat="1" applyFont="1" applyFill="1" applyBorder="1"/>
    <xf numFmtId="3" fontId="18" fillId="8" borderId="19" xfId="0" applyNumberFormat="1" applyFont="1" applyFill="1" applyBorder="1"/>
    <xf numFmtId="3" fontId="0" fillId="0" borderId="19" xfId="0" applyNumberFormat="1" applyFont="1" applyBorder="1" applyAlignment="1">
      <alignment horizontal="center" wrapText="1"/>
    </xf>
    <xf numFmtId="3" fontId="2" fillId="0" borderId="20" xfId="0" applyNumberFormat="1" applyFont="1" applyBorder="1"/>
    <xf numFmtId="3" fontId="0" fillId="0" borderId="8" xfId="0" applyNumberFormat="1" applyBorder="1" applyAlignment="1">
      <alignment vertical="top"/>
    </xf>
    <xf numFmtId="0" fontId="0" fillId="0" borderId="16" xfId="0" applyFill="1" applyBorder="1" applyAlignment="1">
      <alignment horizontal="left"/>
    </xf>
    <xf numFmtId="0" fontId="0" fillId="7" borderId="16" xfId="0" applyFill="1" applyBorder="1" applyAlignment="1">
      <alignment horizontal="left"/>
    </xf>
    <xf numFmtId="0" fontId="0" fillId="0" borderId="16" xfId="0" applyFont="1" applyBorder="1" applyAlignment="1">
      <alignment horizontal="center" wrapText="1"/>
    </xf>
    <xf numFmtId="0" fontId="2" fillId="0" borderId="17" xfId="0" applyFont="1" applyBorder="1" applyAlignment="1">
      <alignment horizontal="left"/>
    </xf>
    <xf numFmtId="0" fontId="0" fillId="0" borderId="16" xfId="0" applyFont="1" applyBorder="1" applyAlignment="1">
      <alignment horizontal="left"/>
    </xf>
    <xf numFmtId="1" fontId="0" fillId="0" borderId="16" xfId="0" applyNumberFormat="1" applyFill="1" applyBorder="1"/>
    <xf numFmtId="1" fontId="0" fillId="6" borderId="16" xfId="0" applyNumberFormat="1" applyFill="1" applyBorder="1"/>
    <xf numFmtId="1" fontId="0" fillId="0" borderId="16" xfId="0" applyNumberFormat="1" applyFont="1" applyBorder="1" applyAlignment="1">
      <alignment horizontal="center" wrapText="1"/>
    </xf>
    <xf numFmtId="1" fontId="2" fillId="0" borderId="17" xfId="0" applyNumberFormat="1" applyFont="1" applyBorder="1"/>
    <xf numFmtId="0" fontId="21" fillId="0" borderId="16" xfId="0" applyFont="1" applyFill="1" applyBorder="1"/>
    <xf numFmtId="0" fontId="21" fillId="5" borderId="16" xfId="0" applyFont="1" applyFill="1" applyBorder="1"/>
    <xf numFmtId="0" fontId="2" fillId="0" borderId="17" xfId="0" applyFont="1" applyBorder="1"/>
    <xf numFmtId="0" fontId="0" fillId="0" borderId="7" xfId="0" applyBorder="1" applyAlignment="1">
      <alignment vertical="top"/>
    </xf>
    <xf numFmtId="0" fontId="0" fillId="11" borderId="21" xfId="0" applyFill="1" applyBorder="1"/>
    <xf numFmtId="0" fontId="0" fillId="0" borderId="21" xfId="0" applyFont="1" applyBorder="1" applyAlignment="1">
      <alignment wrapText="1"/>
    </xf>
    <xf numFmtId="0" fontId="0" fillId="0" borderId="22" xfId="0" applyBorder="1"/>
    <xf numFmtId="3" fontId="0" fillId="10" borderId="16" xfId="0" applyNumberFormat="1" applyFill="1" applyBorder="1"/>
    <xf numFmtId="0" fontId="0" fillId="0" borderId="14" xfId="0" quotePrefix="1" applyBorder="1" applyAlignment="1">
      <alignment vertical="top"/>
    </xf>
    <xf numFmtId="3" fontId="2" fillId="0" borderId="19" xfId="0" applyNumberFormat="1" applyFont="1" applyBorder="1" applyAlignment="1">
      <alignment horizontal="center" wrapText="1"/>
    </xf>
    <xf numFmtId="3" fontId="2" fillId="0" borderId="20" xfId="0" applyNumberFormat="1" applyFont="1" applyFill="1" applyBorder="1"/>
    <xf numFmtId="165" fontId="0" fillId="0" borderId="0" xfId="0" applyNumberFormat="1" applyFont="1" applyAlignment="1"/>
    <xf numFmtId="165" fontId="0" fillId="0" borderId="0" xfId="0" applyNumberFormat="1" applyFont="1"/>
    <xf numFmtId="0" fontId="0" fillId="0" borderId="16" xfId="0" applyBorder="1" applyAlignment="1">
      <alignment vertical="top"/>
    </xf>
    <xf numFmtId="0" fontId="2" fillId="0" borderId="24" xfId="0" applyFont="1" applyFill="1" applyBorder="1" applyAlignment="1">
      <alignment horizontal="center" wrapText="1"/>
    </xf>
    <xf numFmtId="0" fontId="0" fillId="0" borderId="15" xfId="0" applyBorder="1" applyAlignment="1">
      <alignment vertical="top"/>
    </xf>
    <xf numFmtId="3" fontId="2" fillId="0" borderId="14" xfId="0" applyNumberFormat="1" applyFont="1" applyFill="1" applyBorder="1" applyAlignment="1">
      <alignment vertical="top"/>
    </xf>
    <xf numFmtId="3" fontId="2" fillId="0" borderId="14" xfId="0" applyNumberFormat="1" applyFont="1" applyBorder="1" applyAlignment="1">
      <alignment vertical="top"/>
    </xf>
    <xf numFmtId="0" fontId="0" fillId="0" borderId="7" xfId="0" applyFill="1" applyBorder="1" applyAlignment="1">
      <alignment vertical="top"/>
    </xf>
    <xf numFmtId="0" fontId="0" fillId="0" borderId="24" xfId="0" applyFill="1" applyBorder="1" applyAlignment="1">
      <alignment horizontal="center"/>
    </xf>
    <xf numFmtId="4" fontId="0" fillId="0" borderId="16" xfId="0" applyNumberFormat="1" applyBorder="1" applyAlignment="1">
      <alignment vertical="top"/>
    </xf>
    <xf numFmtId="0" fontId="0" fillId="5" borderId="16" xfId="0" applyFill="1" applyBorder="1" applyAlignment="1">
      <alignment vertical="top"/>
    </xf>
    <xf numFmtId="0" fontId="26" fillId="0" borderId="0" xfId="0" applyFont="1"/>
    <xf numFmtId="0" fontId="0" fillId="4" borderId="4" xfId="0" applyFill="1" applyBorder="1" applyAlignment="1" applyProtection="1">
      <alignment vertical="top" wrapText="1"/>
      <protection locked="0"/>
    </xf>
    <xf numFmtId="0" fontId="0" fillId="3" borderId="4" xfId="0" applyFill="1" applyBorder="1" applyAlignment="1" applyProtection="1">
      <alignment vertical="top" wrapText="1"/>
      <protection locked="0"/>
    </xf>
    <xf numFmtId="49" fontId="0" fillId="4" borderId="4" xfId="0" applyNumberFormat="1" applyFill="1" applyBorder="1" applyAlignment="1" applyProtection="1">
      <alignment horizontal="left" vertical="top" wrapText="1"/>
      <protection locked="0"/>
    </xf>
    <xf numFmtId="165" fontId="0" fillId="4" borderId="4" xfId="0" applyNumberFormat="1" applyFill="1" applyBorder="1" applyAlignment="1" applyProtection="1">
      <alignment horizontal="left" vertical="top"/>
      <protection locked="0"/>
    </xf>
    <xf numFmtId="0" fontId="0" fillId="4" borderId="4" xfId="0" applyFill="1" applyBorder="1" applyProtection="1">
      <protection locked="0"/>
    </xf>
    <xf numFmtId="0" fontId="0" fillId="4" borderId="4" xfId="0" applyFill="1" applyBorder="1" applyAlignment="1" applyProtection="1">
      <alignment horizontal="left"/>
      <protection locked="0"/>
    </xf>
    <xf numFmtId="0" fontId="0" fillId="4" borderId="4" xfId="0" applyFill="1" applyBorder="1" applyAlignment="1" applyProtection="1">
      <alignment vertical="top"/>
      <protection locked="0"/>
    </xf>
    <xf numFmtId="0" fontId="0" fillId="4" borderId="14" xfId="0" applyFill="1" applyBorder="1" applyAlignment="1" applyProtection="1">
      <alignment vertical="top"/>
      <protection locked="0"/>
    </xf>
    <xf numFmtId="0" fontId="0" fillId="4" borderId="7" xfId="0" applyFill="1" applyBorder="1" applyAlignment="1" applyProtection="1">
      <alignment vertical="top"/>
      <protection locked="0"/>
    </xf>
    <xf numFmtId="0" fontId="0" fillId="3" borderId="14" xfId="0" applyFill="1" applyBorder="1" applyAlignment="1" applyProtection="1">
      <alignment horizontal="left" vertical="top" wrapText="1"/>
      <protection locked="0"/>
    </xf>
    <xf numFmtId="0" fontId="0" fillId="4" borderId="14" xfId="0" applyFill="1" applyBorder="1" applyAlignment="1" applyProtection="1">
      <alignment vertical="top" wrapText="1"/>
      <protection locked="0"/>
    </xf>
    <xf numFmtId="168" fontId="0" fillId="4" borderId="4" xfId="0" applyNumberFormat="1" applyFill="1" applyBorder="1" applyAlignment="1" applyProtection="1">
      <alignment vertical="top"/>
      <protection locked="0"/>
    </xf>
    <xf numFmtId="1" fontId="0" fillId="4" borderId="4" xfId="0" applyNumberFormat="1" applyFill="1" applyBorder="1" applyAlignment="1" applyProtection="1">
      <alignment vertical="top"/>
      <protection locked="0"/>
    </xf>
    <xf numFmtId="1" fontId="0" fillId="4" borderId="14" xfId="0" applyNumberFormat="1" applyFill="1" applyBorder="1" applyAlignment="1" applyProtection="1">
      <alignment vertical="top"/>
      <protection locked="0"/>
    </xf>
    <xf numFmtId="0" fontId="0" fillId="4" borderId="14" xfId="0" applyFill="1" applyBorder="1" applyAlignment="1" applyProtection="1">
      <alignment horizontal="left" vertical="top" wrapText="1"/>
      <protection locked="0"/>
    </xf>
    <xf numFmtId="3" fontId="0" fillId="4" borderId="4" xfId="0" applyNumberFormat="1" applyFill="1" applyBorder="1" applyAlignment="1" applyProtection="1">
      <alignment vertical="top"/>
      <protection locked="0"/>
    </xf>
    <xf numFmtId="9" fontId="0" fillId="4" borderId="5" xfId="0" applyNumberFormat="1" applyFill="1" applyBorder="1" applyAlignment="1" applyProtection="1">
      <alignment vertical="top"/>
      <protection locked="0"/>
    </xf>
    <xf numFmtId="0" fontId="0" fillId="3" borderId="23" xfId="0" applyFill="1" applyBorder="1" applyAlignment="1" applyProtection="1">
      <alignment vertical="top" wrapText="1"/>
      <protection locked="0"/>
    </xf>
    <xf numFmtId="0" fontId="0" fillId="0" borderId="0" xfId="0" applyFill="1"/>
    <xf numFmtId="2" fontId="0" fillId="0" borderId="0" xfId="0" applyNumberFormat="1" applyFill="1" applyAlignment="1">
      <alignment vertical="top" wrapText="1"/>
    </xf>
    <xf numFmtId="0" fontId="0" fillId="0" borderId="1" xfId="0" applyNumberFormat="1" applyBorder="1"/>
    <xf numFmtId="2" fontId="0" fillId="0" borderId="0" xfId="0" applyNumberFormat="1" applyAlignment="1">
      <alignment vertical="top"/>
    </xf>
    <xf numFmtId="0" fontId="2" fillId="0" borderId="6" xfId="0" applyFont="1" applyBorder="1" applyAlignment="1">
      <alignment vertical="top" wrapText="1"/>
    </xf>
    <xf numFmtId="3" fontId="0" fillId="0" borderId="0" xfId="0" applyNumberFormat="1" applyBorder="1"/>
    <xf numFmtId="165" fontId="0" fillId="0" borderId="10" xfId="0" applyNumberFormat="1" applyBorder="1"/>
    <xf numFmtId="0" fontId="22" fillId="0" borderId="21" xfId="0" applyFont="1" applyBorder="1"/>
    <xf numFmtId="0" fontId="0" fillId="10" borderId="21" xfId="0" applyFill="1" applyBorder="1"/>
    <xf numFmtId="0" fontId="0" fillId="0" borderId="21" xfId="0" applyFont="1" applyBorder="1" applyAlignment="1">
      <alignment horizontal="center" wrapText="1"/>
    </xf>
    <xf numFmtId="0" fontId="2" fillId="0" borderId="22" xfId="0" applyFont="1" applyBorder="1"/>
    <xf numFmtId="0" fontId="0" fillId="4" borderId="23" xfId="0" applyFill="1" applyBorder="1" applyAlignment="1" applyProtection="1">
      <alignment vertical="top"/>
      <protection locked="0"/>
    </xf>
    <xf numFmtId="0" fontId="21" fillId="0" borderId="0" xfId="0" applyFont="1" applyAlignment="1">
      <alignment horizontal="left" vertical="top"/>
    </xf>
    <xf numFmtId="0" fontId="21" fillId="0" borderId="16" xfId="0" applyFont="1" applyBorder="1" applyAlignment="1">
      <alignment vertical="top"/>
    </xf>
    <xf numFmtId="0" fontId="0" fillId="5" borderId="0" xfId="0" applyFill="1" applyBorder="1"/>
    <xf numFmtId="9" fontId="0" fillId="0" borderId="4" xfId="0" applyNumberFormat="1" applyFill="1" applyBorder="1" applyAlignment="1" applyProtection="1">
      <alignment vertical="top"/>
    </xf>
    <xf numFmtId="0" fontId="26" fillId="0" borderId="0" xfId="0" applyFont="1" applyAlignment="1" applyProtection="1"/>
    <xf numFmtId="0" fontId="0" fillId="0" borderId="0" xfId="0" applyAlignment="1" applyProtection="1"/>
    <xf numFmtId="0" fontId="1" fillId="0" borderId="0" xfId="1" applyAlignment="1" applyProtection="1"/>
    <xf numFmtId="0" fontId="13" fillId="0" borderId="4" xfId="0" applyFont="1" applyBorder="1" applyAlignment="1" applyProtection="1">
      <alignment vertical="top"/>
    </xf>
    <xf numFmtId="0" fontId="0" fillId="0" borderId="0" xfId="0" applyProtection="1"/>
    <xf numFmtId="0" fontId="2" fillId="0" borderId="0" xfId="0" applyFont="1" applyProtection="1"/>
    <xf numFmtId="0" fontId="0" fillId="0" borderId="4" xfId="0" applyBorder="1" applyProtection="1"/>
    <xf numFmtId="0" fontId="25" fillId="0" borderId="0" xfId="0" applyFont="1" applyProtection="1"/>
    <xf numFmtId="0" fontId="8" fillId="0" borderId="0" xfId="0" applyFont="1"/>
    <xf numFmtId="0" fontId="26" fillId="0" borderId="0" xfId="2" applyFont="1" applyFill="1" applyBorder="1"/>
    <xf numFmtId="0" fontId="0" fillId="0" borderId="0" xfId="0" applyAlignment="1">
      <alignment horizontal="right"/>
    </xf>
    <xf numFmtId="0" fontId="1" fillId="0" borderId="0" xfId="1" applyBorder="1" applyAlignment="1">
      <alignment horizontal="center"/>
    </xf>
    <xf numFmtId="0" fontId="0" fillId="0" borderId="0" xfId="0" applyAlignment="1" applyProtection="1">
      <alignment horizontal="left"/>
    </xf>
    <xf numFmtId="0" fontId="33" fillId="4" borderId="4" xfId="0" applyFont="1" applyFill="1" applyBorder="1" applyAlignment="1" applyProtection="1">
      <alignment horizontal="left" vertical="top" wrapText="1"/>
      <protection locked="0"/>
    </xf>
    <xf numFmtId="0" fontId="0" fillId="4" borderId="4" xfId="0" applyFill="1" applyBorder="1" applyAlignment="1" applyProtection="1">
      <alignment horizontal="left" wrapText="1"/>
      <protection locked="0"/>
    </xf>
    <xf numFmtId="0" fontId="0" fillId="4" borderId="4" xfId="0" applyFill="1" applyBorder="1" applyAlignment="1" applyProtection="1">
      <alignment horizontal="left" vertical="top" wrapText="1"/>
      <protection locked="0"/>
    </xf>
    <xf numFmtId="0" fontId="0" fillId="0" borderId="4" xfId="0" applyBorder="1" applyAlignment="1" applyProtection="1">
      <alignment horizontal="left"/>
    </xf>
    <xf numFmtId="0" fontId="0" fillId="0" borderId="4" xfId="0" applyBorder="1" applyAlignment="1">
      <alignment vertical="top" wrapText="1"/>
    </xf>
    <xf numFmtId="0" fontId="0" fillId="0" borderId="0" xfId="0" applyFill="1" applyAlignment="1">
      <alignment horizontal="left"/>
    </xf>
    <xf numFmtId="0" fontId="0" fillId="0" borderId="6" xfId="0" applyFill="1" applyBorder="1" applyAlignment="1">
      <alignment horizontal="right"/>
    </xf>
    <xf numFmtId="0" fontId="0" fillId="2" borderId="0" xfId="0" applyFont="1" applyFill="1" applyBorder="1" applyAlignment="1">
      <alignment horizontal="center" wrapText="1"/>
    </xf>
    <xf numFmtId="0" fontId="0" fillId="2" borderId="18" xfId="0" applyFont="1" applyFill="1" applyBorder="1" applyAlignment="1">
      <alignment horizontal="center" wrapText="1"/>
    </xf>
    <xf numFmtId="0" fontId="21" fillId="0" borderId="21" xfId="0" applyFont="1" applyFill="1" applyBorder="1"/>
    <xf numFmtId="0" fontId="21" fillId="5" borderId="21" xfId="0" applyFont="1" applyFill="1" applyBorder="1"/>
    <xf numFmtId="3" fontId="0" fillId="0" borderId="23" xfId="0" applyNumberFormat="1" applyFill="1" applyBorder="1" applyAlignment="1">
      <alignment vertical="top"/>
    </xf>
    <xf numFmtId="49" fontId="0" fillId="4" borderId="4" xfId="0" applyNumberFormat="1" applyFill="1" applyBorder="1" applyAlignment="1" applyProtection="1">
      <alignment horizontal="left" vertical="top"/>
      <protection locked="0"/>
    </xf>
    <xf numFmtId="0" fontId="0" fillId="0" borderId="4" xfId="0" applyFill="1" applyBorder="1" applyAlignment="1" applyProtection="1">
      <alignment vertical="top"/>
    </xf>
    <xf numFmtId="49" fontId="0" fillId="0" borderId="4" xfId="0" applyNumberFormat="1" applyFill="1" applyBorder="1" applyAlignment="1" applyProtection="1">
      <alignment horizontal="left" vertical="top"/>
    </xf>
    <xf numFmtId="0" fontId="0" fillId="0" borderId="14" xfId="0" applyFill="1" applyBorder="1" applyAlignment="1" applyProtection="1">
      <alignment vertical="top"/>
    </xf>
    <xf numFmtId="0" fontId="0" fillId="0" borderId="7" xfId="0" applyFill="1" applyBorder="1" applyAlignment="1" applyProtection="1">
      <alignment vertical="top"/>
    </xf>
    <xf numFmtId="9" fontId="0" fillId="2" borderId="16" xfId="0" applyNumberFormat="1" applyFont="1" applyFill="1" applyBorder="1" applyAlignment="1">
      <alignment horizontal="center" wrapText="1"/>
    </xf>
    <xf numFmtId="0" fontId="0" fillId="0" borderId="0" xfId="0" pivotButton="1"/>
    <xf numFmtId="0" fontId="0" fillId="0" borderId="0" xfId="0" applyAlignment="1">
      <alignment wrapText="1"/>
    </xf>
    <xf numFmtId="0" fontId="0" fillId="0" borderId="0" xfId="0" applyFill="1" applyBorder="1" applyAlignment="1">
      <alignment wrapText="1"/>
    </xf>
    <xf numFmtId="0" fontId="0" fillId="6" borderId="0" xfId="0" applyFill="1" applyBorder="1" applyAlignment="1">
      <alignment wrapText="1"/>
    </xf>
    <xf numFmtId="0" fontId="2" fillId="0" borderId="2" xfId="0" applyFont="1" applyBorder="1" applyAlignment="1">
      <alignment wrapText="1"/>
    </xf>
    <xf numFmtId="0" fontId="0" fillId="7" borderId="0" xfId="0" applyFill="1" applyBorder="1" applyAlignment="1">
      <alignment wrapText="1"/>
    </xf>
    <xf numFmtId="0" fontId="0" fillId="0" borderId="0" xfId="0" applyFont="1" applyBorder="1" applyAlignment="1"/>
    <xf numFmtId="0" fontId="0" fillId="0" borderId="16" xfId="0" applyFont="1" applyBorder="1" applyAlignment="1"/>
    <xf numFmtId="0" fontId="0" fillId="0" borderId="21" xfId="0" applyFont="1" applyBorder="1" applyAlignment="1"/>
    <xf numFmtId="0" fontId="0" fillId="0" borderId="0" xfId="0" applyFont="1" applyFill="1" applyBorder="1" applyAlignment="1"/>
    <xf numFmtId="168" fontId="0" fillId="0" borderId="0" xfId="0" applyNumberFormat="1" applyFont="1" applyBorder="1" applyAlignment="1"/>
    <xf numFmtId="1" fontId="0" fillId="0" borderId="0" xfId="0" applyNumberFormat="1" applyFont="1" applyBorder="1" applyAlignment="1"/>
    <xf numFmtId="1" fontId="0" fillId="0" borderId="16" xfId="0" applyNumberFormat="1" applyFont="1" applyBorder="1" applyAlignment="1"/>
    <xf numFmtId="3" fontId="0" fillId="0" borderId="21" xfId="0" applyNumberFormat="1" applyFont="1" applyFill="1" applyBorder="1" applyAlignment="1"/>
    <xf numFmtId="3" fontId="0" fillId="0" borderId="19" xfId="0" applyNumberFormat="1" applyFont="1" applyFill="1" applyBorder="1" applyAlignment="1"/>
    <xf numFmtId="165" fontId="0" fillId="0" borderId="16" xfId="0" applyNumberFormat="1" applyFont="1" applyFill="1" applyBorder="1" applyAlignment="1"/>
    <xf numFmtId="165" fontId="0" fillId="0" borderId="21" xfId="0" applyNumberFormat="1" applyFont="1" applyFill="1" applyBorder="1" applyAlignment="1"/>
    <xf numFmtId="3" fontId="0" fillId="0" borderId="19" xfId="0" applyNumberFormat="1" applyFont="1" applyBorder="1" applyAlignment="1"/>
    <xf numFmtId="9" fontId="5" fillId="0" borderId="0" xfId="5" applyNumberFormat="1" applyFont="1" applyBorder="1" applyAlignment="1"/>
    <xf numFmtId="165" fontId="0" fillId="0" borderId="16" xfId="0" applyNumberFormat="1" applyFont="1" applyBorder="1" applyAlignment="1"/>
    <xf numFmtId="3" fontId="0" fillId="0" borderId="0" xfId="0" applyNumberFormat="1" applyFont="1" applyBorder="1" applyAlignment="1"/>
    <xf numFmtId="3" fontId="0" fillId="0" borderId="16" xfId="0" applyNumberFormat="1" applyFont="1" applyBorder="1" applyAlignment="1"/>
    <xf numFmtId="2" fontId="0" fillId="0" borderId="0" xfId="0" applyNumberFormat="1" applyFont="1" applyBorder="1" applyAlignment="1"/>
    <xf numFmtId="9" fontId="0" fillId="0" borderId="16" xfId="0" applyNumberFormat="1" applyFont="1" applyBorder="1" applyAlignment="1"/>
    <xf numFmtId="0" fontId="0" fillId="0" borderId="0" xfId="0" applyFont="1" applyAlignment="1"/>
    <xf numFmtId="0" fontId="1" fillId="0" borderId="0" xfId="1" applyAlignment="1">
      <alignment horizontal="center"/>
    </xf>
    <xf numFmtId="3" fontId="34" fillId="0" borderId="0" xfId="0" applyNumberFormat="1" applyFont="1" applyFill="1" applyAlignment="1">
      <alignment horizontal="right"/>
    </xf>
    <xf numFmtId="0" fontId="13" fillId="0" borderId="0" xfId="0" applyFont="1" applyAlignment="1">
      <alignment horizontal="right"/>
    </xf>
    <xf numFmtId="0" fontId="0" fillId="0" borderId="10" xfId="0" applyFont="1" applyBorder="1" applyAlignment="1">
      <alignment horizontal="left" vertical="top"/>
    </xf>
    <xf numFmtId="165" fontId="0" fillId="0" borderId="0" xfId="0" applyNumberFormat="1" applyBorder="1"/>
    <xf numFmtId="0" fontId="0" fillId="0" borderId="0" xfId="0" applyFill="1" applyBorder="1" applyAlignment="1">
      <alignment horizontal="left" vertical="top" wrapText="1"/>
    </xf>
    <xf numFmtId="0" fontId="2" fillId="0" borderId="0" xfId="0" applyFont="1" applyBorder="1" applyAlignment="1">
      <alignment vertical="top" wrapText="1"/>
    </xf>
    <xf numFmtId="0" fontId="1" fillId="0" borderId="0" xfId="1" applyAlignment="1">
      <alignment vertical="top" wrapText="1"/>
    </xf>
    <xf numFmtId="0" fontId="0" fillId="4" borderId="0" xfId="0" applyFill="1" applyAlignment="1">
      <alignment vertical="top" wrapText="1"/>
    </xf>
    <xf numFmtId="0" fontId="0" fillId="3" borderId="0" xfId="0" applyFill="1" applyAlignment="1">
      <alignment vertical="top" wrapText="1"/>
    </xf>
    <xf numFmtId="0" fontId="0" fillId="15" borderId="0" xfId="0" applyFill="1" applyAlignment="1">
      <alignment vertical="top" wrapText="1"/>
    </xf>
    <xf numFmtId="0" fontId="7" fillId="13" borderId="0" xfId="0" applyFont="1" applyFill="1" applyAlignment="1">
      <alignment vertical="top" wrapText="1"/>
    </xf>
    <xf numFmtId="0" fontId="0" fillId="14" borderId="0" xfId="0" applyFill="1" applyAlignment="1">
      <alignment vertical="top" wrapText="1"/>
    </xf>
    <xf numFmtId="0" fontId="0" fillId="16" borderId="0" xfId="0" applyFill="1" applyAlignment="1">
      <alignment vertical="top" wrapText="1"/>
    </xf>
    <xf numFmtId="0" fontId="0" fillId="17" borderId="0" xfId="0" applyFill="1" applyAlignment="1">
      <alignment vertical="top" wrapText="1"/>
    </xf>
    <xf numFmtId="0" fontId="0" fillId="0" borderId="10" xfId="0" applyBorder="1" applyAlignment="1">
      <alignment vertical="top" wrapText="1"/>
    </xf>
    <xf numFmtId="0" fontId="0" fillId="0" borderId="0" xfId="0" applyAlignment="1">
      <alignment horizontal="left" vertical="top" wrapText="1" indent="4"/>
    </xf>
    <xf numFmtId="0" fontId="0" fillId="0" borderId="0" xfId="0" applyFill="1" applyBorder="1" applyAlignment="1">
      <alignment horizontal="left" vertical="top" wrapText="1" indent="4"/>
    </xf>
    <xf numFmtId="0" fontId="24" fillId="0" borderId="0" xfId="0" applyFont="1" applyAlignment="1">
      <alignment horizontal="center" wrapText="1"/>
    </xf>
    <xf numFmtId="4" fontId="0" fillId="0" borderId="10" xfId="0" applyNumberFormat="1" applyBorder="1" applyAlignment="1"/>
    <xf numFmtId="168" fontId="0" fillId="0" borderId="0" xfId="0" applyNumberFormat="1" applyBorder="1" applyAlignment="1"/>
    <xf numFmtId="1" fontId="0" fillId="0" borderId="0" xfId="0" applyNumberFormat="1" applyBorder="1" applyAlignment="1"/>
    <xf numFmtId="0" fontId="35" fillId="0" borderId="0" xfId="0" applyFont="1" applyAlignment="1"/>
    <xf numFmtId="0" fontId="37" fillId="0" borderId="0" xfId="0" applyFont="1" applyBorder="1" applyAlignment="1">
      <alignment horizontal="left" vertical="top"/>
    </xf>
    <xf numFmtId="0" fontId="35" fillId="0" borderId="0" xfId="0" applyFont="1" applyAlignment="1">
      <alignment horizontal="left"/>
    </xf>
    <xf numFmtId="0" fontId="38" fillId="0" borderId="0" xfId="0" applyFont="1" applyAlignment="1">
      <alignment vertical="top"/>
    </xf>
    <xf numFmtId="0" fontId="0" fillId="0" borderId="10" xfId="0" applyBorder="1" applyAlignment="1">
      <alignment wrapText="1"/>
    </xf>
    <xf numFmtId="0" fontId="8" fillId="0" borderId="0" xfId="0" applyFont="1" applyAlignment="1"/>
    <xf numFmtId="0" fontId="0" fillId="0" borderId="0" xfId="0" applyFont="1" applyAlignment="1">
      <alignment vertical="top" wrapText="1"/>
    </xf>
    <xf numFmtId="0" fontId="39" fillId="0" borderId="0" xfId="0" applyFont="1" applyAlignment="1">
      <alignment vertical="top" wrapText="1"/>
    </xf>
    <xf numFmtId="0" fontId="39" fillId="0" borderId="0" xfId="0" applyFont="1" applyAlignment="1">
      <alignment vertical="top"/>
    </xf>
    <xf numFmtId="171" fontId="0" fillId="4" borderId="4" xfId="0" applyNumberFormat="1" applyFill="1" applyBorder="1" applyAlignment="1" applyProtection="1">
      <alignment horizontal="left" wrapText="1"/>
      <protection locked="0"/>
    </xf>
    <xf numFmtId="171" fontId="0" fillId="3" borderId="4" xfId="0" applyNumberFormat="1" applyFill="1" applyBorder="1" applyAlignment="1" applyProtection="1">
      <alignment horizontal="left" wrapText="1"/>
      <protection locked="0"/>
    </xf>
    <xf numFmtId="0" fontId="0" fillId="11" borderId="0" xfId="0" applyFill="1" applyAlignment="1"/>
    <xf numFmtId="0" fontId="40" fillId="0" borderId="16" xfId="0" applyFont="1" applyBorder="1" applyAlignment="1">
      <alignment wrapText="1"/>
    </xf>
    <xf numFmtId="0" fontId="41" fillId="0" borderId="0" xfId="0" applyFont="1" applyAlignment="1">
      <alignment wrapText="1"/>
    </xf>
    <xf numFmtId="0" fontId="43" fillId="0" borderId="0" xfId="0" applyFont="1" applyAlignment="1">
      <alignment wrapText="1"/>
    </xf>
    <xf numFmtId="0" fontId="42" fillId="0" borderId="16" xfId="0" applyFont="1" applyBorder="1" applyAlignment="1">
      <alignment wrapText="1"/>
    </xf>
    <xf numFmtId="0" fontId="44" fillId="0" borderId="0" xfId="0" applyFont="1" applyAlignment="1"/>
    <xf numFmtId="0" fontId="40" fillId="5" borderId="16" xfId="0" applyFont="1" applyFill="1" applyBorder="1" applyAlignment="1">
      <alignment wrapText="1"/>
    </xf>
    <xf numFmtId="0" fontId="41" fillId="6" borderId="0" xfId="0" applyFont="1" applyFill="1" applyAlignment="1">
      <alignment wrapText="1"/>
    </xf>
    <xf numFmtId="0" fontId="43" fillId="7" borderId="0" xfId="0" applyFont="1" applyFill="1" applyAlignment="1">
      <alignment wrapText="1"/>
    </xf>
    <xf numFmtId="0" fontId="43" fillId="7" borderId="16" xfId="0" applyFont="1" applyFill="1" applyBorder="1" applyAlignment="1">
      <alignment wrapText="1"/>
    </xf>
    <xf numFmtId="0" fontId="46" fillId="0" borderId="26" xfId="0" applyFont="1" applyBorder="1" applyAlignment="1">
      <alignment horizontal="center" wrapText="1"/>
    </xf>
    <xf numFmtId="0" fontId="46" fillId="0" borderId="27" xfId="0" applyFont="1" applyBorder="1" applyAlignment="1">
      <alignment horizontal="center" wrapText="1"/>
    </xf>
    <xf numFmtId="0" fontId="46" fillId="0" borderId="25" xfId="0" applyFont="1" applyBorder="1" applyAlignment="1">
      <alignment horizontal="center" wrapText="1"/>
    </xf>
    <xf numFmtId="168" fontId="46" fillId="0" borderId="26" xfId="0" applyNumberFormat="1" applyFont="1" applyBorder="1" applyAlignment="1">
      <alignment horizontal="center" wrapText="1"/>
    </xf>
    <xf numFmtId="1" fontId="46" fillId="0" borderId="26" xfId="0" applyNumberFormat="1" applyFont="1" applyBorder="1" applyAlignment="1">
      <alignment horizontal="center" wrapText="1"/>
    </xf>
    <xf numFmtId="3" fontId="46" fillId="0" borderId="27" xfId="0" applyNumberFormat="1" applyFont="1" applyBorder="1" applyAlignment="1">
      <alignment horizontal="center" wrapText="1"/>
    </xf>
    <xf numFmtId="3" fontId="46" fillId="0" borderId="26" xfId="0" applyNumberFormat="1" applyFont="1" applyBorder="1" applyAlignment="1">
      <alignment horizontal="center" wrapText="1"/>
    </xf>
    <xf numFmtId="3" fontId="46" fillId="0" borderId="21" xfId="0" applyNumberFormat="1" applyFont="1" applyBorder="1" applyAlignment="1">
      <alignment horizontal="center" wrapText="1"/>
    </xf>
    <xf numFmtId="0" fontId="42" fillId="0" borderId="14" xfId="0" applyFont="1" applyBorder="1" applyAlignment="1">
      <alignment vertical="top" wrapText="1"/>
    </xf>
    <xf numFmtId="0" fontId="42" fillId="0" borderId="7" xfId="0" applyFont="1" applyBorder="1" applyAlignment="1">
      <alignment vertical="top" wrapText="1"/>
    </xf>
    <xf numFmtId="3" fontId="0" fillId="0" borderId="0" xfId="0" applyNumberFormat="1" applyAlignment="1">
      <alignment horizontal="center"/>
    </xf>
    <xf numFmtId="3" fontId="42" fillId="0" borderId="16" xfId="0" applyNumberFormat="1" applyFont="1" applyBorder="1" applyAlignment="1">
      <alignment horizontal="center"/>
    </xf>
    <xf numFmtId="3" fontId="44" fillId="9" borderId="16" xfId="0" applyNumberFormat="1" applyFont="1" applyFill="1" applyBorder="1" applyAlignment="1">
      <alignment horizontal="center"/>
    </xf>
    <xf numFmtId="3" fontId="42" fillId="5" borderId="21" xfId="0" applyNumberFormat="1" applyFont="1" applyFill="1" applyBorder="1" applyAlignment="1">
      <alignment horizontal="center"/>
    </xf>
    <xf numFmtId="3" fontId="42" fillId="0" borderId="5" xfId="0" applyNumberFormat="1" applyFont="1" applyBorder="1" applyAlignment="1">
      <alignment horizontal="center" vertical="top"/>
    </xf>
    <xf numFmtId="3" fontId="42" fillId="0" borderId="23" xfId="0" applyNumberFormat="1" applyFont="1" applyBorder="1" applyAlignment="1">
      <alignment horizontal="center" vertical="top"/>
    </xf>
    <xf numFmtId="3" fontId="0" fillId="0" borderId="0" xfId="0" applyNumberFormat="1" applyAlignment="1">
      <alignment horizontal="center" vertical="top"/>
    </xf>
    <xf numFmtId="168" fontId="0" fillId="0" borderId="0" xfId="0" applyNumberFormat="1" applyAlignment="1">
      <alignment horizontal="center"/>
    </xf>
    <xf numFmtId="1" fontId="0" fillId="0" borderId="0" xfId="0" applyNumberFormat="1" applyAlignment="1">
      <alignment horizontal="center"/>
    </xf>
    <xf numFmtId="168" fontId="42" fillId="0" borderId="0" xfId="0" applyNumberFormat="1" applyFont="1" applyAlignment="1">
      <alignment horizontal="center"/>
    </xf>
    <xf numFmtId="1" fontId="42" fillId="0" borderId="0" xfId="0" applyNumberFormat="1" applyFont="1" applyAlignment="1">
      <alignment horizontal="center"/>
    </xf>
    <xf numFmtId="3" fontId="42" fillId="0" borderId="0" xfId="0" applyNumberFormat="1" applyFont="1" applyAlignment="1">
      <alignment horizontal="center"/>
    </xf>
    <xf numFmtId="168" fontId="43" fillId="7" borderId="0" xfId="0" applyNumberFormat="1" applyFont="1" applyFill="1" applyAlignment="1">
      <alignment horizontal="center"/>
    </xf>
    <xf numFmtId="1" fontId="43" fillId="7" borderId="0" xfId="0" applyNumberFormat="1" applyFont="1" applyFill="1" applyAlignment="1">
      <alignment horizontal="center"/>
    </xf>
    <xf numFmtId="3" fontId="43" fillId="7" borderId="0" xfId="0" applyNumberFormat="1" applyFont="1" applyFill="1" applyAlignment="1">
      <alignment horizontal="center"/>
    </xf>
    <xf numFmtId="168" fontId="42" fillId="0" borderId="4" xfId="0" applyNumberFormat="1" applyFont="1" applyBorder="1" applyAlignment="1">
      <alignment horizontal="center" vertical="top"/>
    </xf>
    <xf numFmtId="1" fontId="42" fillId="0" borderId="4" xfId="0" applyNumberFormat="1" applyFont="1" applyBorder="1" applyAlignment="1">
      <alignment horizontal="center" vertical="top"/>
    </xf>
    <xf numFmtId="3" fontId="42" fillId="0" borderId="4" xfId="0" applyNumberFormat="1" applyFont="1" applyBorder="1" applyAlignment="1">
      <alignment horizontal="center" vertical="top"/>
    </xf>
    <xf numFmtId="168" fontId="0" fillId="0" borderId="0" xfId="0" applyNumberFormat="1" applyAlignment="1">
      <alignment horizontal="center" vertical="top"/>
    </xf>
    <xf numFmtId="1" fontId="0" fillId="0" borderId="0" xfId="0" applyNumberFormat="1" applyAlignment="1">
      <alignment horizontal="center" vertical="top"/>
    </xf>
    <xf numFmtId="168" fontId="41" fillId="6" borderId="0" xfId="0" applyNumberFormat="1" applyFont="1" applyFill="1" applyAlignment="1">
      <alignment horizontal="center"/>
    </xf>
    <xf numFmtId="1" fontId="41" fillId="6" borderId="0" xfId="0" applyNumberFormat="1" applyFont="1" applyFill="1" applyAlignment="1">
      <alignment horizontal="center"/>
    </xf>
    <xf numFmtId="3" fontId="41" fillId="6" borderId="16" xfId="0" applyNumberFormat="1" applyFont="1" applyFill="1" applyBorder="1" applyAlignment="1">
      <alignment horizontal="center"/>
    </xf>
    <xf numFmtId="3" fontId="42" fillId="0" borderId="14" xfId="0" applyNumberFormat="1" applyFont="1" applyBorder="1" applyAlignment="1">
      <alignment horizontal="center" vertical="top"/>
    </xf>
    <xf numFmtId="168" fontId="0" fillId="0" borderId="0" xfId="0" applyNumberFormat="1" applyAlignment="1">
      <alignment horizontal="left"/>
    </xf>
    <xf numFmtId="0" fontId="45" fillId="0" borderId="19" xfId="0" applyFont="1" applyBorder="1" applyAlignment="1">
      <alignment wrapText="1"/>
    </xf>
    <xf numFmtId="0" fontId="42" fillId="10" borderId="19" xfId="0" applyFont="1" applyFill="1" applyBorder="1" applyAlignment="1">
      <alignment wrapText="1"/>
    </xf>
    <xf numFmtId="0" fontId="42" fillId="0" borderId="4" xfId="0" applyFont="1" applyBorder="1" applyAlignment="1">
      <alignment horizontal="center" vertical="top"/>
    </xf>
    <xf numFmtId="0" fontId="0" fillId="0" borderId="10" xfId="0" applyFont="1" applyBorder="1" applyAlignment="1">
      <alignment horizontal="left"/>
    </xf>
    <xf numFmtId="0" fontId="40" fillId="0" borderId="0" xfId="0" applyFont="1" applyAlignment="1">
      <alignment horizontal="left"/>
    </xf>
    <xf numFmtId="0" fontId="42" fillId="5" borderId="0" xfId="0" applyFont="1" applyFill="1" applyAlignment="1">
      <alignment horizontal="left"/>
    </xf>
    <xf numFmtId="0" fontId="44" fillId="9" borderId="0" xfId="0" applyFont="1" applyFill="1" applyAlignment="1">
      <alignment wrapText="1"/>
    </xf>
    <xf numFmtId="3" fontId="40" fillId="0" borderId="21" xfId="0" applyNumberFormat="1" applyFont="1" applyBorder="1" applyAlignment="1">
      <alignment horizontal="left"/>
    </xf>
    <xf numFmtId="171" fontId="0" fillId="4" borderId="4" xfId="0" applyNumberFormat="1" applyFill="1" applyBorder="1" applyAlignment="1" applyProtection="1">
      <alignment horizontal="left"/>
      <protection locked="0"/>
    </xf>
    <xf numFmtId="171" fontId="0" fillId="0" borderId="4" xfId="0" applyNumberFormat="1" applyBorder="1" applyAlignment="1" applyProtection="1">
      <alignment horizontal="left"/>
    </xf>
    <xf numFmtId="0" fontId="0" fillId="0" borderId="0" xfId="0" applyBorder="1" applyAlignment="1">
      <alignment horizontal="left" vertical="top" wrapText="1" indent="4"/>
    </xf>
    <xf numFmtId="1" fontId="0" fillId="9" borderId="16" xfId="0" applyNumberFormat="1" applyFill="1" applyBorder="1"/>
    <xf numFmtId="1" fontId="14" fillId="2" borderId="18" xfId="0" applyNumberFormat="1" applyFont="1" applyFill="1" applyBorder="1" applyAlignment="1">
      <alignment horizontal="center" wrapText="1"/>
    </xf>
    <xf numFmtId="1" fontId="0" fillId="0" borderId="14" xfId="0" applyNumberFormat="1" applyBorder="1" applyAlignment="1">
      <alignment vertical="top"/>
    </xf>
    <xf numFmtId="0" fontId="26" fillId="0" borderId="0" xfId="0" applyFont="1" applyAlignment="1">
      <alignment wrapText="1"/>
    </xf>
    <xf numFmtId="0" fontId="25" fillId="0" borderId="0" xfId="0" applyFont="1" applyAlignment="1">
      <alignment vertical="top" wrapText="1"/>
    </xf>
    <xf numFmtId="0" fontId="13" fillId="0" borderId="0" xfId="0" applyFont="1" applyFill="1" applyAlignment="1">
      <alignment vertical="top" wrapText="1"/>
    </xf>
    <xf numFmtId="0" fontId="13" fillId="0" borderId="0" xfId="0" applyFont="1" applyFill="1" applyAlignment="1">
      <alignment vertical="top"/>
    </xf>
    <xf numFmtId="0" fontId="13" fillId="0" borderId="0" xfId="0" applyFont="1" applyFill="1" applyBorder="1" applyAlignment="1">
      <alignment vertical="top" wrapText="1"/>
    </xf>
    <xf numFmtId="0" fontId="2" fillId="0" borderId="1" xfId="0" applyFont="1" applyBorder="1" applyAlignment="1">
      <alignment horizontal="right" wrapText="1"/>
    </xf>
    <xf numFmtId="0" fontId="5" fillId="4" borderId="4" xfId="1" applyFont="1" applyFill="1" applyBorder="1" applyAlignment="1" applyProtection="1">
      <alignment horizontal="left" wrapText="1"/>
      <protection locked="0"/>
    </xf>
    <xf numFmtId="0" fontId="15" fillId="0" borderId="0" xfId="0" applyFont="1" applyAlignment="1">
      <alignment horizontal="left" vertical="top" wrapText="1" indent="4"/>
    </xf>
    <xf numFmtId="0" fontId="0" fillId="0" borderId="0" xfId="0" applyAlignment="1">
      <alignment horizontal="left" vertical="top" wrapText="1"/>
    </xf>
    <xf numFmtId="171" fontId="0" fillId="0" borderId="0" xfId="0" applyNumberFormat="1" applyAlignment="1">
      <alignment horizontal="left" vertical="top" wrapText="1"/>
    </xf>
    <xf numFmtId="0" fontId="25" fillId="0" borderId="0" xfId="0" applyFont="1" applyAlignment="1">
      <alignment horizontal="left"/>
    </xf>
    <xf numFmtId="168" fontId="0" fillId="0" borderId="0" xfId="0" applyNumberFormat="1" applyBorder="1" applyAlignment="1">
      <alignment horizontal="center"/>
    </xf>
    <xf numFmtId="1" fontId="0" fillId="0" borderId="0" xfId="0" applyNumberFormat="1" applyBorder="1" applyAlignment="1">
      <alignment horizontal="center"/>
    </xf>
    <xf numFmtId="0" fontId="0" fillId="0" borderId="0" xfId="0" applyBorder="1" applyAlignment="1">
      <alignment wrapText="1"/>
    </xf>
    <xf numFmtId="3" fontId="0" fillId="0" borderId="0" xfId="0" applyNumberFormat="1" applyBorder="1" applyAlignment="1">
      <alignment horizontal="center"/>
    </xf>
    <xf numFmtId="0" fontId="0" fillId="2" borderId="0" xfId="0" applyFill="1"/>
    <xf numFmtId="3" fontId="2" fillId="0" borderId="1" xfId="0" applyNumberFormat="1" applyFont="1" applyBorder="1" applyAlignment="1">
      <alignment horizontal="right"/>
    </xf>
    <xf numFmtId="3" fontId="0" fillId="2" borderId="0" xfId="0" applyNumberFormat="1" applyFill="1" applyBorder="1"/>
    <xf numFmtId="0" fontId="2" fillId="2" borderId="0" xfId="0" applyFont="1" applyFill="1" applyAlignment="1">
      <alignment vertical="top" wrapText="1"/>
    </xf>
    <xf numFmtId="0" fontId="0" fillId="0" borderId="0" xfId="0" quotePrefix="1" applyAlignment="1">
      <alignment vertical="top"/>
    </xf>
    <xf numFmtId="0" fontId="21" fillId="2" borderId="0" xfId="0" applyFont="1" applyFill="1" applyBorder="1"/>
    <xf numFmtId="9" fontId="0" fillId="2" borderId="16" xfId="0" applyNumberFormat="1" applyFill="1" applyBorder="1"/>
    <xf numFmtId="0" fontId="20" fillId="2" borderId="0" xfId="0" applyFont="1" applyFill="1" applyBorder="1"/>
    <xf numFmtId="2" fontId="0" fillId="2" borderId="0" xfId="0" applyNumberFormat="1" applyFont="1" applyFill="1"/>
    <xf numFmtId="0" fontId="19" fillId="2" borderId="0" xfId="0" applyFont="1" applyFill="1" applyBorder="1"/>
    <xf numFmtId="9" fontId="18" fillId="2" borderId="0" xfId="0" applyNumberFormat="1" applyFont="1" applyFill="1" applyBorder="1" applyAlignment="1"/>
    <xf numFmtId="166" fontId="0" fillId="2" borderId="0" xfId="0" applyNumberFormat="1" applyFill="1" applyAlignment="1"/>
    <xf numFmtId="0" fontId="0" fillId="2" borderId="0" xfId="0" applyFill="1" applyAlignment="1"/>
    <xf numFmtId="3" fontId="16" fillId="2" borderId="0" xfId="0" applyNumberFormat="1" applyFont="1" applyFill="1" applyBorder="1" applyAlignment="1"/>
    <xf numFmtId="1" fontId="0" fillId="2" borderId="16" xfId="0" applyNumberFormat="1" applyFill="1" applyBorder="1"/>
    <xf numFmtId="0" fontId="22" fillId="2" borderId="0" xfId="0" applyFont="1" applyFill="1" applyBorder="1"/>
    <xf numFmtId="0" fontId="17" fillId="2" borderId="0" xfId="0" applyFont="1" applyFill="1" applyBorder="1"/>
    <xf numFmtId="0" fontId="0" fillId="2" borderId="16" xfId="0" applyFill="1" applyBorder="1"/>
    <xf numFmtId="0" fontId="0" fillId="0" borderId="0" xfId="0" applyNumberFormat="1" applyAlignment="1">
      <alignment vertical="top" wrapText="1"/>
    </xf>
    <xf numFmtId="2" fontId="14" fillId="2" borderId="0" xfId="0" applyNumberFormat="1" applyFont="1" applyFill="1" applyAlignment="1">
      <alignment horizontal="center" wrapText="1"/>
    </xf>
    <xf numFmtId="3" fontId="0" fillId="0" borderId="4" xfId="0" applyNumberFormat="1" applyBorder="1" applyAlignment="1">
      <alignment vertical="top"/>
    </xf>
    <xf numFmtId="0" fontId="0" fillId="0" borderId="0" xfId="0" applyFill="1" applyAlignment="1">
      <alignment horizontal="center" wrapText="1"/>
    </xf>
    <xf numFmtId="0" fontId="0" fillId="2" borderId="16" xfId="0" applyFill="1" applyBorder="1" applyAlignment="1"/>
    <xf numFmtId="166" fontId="17" fillId="8" borderId="16" xfId="0" applyNumberFormat="1" applyFont="1" applyFill="1" applyBorder="1" applyAlignment="1"/>
    <xf numFmtId="166" fontId="32" fillId="2" borderId="16" xfId="0" applyNumberFormat="1" applyFont="1" applyFill="1" applyBorder="1" applyAlignment="1">
      <alignment wrapText="1"/>
    </xf>
    <xf numFmtId="0" fontId="19" fillId="2" borderId="16" xfId="0" applyFont="1" applyFill="1" applyBorder="1"/>
    <xf numFmtId="0" fontId="0" fillId="7" borderId="16" xfId="0" applyFill="1" applyBorder="1"/>
    <xf numFmtId="166" fontId="14" fillId="2" borderId="16" xfId="0" applyNumberFormat="1" applyFont="1" applyFill="1" applyBorder="1" applyAlignment="1">
      <alignment horizontal="center" wrapText="1"/>
    </xf>
    <xf numFmtId="2" fontId="2" fillId="0" borderId="17" xfId="0" applyNumberFormat="1" applyFont="1" applyBorder="1"/>
    <xf numFmtId="2" fontId="0" fillId="0" borderId="16" xfId="0" applyNumberFormat="1" applyFont="1" applyBorder="1" applyAlignment="1"/>
    <xf numFmtId="2" fontId="0" fillId="0" borderId="14" xfId="0" applyNumberFormat="1" applyFont="1" applyBorder="1" applyAlignment="1">
      <alignment vertical="top"/>
    </xf>
    <xf numFmtId="2" fontId="0" fillId="0" borderId="7" xfId="0" applyNumberFormat="1" applyFont="1" applyBorder="1" applyAlignment="1">
      <alignment vertical="top"/>
    </xf>
    <xf numFmtId="3" fontId="0" fillId="2" borderId="16" xfId="0" applyNumberFormat="1" applyFill="1" applyBorder="1"/>
    <xf numFmtId="3" fontId="14" fillId="2" borderId="16" xfId="0" applyNumberFormat="1" applyFont="1" applyFill="1" applyBorder="1" applyAlignment="1">
      <alignment horizontal="center" wrapText="1"/>
    </xf>
    <xf numFmtId="3" fontId="0" fillId="0" borderId="9" xfId="0" applyNumberFormat="1" applyBorder="1" applyAlignment="1">
      <alignment vertical="top"/>
    </xf>
    <xf numFmtId="0" fontId="2" fillId="2" borderId="21" xfId="0" applyFont="1" applyFill="1" applyBorder="1"/>
    <xf numFmtId="2" fontId="14" fillId="2" borderId="21" xfId="0" applyNumberFormat="1" applyFont="1" applyFill="1" applyBorder="1" applyAlignment="1">
      <alignment horizontal="center" wrapText="1"/>
    </xf>
    <xf numFmtId="2" fontId="2" fillId="0" borderId="22" xfId="0" applyNumberFormat="1" applyFont="1" applyBorder="1"/>
    <xf numFmtId="2" fontId="0" fillId="0" borderId="21" xfId="0" applyNumberFormat="1" applyFont="1" applyBorder="1" applyAlignment="1"/>
    <xf numFmtId="0" fontId="0" fillId="0" borderId="23" xfId="0" applyBorder="1"/>
    <xf numFmtId="0" fontId="0" fillId="0" borderId="11" xfId="0" applyBorder="1" applyAlignment="1">
      <alignment vertical="top"/>
    </xf>
    <xf numFmtId="0" fontId="7" fillId="0" borderId="0" xfId="0" applyFont="1" applyAlignment="1">
      <alignment vertical="top"/>
    </xf>
    <xf numFmtId="3" fontId="28" fillId="0" borderId="0" xfId="0" applyNumberFormat="1" applyFont="1"/>
    <xf numFmtId="0" fontId="0" fillId="2" borderId="0" xfId="0" applyFont="1" applyFill="1" applyAlignment="1">
      <alignment horizontal="center" wrapText="1"/>
    </xf>
    <xf numFmtId="0" fontId="47" fillId="18" borderId="0" xfId="0" applyFont="1" applyFill="1" applyAlignment="1">
      <alignment vertical="top"/>
    </xf>
    <xf numFmtId="0" fontId="0" fillId="2" borderId="6" xfId="0" applyFill="1" applyBorder="1" applyAlignment="1">
      <alignment vertical="top" wrapText="1"/>
    </xf>
    <xf numFmtId="0" fontId="0" fillId="0" borderId="6" xfId="0" applyBorder="1" applyAlignment="1">
      <alignment wrapText="1"/>
    </xf>
    <xf numFmtId="0" fontId="2" fillId="0" borderId="0" xfId="0" applyFont="1" applyBorder="1" applyAlignment="1">
      <alignment wrapText="1"/>
    </xf>
    <xf numFmtId="0" fontId="0" fillId="0" borderId="6" xfId="0" applyFill="1" applyBorder="1" applyAlignment="1">
      <alignment vertical="top" wrapText="1"/>
    </xf>
    <xf numFmtId="0" fontId="0" fillId="0" borderId="29" xfId="0" applyBorder="1"/>
    <xf numFmtId="0" fontId="0" fillId="0" borderId="14" xfId="0" applyBorder="1"/>
    <xf numFmtId="0" fontId="0" fillId="0" borderId="16" xfId="0" applyBorder="1"/>
    <xf numFmtId="0" fontId="0" fillId="0" borderId="21" xfId="0" applyBorder="1"/>
    <xf numFmtId="0" fontId="0" fillId="0" borderId="21" xfId="0" applyFill="1" applyBorder="1"/>
    <xf numFmtId="165" fontId="8" fillId="0" borderId="21" xfId="0" applyNumberFormat="1" applyFont="1" applyBorder="1" applyAlignment="1">
      <alignment horizontal="center" wrapText="1"/>
    </xf>
    <xf numFmtId="0" fontId="8" fillId="0" borderId="0" xfId="0" applyFont="1" applyAlignment="1">
      <alignment horizontal="center" wrapText="1"/>
    </xf>
    <xf numFmtId="0" fontId="0" fillId="0" borderId="0" xfId="0" applyAlignment="1">
      <alignment horizontal="center"/>
    </xf>
    <xf numFmtId="0" fontId="0" fillId="0" borderId="7" xfId="0" applyBorder="1" applyAlignment="1">
      <alignment horizontal="center"/>
    </xf>
    <xf numFmtId="0" fontId="0" fillId="0" borderId="4" xfId="0" applyBorder="1" applyAlignment="1">
      <alignment horizontal="center"/>
    </xf>
    <xf numFmtId="0" fontId="23" fillId="0" borderId="0" xfId="0" applyFont="1" applyAlignment="1">
      <alignment horizontal="left"/>
    </xf>
    <xf numFmtId="0" fontId="23" fillId="0" borderId="0" xfId="0" applyFont="1" applyAlignment="1">
      <alignment horizontal="left" wrapText="1"/>
    </xf>
    <xf numFmtId="0" fontId="0" fillId="19" borderId="0" xfId="0" applyFill="1" applyAlignment="1">
      <alignment horizontal="left"/>
    </xf>
    <xf numFmtId="0" fontId="0" fillId="20" borderId="0" xfId="0" applyFill="1" applyAlignment="1">
      <alignment horizontal="left"/>
    </xf>
    <xf numFmtId="0" fontId="23" fillId="0" borderId="16" xfId="0" applyFont="1" applyBorder="1" applyAlignment="1">
      <alignment horizontal="left"/>
    </xf>
    <xf numFmtId="0" fontId="0" fillId="9" borderId="16" xfId="0" applyFill="1" applyBorder="1" applyAlignment="1">
      <alignment horizontal="left"/>
    </xf>
    <xf numFmtId="0" fontId="8" fillId="0" borderId="16" xfId="0" applyFont="1" applyBorder="1" applyAlignment="1">
      <alignment horizontal="center" wrapText="1"/>
    </xf>
    <xf numFmtId="0" fontId="0" fillId="0" borderId="14" xfId="0" applyBorder="1" applyAlignment="1">
      <alignment horizontal="center"/>
    </xf>
    <xf numFmtId="0" fontId="0" fillId="0" borderId="30" xfId="0" applyBorder="1"/>
    <xf numFmtId="0" fontId="0" fillId="0" borderId="13" xfId="0" applyBorder="1"/>
    <xf numFmtId="0" fontId="0" fillId="0" borderId="24" xfId="0" applyBorder="1"/>
    <xf numFmtId="0" fontId="2" fillId="0" borderId="30" xfId="0" applyFont="1" applyBorder="1" applyAlignment="1">
      <alignment horizontal="center"/>
    </xf>
    <xf numFmtId="0" fontId="2" fillId="0" borderId="13" xfId="0" applyFont="1" applyBorder="1" applyAlignment="1">
      <alignment horizontal="center"/>
    </xf>
    <xf numFmtId="0" fontId="2" fillId="0" borderId="24" xfId="0" applyFont="1" applyBorder="1" applyAlignment="1">
      <alignment horizontal="center"/>
    </xf>
    <xf numFmtId="0" fontId="2" fillId="2" borderId="0" xfId="0" applyFont="1" applyFill="1"/>
    <xf numFmtId="3" fontId="23" fillId="0" borderId="19" xfId="0" applyNumberFormat="1" applyFont="1" applyBorder="1"/>
    <xf numFmtId="3" fontId="0" fillId="11" borderId="19" xfId="0" applyNumberFormat="1" applyFill="1" applyBorder="1"/>
    <xf numFmtId="0" fontId="0" fillId="2" borderId="6" xfId="0" applyFill="1" applyBorder="1" applyAlignment="1">
      <alignment vertical="top"/>
    </xf>
    <xf numFmtId="0" fontId="2" fillId="2" borderId="6" xfId="0" applyFont="1" applyFill="1" applyBorder="1" applyAlignment="1">
      <alignment vertical="top"/>
    </xf>
    <xf numFmtId="0" fontId="0" fillId="0" borderId="31" xfId="0" applyBorder="1" applyAlignment="1">
      <alignment vertical="top" wrapText="1"/>
    </xf>
    <xf numFmtId="0" fontId="0" fillId="0" borderId="31" xfId="0" applyBorder="1" applyAlignment="1">
      <alignment vertical="top"/>
    </xf>
    <xf numFmtId="9" fontId="0" fillId="0" borderId="31" xfId="0" applyNumberFormat="1" applyBorder="1" applyAlignment="1">
      <alignment vertical="top"/>
    </xf>
    <xf numFmtId="3" fontId="2" fillId="0" borderId="6" xfId="0" applyNumberFormat="1" applyFont="1" applyBorder="1" applyAlignment="1">
      <alignment vertical="top"/>
    </xf>
    <xf numFmtId="0" fontId="2" fillId="0" borderId="28" xfId="0" applyFont="1" applyBorder="1" applyAlignment="1">
      <alignment vertical="top"/>
    </xf>
    <xf numFmtId="3" fontId="2" fillId="0" borderId="28" xfId="0" applyNumberFormat="1" applyFont="1" applyBorder="1" applyAlignment="1">
      <alignment vertical="top"/>
    </xf>
    <xf numFmtId="0" fontId="0" fillId="0" borderId="28" xfId="0" applyBorder="1" applyAlignment="1">
      <alignment vertical="top" wrapText="1"/>
    </xf>
    <xf numFmtId="3" fontId="0" fillId="0" borderId="28" xfId="0" applyNumberFormat="1" applyBorder="1" applyAlignment="1">
      <alignment vertical="top"/>
    </xf>
    <xf numFmtId="0" fontId="0" fillId="0" borderId="28" xfId="0" applyBorder="1" applyAlignment="1">
      <alignment vertical="top"/>
    </xf>
    <xf numFmtId="3" fontId="0" fillId="0" borderId="10" xfId="0" applyNumberFormat="1" applyBorder="1" applyAlignment="1"/>
    <xf numFmtId="0" fontId="25" fillId="0" borderId="0" xfId="0" applyFont="1" applyAlignment="1"/>
    <xf numFmtId="0" fontId="2" fillId="0" borderId="1" xfId="0" applyFont="1" applyBorder="1" applyAlignment="1"/>
    <xf numFmtId="0" fontId="2" fillId="2" borderId="0" xfId="0" applyFont="1" applyFill="1" applyBorder="1" applyAlignment="1"/>
    <xf numFmtId="3" fontId="0" fillId="2" borderId="0" xfId="0" applyNumberFormat="1" applyFill="1" applyBorder="1" applyAlignment="1"/>
    <xf numFmtId="0" fontId="0" fillId="2" borderId="0" xfId="0" applyFill="1" applyBorder="1" applyAlignment="1"/>
    <xf numFmtId="3" fontId="0" fillId="2" borderId="0" xfId="0" applyNumberFormat="1" applyFill="1" applyAlignment="1"/>
    <xf numFmtId="166" fontId="32" fillId="2" borderId="0" xfId="0" applyNumberFormat="1" applyFont="1" applyFill="1" applyBorder="1" applyAlignment="1">
      <alignment wrapText="1"/>
    </xf>
    <xf numFmtId="3" fontId="0" fillId="0" borderId="10" xfId="0" applyNumberFormat="1" applyFont="1" applyBorder="1" applyAlignment="1"/>
    <xf numFmtId="166" fontId="0" fillId="0" borderId="6" xfId="0" applyNumberFormat="1" applyBorder="1" applyAlignment="1">
      <alignment vertical="top"/>
    </xf>
    <xf numFmtId="166" fontId="0" fillId="0" borderId="9" xfId="0" applyNumberFormat="1" applyBorder="1" applyAlignment="1">
      <alignment vertical="top"/>
    </xf>
    <xf numFmtId="165" fontId="0" fillId="0" borderId="16" xfId="0" applyNumberFormat="1" applyFont="1" applyFill="1" applyBorder="1"/>
    <xf numFmtId="165" fontId="0" fillId="0" borderId="16" xfId="0" applyNumberFormat="1" applyFont="1" applyFill="1" applyBorder="1" applyAlignment="1">
      <alignment vertical="top"/>
    </xf>
    <xf numFmtId="165" fontId="0" fillId="0" borderId="16" xfId="0" applyNumberFormat="1" applyFont="1" applyBorder="1" applyAlignment="1">
      <alignment vertical="top"/>
    </xf>
    <xf numFmtId="167" fontId="0" fillId="0" borderId="16" xfId="0" applyNumberFormat="1" applyBorder="1"/>
    <xf numFmtId="167" fontId="0" fillId="11" borderId="16" xfId="0" applyNumberFormat="1" applyFill="1" applyBorder="1"/>
    <xf numFmtId="167" fontId="23" fillId="0" borderId="16" xfId="0" applyNumberFormat="1" applyFont="1" applyBorder="1" applyAlignment="1">
      <alignment horizontal="center" wrapText="1"/>
    </xf>
    <xf numFmtId="9" fontId="2" fillId="0" borderId="17" xfId="5" applyNumberFormat="1" applyFont="1" applyFill="1" applyBorder="1"/>
    <xf numFmtId="9" fontId="5" fillId="0" borderId="16" xfId="5" applyNumberFormat="1" applyFont="1" applyFill="1" applyBorder="1" applyAlignment="1"/>
    <xf numFmtId="9" fontId="2" fillId="0" borderId="9" xfId="5" applyNumberFormat="1" applyFont="1" applyFill="1" applyBorder="1" applyAlignment="1">
      <alignment vertical="top"/>
    </xf>
    <xf numFmtId="167" fontId="2" fillId="0" borderId="9" xfId="5" applyNumberFormat="1" applyFont="1" applyFill="1" applyBorder="1" applyAlignment="1">
      <alignment vertical="top"/>
    </xf>
    <xf numFmtId="167" fontId="2" fillId="0" borderId="9" xfId="5" applyNumberFormat="1" applyFont="1" applyBorder="1" applyAlignment="1">
      <alignment vertical="top"/>
    </xf>
    <xf numFmtId="0" fontId="0" fillId="0" borderId="6" xfId="0" applyFont="1" applyBorder="1" applyAlignment="1">
      <alignment vertical="top"/>
    </xf>
    <xf numFmtId="165" fontId="0" fillId="0" borderId="11" xfId="0" applyNumberFormat="1" applyFill="1" applyBorder="1" applyAlignment="1">
      <alignment vertical="top"/>
    </xf>
    <xf numFmtId="165" fontId="0" fillId="0" borderId="10" xfId="0" applyNumberFormat="1" applyFill="1" applyBorder="1" applyAlignment="1">
      <alignment vertical="top"/>
    </xf>
    <xf numFmtId="0" fontId="0" fillId="0" borderId="32" xfId="0" applyFont="1" applyBorder="1" applyAlignment="1">
      <alignment vertical="top"/>
    </xf>
    <xf numFmtId="165" fontId="0" fillId="0" borderId="32" xfId="0" applyNumberFormat="1" applyFont="1" applyFill="1" applyBorder="1" applyAlignment="1">
      <alignment vertical="top"/>
    </xf>
    <xf numFmtId="3" fontId="0" fillId="0" borderId="11" xfId="0" applyNumberFormat="1" applyBorder="1" applyAlignment="1">
      <alignment vertical="top"/>
    </xf>
    <xf numFmtId="0" fontId="0" fillId="0" borderId="32" xfId="0" applyBorder="1" applyAlignment="1">
      <alignment vertical="top"/>
    </xf>
    <xf numFmtId="3" fontId="0" fillId="0" borderId="32" xfId="0" applyNumberFormat="1" applyBorder="1" applyAlignment="1">
      <alignment vertical="top"/>
    </xf>
    <xf numFmtId="0" fontId="0" fillId="4" borderId="4" xfId="1" applyFont="1" applyFill="1" applyBorder="1" applyAlignment="1" applyProtection="1">
      <alignment horizontal="left" wrapText="1"/>
      <protection locked="0"/>
    </xf>
    <xf numFmtId="0" fontId="0" fillId="4" borderId="4" xfId="1" applyFont="1" applyFill="1" applyBorder="1" applyAlignment="1" applyProtection="1">
      <alignment horizontal="left"/>
      <protection locked="0"/>
    </xf>
    <xf numFmtId="0" fontId="0" fillId="0" borderId="0" xfId="0" applyFont="1" applyAlignment="1">
      <alignment horizontal="left"/>
    </xf>
    <xf numFmtId="3" fontId="0" fillId="0" borderId="0" xfId="0" applyNumberFormat="1" applyBorder="1" applyAlignment="1">
      <alignment vertical="top"/>
    </xf>
    <xf numFmtId="0" fontId="2" fillId="0" borderId="1" xfId="0" applyFont="1" applyBorder="1" applyAlignment="1">
      <alignment wrapText="1"/>
    </xf>
    <xf numFmtId="14" fontId="26" fillId="0" borderId="0" xfId="0" applyNumberFormat="1" applyFont="1" applyAlignment="1"/>
    <xf numFmtId="14" fontId="8" fillId="0" borderId="0" xfId="0" applyNumberFormat="1" applyFont="1" applyAlignment="1"/>
    <xf numFmtId="14" fontId="0" fillId="0" borderId="0" xfId="0" applyNumberFormat="1" applyAlignment="1"/>
    <xf numFmtId="14" fontId="2" fillId="0" borderId="1" xfId="0" applyNumberFormat="1" applyFont="1" applyBorder="1" applyAlignment="1">
      <alignment wrapText="1"/>
    </xf>
    <xf numFmtId="14" fontId="0" fillId="0" borderId="0" xfId="0" applyNumberFormat="1" applyAlignment="1">
      <alignment vertical="top" wrapText="1"/>
    </xf>
    <xf numFmtId="2" fontId="0" fillId="0" borderId="6" xfId="0" applyNumberFormat="1" applyBorder="1" applyAlignment="1">
      <alignment vertical="top" wrapText="1"/>
    </xf>
    <xf numFmtId="3" fontId="0" fillId="0" borderId="6" xfId="0" applyNumberFormat="1" applyBorder="1" applyAlignment="1">
      <alignment vertical="top" wrapText="1"/>
    </xf>
    <xf numFmtId="9" fontId="0" fillId="0" borderId="6" xfId="0" applyNumberFormat="1" applyBorder="1" applyAlignment="1">
      <alignment vertical="top" wrapText="1"/>
    </xf>
    <xf numFmtId="1" fontId="0" fillId="0" borderId="6" xfId="0" applyNumberFormat="1" applyBorder="1" applyAlignment="1">
      <alignment vertical="top" wrapText="1"/>
    </xf>
  </cellXfs>
  <cellStyles count="6">
    <cellStyle name="Hyperlink" xfId="1" builtinId="8"/>
    <cellStyle name="Normal" xfId="0" builtinId="0"/>
    <cellStyle name="Normal 2" xfId="2" xr:uid="{E4BE70B2-E27C-468C-8A91-EE50DAD233C0}"/>
    <cellStyle name="Normal 2 2" xfId="4" xr:uid="{B93ED88F-F3C1-42CD-BDC7-392489891B10}"/>
    <cellStyle name="Percent" xfId="5" builtinId="5"/>
    <cellStyle name="Percent 2" xfId="3" xr:uid="{38B69031-322A-4DCE-B3F9-9EAD12272527}"/>
  </cellStyles>
  <dxfs count="120">
    <dxf>
      <font>
        <b/>
        <i val="0"/>
        <color rgb="FFC00000"/>
      </font>
      <fill>
        <patternFill>
          <bgColor theme="8" tint="0.79998168889431442"/>
        </patternFill>
      </fill>
    </dxf>
    <dxf>
      <font>
        <b/>
        <i val="0"/>
        <color rgb="FFC00000"/>
      </font>
      <fill>
        <patternFill>
          <bgColor theme="8" tint="0.79998168889431442"/>
        </patternFill>
      </fill>
    </dxf>
    <dxf>
      <font>
        <b/>
        <i val="0"/>
        <color rgb="FFC00000"/>
      </font>
      <fill>
        <patternFill>
          <bgColor theme="8" tint="0.79998168889431442"/>
        </patternFill>
      </fill>
    </dxf>
    <dxf>
      <fill>
        <patternFill>
          <bgColor theme="2" tint="-0.499984740745262"/>
        </patternFill>
      </fill>
    </dxf>
    <dxf>
      <fill>
        <patternFill>
          <bgColor theme="2" tint="-0.499984740745262"/>
        </patternFill>
      </fill>
    </dxf>
    <dxf>
      <fill>
        <patternFill>
          <bgColor theme="2" tint="-0.499984740745262"/>
        </patternFill>
      </fill>
    </dxf>
    <dxf>
      <font>
        <b/>
        <i val="0"/>
        <color rgb="FFC00000"/>
      </font>
      <fill>
        <patternFill>
          <bgColor theme="8" tint="0.79998168889431442"/>
        </patternFill>
      </fill>
    </dxf>
    <dxf>
      <fill>
        <patternFill>
          <bgColor theme="2" tint="-0.499984740745262"/>
        </patternFill>
      </fill>
    </dxf>
    <dxf>
      <fill>
        <patternFill>
          <bgColor theme="2" tint="-0.499984740745262"/>
        </patternFill>
      </fill>
    </dxf>
    <dxf>
      <font>
        <b/>
        <i val="0"/>
        <color rgb="FFC00000"/>
      </font>
      <fill>
        <patternFill>
          <bgColor theme="8" tint="0.79998168889431442"/>
        </patternFill>
      </fill>
    </dxf>
    <dxf>
      <font>
        <b/>
        <i val="0"/>
        <color rgb="FFC00000"/>
      </font>
      <fill>
        <patternFill>
          <bgColor theme="8" tint="0.79998168889431442"/>
        </patternFill>
      </fill>
    </dxf>
    <dxf>
      <numFmt numFmtId="3" formatCode="#,##0"/>
    </dxf>
    <dxf>
      <numFmt numFmtId="3" formatCode="#,##0"/>
    </dxf>
    <dxf>
      <font>
        <b/>
        <i val="0"/>
        <strike val="0"/>
        <condense val="0"/>
        <extend val="0"/>
        <outline val="0"/>
        <shadow val="0"/>
        <u val="none"/>
        <vertAlign val="baseline"/>
        <sz val="11"/>
        <color theme="1"/>
        <name val="Calibri"/>
        <family val="2"/>
        <scheme val="none"/>
      </font>
    </dxf>
    <dxf>
      <border outline="0">
        <bottom style="thin">
          <color indexed="64"/>
        </bottom>
      </border>
    </dxf>
    <dxf>
      <border outline="0">
        <bottom style="thin">
          <color indexed="64"/>
        </bottom>
      </border>
    </dxf>
    <dxf>
      <border outline="0">
        <bottom style="thin">
          <color indexed="64"/>
        </bottom>
      </border>
    </dxf>
    <dxf>
      <border outline="0">
        <bottom style="thin">
          <color indexed="64"/>
        </bottom>
      </border>
    </dxf>
    <dxf>
      <border outline="0">
        <bottom style="thin">
          <color indexed="64"/>
        </bottom>
      </border>
    </dxf>
    <dxf>
      <border outline="0">
        <bottom style="thin">
          <color indexed="64"/>
        </bottom>
      </border>
    </dxf>
    <dxf>
      <border outline="0">
        <bottom style="thin">
          <color indexed="64"/>
        </bottom>
      </border>
    </dxf>
    <dxf>
      <border outline="0">
        <bottom style="thin">
          <color indexed="64"/>
        </bottom>
      </border>
    </dxf>
    <dxf>
      <border outline="0">
        <bottom style="thin">
          <color indexed="64"/>
        </bottom>
      </border>
    </dxf>
    <dxf>
      <border outline="0">
        <bottom style="thin">
          <color indexed="64"/>
        </bottom>
      </border>
    </dxf>
    <dxf>
      <border outline="0">
        <bottom style="thin">
          <color indexed="64"/>
        </bottom>
      </border>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numFmt numFmtId="0" formatCode="General"/>
      <alignment horizontal="general" vertical="top" textRotation="0" wrapText="1" indent="0" justifyLastLine="0" shrinkToFit="0" readingOrder="0"/>
    </dxf>
    <dxf>
      <alignment horizontal="general" vertical="top" textRotation="0" wrapText="1" indent="0" justifyLastLine="0" shrinkToFit="0" readingOrder="0"/>
    </dxf>
    <dxf>
      <numFmt numFmtId="0" formatCode="General"/>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numFmt numFmtId="2" formatCode="0.00"/>
      <alignment horizontal="general" vertical="top" textRotation="0" wrapText="1" indent="0" justifyLastLine="0" shrinkToFit="0" readingOrder="0"/>
    </dxf>
    <dxf>
      <alignment horizontal="general" vertical="top" textRotation="0" wrapText="1" indent="0" justifyLastLine="0" shrinkToFit="0" readingOrder="0"/>
    </dxf>
    <dxf>
      <fill>
        <patternFill patternType="none">
          <fgColor indexed="64"/>
          <bgColor indexed="65"/>
        </patternFill>
      </fill>
      <alignment horizontal="general" vertical="top" textRotation="0" wrapText="1" indent="0" justifyLastLine="0" shrinkToFit="0" readingOrder="0"/>
    </dxf>
    <dxf>
      <alignment horizontal="general" vertical="top" textRotation="0" wrapText="1" indent="0" justifyLastLine="0" shrinkToFit="0" readingOrder="0"/>
    </dxf>
    <dxf>
      <alignment horizontal="general" vertical="top" textRotation="0" wrapText="1" indent="0" justifyLastLine="0" shrinkToFit="0" readingOrder="0"/>
    </dxf>
    <dxf>
      <font>
        <b/>
        <i val="0"/>
        <strike val="0"/>
        <condense val="0"/>
        <extend val="0"/>
        <outline val="0"/>
        <shadow val="0"/>
        <u val="none"/>
        <vertAlign val="baseline"/>
        <sz val="11"/>
        <color theme="1"/>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Calibri"/>
        <family val="2"/>
        <scheme val="none"/>
      </font>
      <numFmt numFmtId="2" formatCode="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2" formatCode="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2" formatCode="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2" formatCode="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2" formatCode="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2" formatCode="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2" formatCode="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2" formatCode="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numFmt numFmtId="2" formatCode="0.00"/>
      <fill>
        <patternFill patternType="none">
          <fgColor indexed="64"/>
          <bgColor indexed="65"/>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fill>
        <patternFill patternType="none">
          <fgColor indexed="64"/>
          <bgColor indexed="65"/>
        </patternFill>
      </fill>
    </dxf>
    <dxf>
      <font>
        <b val="0"/>
        <i val="0"/>
        <strike val="0"/>
        <condense val="0"/>
        <extend val="0"/>
        <outline val="0"/>
        <shadow val="0"/>
        <u val="none"/>
        <vertAlign val="baseline"/>
        <sz val="11"/>
        <color theme="1"/>
        <name val="Calibri"/>
        <family val="2"/>
        <scheme val="none"/>
      </font>
      <fill>
        <patternFill patternType="none">
          <fgColor indexed="64"/>
          <bgColor indexed="65"/>
        </patternFill>
      </fill>
      <alignment horizontal="center" vertical="bottom" textRotation="0" wrapText="0" indent="0" justifyLastLine="0" shrinkToFit="0" readingOrder="0"/>
    </dxf>
    <dxf>
      <font>
        <b/>
        <i val="0"/>
        <strike val="0"/>
        <condense val="0"/>
        <extend val="0"/>
        <outline val="0"/>
        <shadow val="0"/>
        <u val="none"/>
        <vertAlign val="baseline"/>
        <sz val="11"/>
        <color auto="1"/>
        <name val="Calibri"/>
        <family val="2"/>
        <scheme val="none"/>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Calibri"/>
        <family val="2"/>
        <scheme val="none"/>
      </font>
      <fill>
        <patternFill patternType="none">
          <fgColor indexed="64"/>
          <bgColor indexed="65"/>
        </patternFill>
      </fill>
      <alignment horizontal="general" vertical="top" textRotation="0" wrapText="1" indent="0" justifyLastLine="0" shrinkToFit="0" readingOrder="0"/>
    </dxf>
    <dxf>
      <font>
        <b val="0"/>
        <i val="0"/>
        <strike val="0"/>
        <condense val="0"/>
        <extend val="0"/>
        <outline val="0"/>
        <shadow val="0"/>
        <u val="none"/>
        <vertAlign val="baseline"/>
        <sz val="11"/>
        <color theme="1"/>
        <name val="Calibri"/>
        <family val="2"/>
        <scheme val="none"/>
      </font>
      <fill>
        <patternFill patternType="none">
          <fgColor indexed="64"/>
          <bgColor indexed="65"/>
        </patternFill>
      </fill>
      <alignment horizontal="general" vertical="top" textRotation="0" indent="0" justifyLastLine="0" shrinkToFit="0" readingOrder="0"/>
    </dxf>
    <dxf>
      <font>
        <b val="0"/>
        <i val="0"/>
        <strike val="0"/>
        <condense val="0"/>
        <extend val="0"/>
        <outline val="0"/>
        <shadow val="0"/>
        <u val="none"/>
        <vertAlign val="baseline"/>
        <sz val="11"/>
        <color theme="1"/>
        <name val="Calibri"/>
        <family val="2"/>
        <scheme val="none"/>
      </font>
      <fill>
        <patternFill patternType="none">
          <fgColor indexed="64"/>
          <bgColor indexed="65"/>
        </patternFill>
      </fill>
      <alignment horizontal="general" vertical="top" textRotation="0" indent="0" justifyLastLine="0" shrinkToFit="0" readingOrder="0"/>
    </dxf>
    <dxf>
      <font>
        <b val="0"/>
        <i val="0"/>
        <strike val="0"/>
        <condense val="0"/>
        <extend val="0"/>
        <outline val="0"/>
        <shadow val="0"/>
        <u val="none"/>
        <vertAlign val="baseline"/>
        <sz val="11"/>
        <color theme="1"/>
        <name val="Calibri"/>
        <family val="2"/>
        <scheme val="none"/>
      </font>
      <fill>
        <patternFill patternType="none">
          <fgColor indexed="64"/>
          <bgColor indexed="65"/>
        </patternFill>
      </fill>
      <alignment horizontal="general" vertical="top" textRotation="0" indent="0" justifyLastLine="0" shrinkToFit="0" readingOrder="0"/>
    </dxf>
    <dxf>
      <font>
        <b/>
        <i val="0"/>
        <strike val="0"/>
        <condense val="0"/>
        <extend val="0"/>
        <outline val="0"/>
        <shadow val="0"/>
        <u val="none"/>
        <vertAlign val="baseline"/>
        <sz val="11"/>
        <color theme="1"/>
        <name val="Calibri"/>
        <family val="2"/>
        <scheme val="none"/>
      </font>
      <fill>
        <patternFill patternType="none">
          <fgColor indexed="64"/>
          <bgColor indexed="65"/>
        </patternFill>
      </fill>
    </dxf>
    <dxf>
      <numFmt numFmtId="170" formatCode="&quot;$&quot;#,##0.000000"/>
    </dxf>
    <dxf>
      <numFmt numFmtId="170" formatCode="&quot;$&quot;#,##0.000000"/>
    </dxf>
    <dxf>
      <numFmt numFmtId="170" formatCode="&quot;$&quot;#,##0.000000"/>
    </dxf>
    <dxf>
      <numFmt numFmtId="13" formatCode="0%"/>
    </dxf>
    <dxf>
      <numFmt numFmtId="166" formatCode="&quot;$&quot;#,##0.00"/>
    </dxf>
    <dxf>
      <numFmt numFmtId="3" formatCode="#,##0"/>
    </dxf>
    <dxf>
      <numFmt numFmtId="3" formatCode="#,##0"/>
    </dxf>
    <dxf>
      <numFmt numFmtId="2" formatCode="0.00"/>
      <fill>
        <patternFill patternType="none">
          <fgColor indexed="64"/>
          <bgColor indexed="65"/>
        </patternFill>
      </fill>
      <alignment horizontal="general"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numFmt numFmtId="2" formatCode="0.00"/>
      <fill>
        <patternFill patternType="none">
          <fgColor indexed="64"/>
          <bgColor indexed="65"/>
        </patternFill>
      </fill>
      <alignment horizontal="general"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horizontal/>
      </border>
    </dxf>
    <dxf>
      <numFmt numFmtId="0" formatCode="General"/>
      <fill>
        <patternFill patternType="none">
          <fgColor indexed="64"/>
          <bgColor indexed="65"/>
        </patternFill>
      </fill>
      <alignment horizontal="general"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none">
          <fgColor indexed="64"/>
          <bgColor indexed="65"/>
        </patternFill>
      </fill>
      <alignment horizontal="general"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numFmt numFmtId="2" formatCode="0.00"/>
      <fill>
        <patternFill patternType="none">
          <fgColor indexed="64"/>
          <bgColor indexed="65"/>
        </patternFill>
      </fill>
      <alignment horizontal="general" vertical="top" textRotation="0" wrapText="0" indent="0" justifyLastLine="0" shrinkToFit="0" readingOrder="0"/>
      <border diagonalUp="0" diagonalDown="0">
        <left/>
        <right style="thin">
          <color theme="0" tint="-0.24994659260841701"/>
        </right>
        <top style="thin">
          <color theme="0" tint="-0.24994659260841701"/>
        </top>
        <bottom style="thin">
          <color theme="0" tint="-0.24994659260841701"/>
        </bottom>
        <vertical/>
        <horizontal/>
      </border>
      <protection locked="0" hidden="0"/>
    </dxf>
    <dxf>
      <numFmt numFmtId="2" formatCode="0.00"/>
      <fill>
        <patternFill patternType="solid">
          <fgColor indexed="64"/>
          <bgColor theme="5" tint="0.79998168889431442"/>
        </patternFill>
      </fill>
      <alignment horizontal="left" vertical="top" textRotation="0" wrapText="1" indent="0" justifyLastLine="0" shrinkToFit="0" readingOrder="0"/>
      <border diagonalUp="0" diagonalDown="0">
        <left style="thin">
          <color theme="0" tint="-0.24994659260841701"/>
        </left>
        <right style="medium">
          <color theme="0" tint="-0.499984740745262"/>
        </right>
        <top style="thin">
          <color theme="0" tint="-0.24994659260841701"/>
        </top>
        <bottom style="thin">
          <color theme="0" tint="-0.24994659260841701"/>
        </bottom>
        <vertical/>
        <horizontal/>
      </border>
    </dxf>
    <dxf>
      <numFmt numFmtId="3" formatCode="#,##0"/>
      <alignment vertical="top" textRotation="0" indent="0" justifyLastLine="0" shrinkToFit="0" readingOrder="0"/>
      <border diagonalUp="0" diagonalDown="0">
        <left style="thin">
          <color theme="0" tint="-0.24994659260841701"/>
        </left>
        <right style="medium">
          <color theme="0" tint="-0.499984740745262"/>
        </right>
        <top style="thin">
          <color theme="0" tint="-0.24994659260841701"/>
        </top>
        <bottom style="thin">
          <color theme="0" tint="-0.24994659260841701"/>
        </bottom>
        <vertical/>
        <horizontal style="thin">
          <color theme="0" tint="-0.24994659260841701"/>
        </horizontal>
      </border>
    </dxf>
    <dxf>
      <numFmt numFmtId="0" formatCode="Genera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medium">
          <color theme="0" tint="-0.499984740745262"/>
        </right>
        <top style="thin">
          <color theme="0" tint="-0.24994659260841701"/>
        </top>
        <bottom style="thin">
          <color theme="0" tint="-0.24994659260841701"/>
        </bottom>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medium">
          <color theme="0" tint="-0.499984740745262"/>
        </right>
        <top style="thin">
          <color theme="0" tint="-0.24994659260841701"/>
        </top>
        <bottom style="thin">
          <color theme="0" tint="-0.24994659260841701"/>
        </bottom>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numFmt numFmtId="30" formatCode="@"/>
      <fill>
        <patternFill patternType="solid">
          <fgColor indexed="64"/>
          <bgColor theme="3" tint="0.89999084444715716"/>
        </patternFill>
      </fill>
      <alignment horizontal="left" vertical="top" textRotation="0" wrapText="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alignment vertical="top" textRotation="0" indent="0" justifyLastLine="0" shrinkToFit="0" readingOrder="0"/>
      <border diagonalUp="0" diagonalDown="0">
        <left style="thin">
          <color theme="0" tint="-0.24994659260841701"/>
        </left>
        <right style="thin">
          <color theme="0" tint="-0.24994659260841701"/>
        </right>
        <top style="thin">
          <color theme="0" tint="-0.24994659260841701"/>
        </top>
        <bottom style="thin">
          <color theme="0" tint="-0.24994659260841701"/>
        </bottom>
        <vertical style="thin">
          <color theme="0" tint="-0.24994659260841701"/>
        </vertical>
        <horizontal style="thin">
          <color theme="0" tint="-0.24994659260841701"/>
        </horizontal>
      </border>
    </dxf>
    <dxf>
      <fill>
        <patternFill patternType="solid">
          <fgColor indexed="64"/>
          <bgColor theme="3" tint="0.89999084444715716"/>
        </patternFill>
      </fill>
      <alignment vertical="top" textRotation="0" indent="0" justifyLastLine="0" shrinkToFit="0" readingOrder="0"/>
    </dxf>
    <dxf>
      <fill>
        <patternFill patternType="none">
          <fgColor indexed="64"/>
          <bgColor auto="1"/>
        </patternFill>
      </fill>
      <alignment horizontal="center" vertical="bottom" textRotation="0" indent="0" justifyLastLine="0" shrinkToFit="0" readingOrder="0"/>
    </dxf>
  </dxfs>
  <tableStyles count="0" defaultTableStyle="TableStyleMedium2" defaultPivotStyle="PivotStyleLight16"/>
  <colors>
    <mruColors>
      <color rgb="FF3C7D22"/>
      <color rgb="FF782170"/>
      <color rgb="FFFF3300"/>
      <color rgb="FFCCCCFF"/>
      <color rgb="FF990099"/>
      <color rgb="FF0033CC"/>
      <color rgb="FF3333CC"/>
      <color rgb="FFFF3399"/>
      <color rgb="FFCC0099"/>
      <color rgb="FFCC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eetMetadata" Target="metadata.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998220</xdr:colOff>
      <xdr:row>0</xdr:row>
      <xdr:rowOff>167640</xdr:rowOff>
    </xdr:from>
    <xdr:to>
      <xdr:col>0</xdr:col>
      <xdr:colOff>5082540</xdr:colOff>
      <xdr:row>3</xdr:row>
      <xdr:rowOff>137595</xdr:rowOff>
    </xdr:to>
    <xdr:pic>
      <xdr:nvPicPr>
        <xdr:cNvPr id="4" name="Picture 3">
          <a:extLst>
            <a:ext uri="{FF2B5EF4-FFF2-40B4-BE49-F238E27FC236}">
              <a16:creationId xmlns:a16="http://schemas.microsoft.com/office/drawing/2014/main" id="{202F0376-4B1A-4053-A66A-E9FD381316A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8220" y="167640"/>
          <a:ext cx="4084320" cy="51859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anforth, Allison" id="{90B4F0FC-6528-45A8-BF37-B7EA984C34A1}" userId="S::ADanforth@cityoftacoma.org::9b5a8354-cb01-4cab-9f0a-39ea0a995b3d" providerId="AD"/>
  <person displayName="Danforth, Allison" id="{F6675F9E-F34D-4517-93C6-A346A0944264}" userId="S::adanforth@cityoftacoma.org::9b5a8354-cb01-4cab-9f0a-39ea0a995b3d"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Danforth, Allison" refreshedDate="46209.436784606478" createdVersion="8" refreshedVersion="8" minRefreshableVersion="3" recordCount="500" xr:uid="{619BD277-8ADC-497C-906E-DA168343B7D7}">
  <cacheSource type="worksheet">
    <worksheetSource ref="A7:AJ507" sheet="Measures"/>
  </cacheSource>
  <cacheFields count="36">
    <cacheField name="MEASURE_INDEX" numFmtId="0">
      <sharedItems containsSemiMixedTypes="0" containsString="0" containsNumber="1" containsInteger="1" minValue="1" maxValue="500"/>
    </cacheField>
    <cacheField name="SPACE_NAME" numFmtId="0">
      <sharedItems containsNonDate="0" containsString="0" containsBlank="1"/>
    </cacheField>
    <cacheField name="MEASURE_TYPE" numFmtId="0">
      <sharedItems containsNonDate="0" containsString="0" containsBlank="1"/>
    </cacheField>
    <cacheField name="EXISTING_FIXTURE_CLASS" numFmtId="0">
      <sharedItems containsNonDate="0" containsString="0" containsBlank="1"/>
    </cacheField>
    <cacheField name="EXISTING_FIXTURE_CATEGORY" numFmtId="0">
      <sharedItems containsNonDate="0" containsString="0" containsBlank="1"/>
    </cacheField>
    <cacheField name="EXISTING_FIXTURE_SUBCATEGORY" numFmtId="0">
      <sharedItems containsNonDate="0" containsString="0" containsBlank="1"/>
    </cacheField>
    <cacheField name="EXISTING_FIXTURE_LAMP_WATTAGE" numFmtId="168">
      <sharedItems containsNonDate="0" containsString="0" containsBlank="1"/>
    </cacheField>
    <cacheField name="EXISTING_FIXTURE_LAMPS_PER_FIXTURE" numFmtId="1">
      <sharedItems containsNonDate="0" containsString="0" containsBlank="1"/>
    </cacheField>
    <cacheField name="EXISTING_FIXTURE_QUANTITY" numFmtId="1">
      <sharedItems containsNonDate="0" containsString="0" containsBlank="1"/>
    </cacheField>
    <cacheField name="PROPOSED_FIXTURE_CLASS" numFmtId="0">
      <sharedItems containsNonDate="0" containsBlank="1" count="2">
        <m/>
        <s v="LED" u="1"/>
      </sharedItems>
    </cacheField>
    <cacheField name="PROPOSED_FIXTURE_CATEGORY" numFmtId="0">
      <sharedItems containsNonDate="0" containsBlank="1" count="8">
        <m/>
        <s v="General Indoor / Outdoor" u="1"/>
        <s v="Tube" u="1"/>
        <s v="Small Lamp / Fixture" u="1"/>
        <s v="High Bay" u="1"/>
        <s v="Exterior" u="1"/>
        <s v="Exit Sign" u="1"/>
        <s v="Lighting Sold by the Foot" u="1"/>
      </sharedItems>
    </cacheField>
    <cacheField name="PROPOSED_FIXTURE_SUBCATEGORY" numFmtId="0">
      <sharedItems containsNonDate="0" containsString="0" containsBlank="1"/>
    </cacheField>
    <cacheField name="PROPOSED_FIXTURE_INSERT_WATTAGE" numFmtId="168">
      <sharedItems containsNonDate="0" containsString="0" containsBlank="1"/>
    </cacheField>
    <cacheField name="PROPOSED_FIXTURE_INSERTS_PER_FIXTURE" numFmtId="1">
      <sharedItems containsNonDate="0" containsString="0" containsBlank="1"/>
    </cacheField>
    <cacheField name="PROPOSED_FIXTURE_QUANTITY" numFmtId="1">
      <sharedItems containsNonDate="0" containsString="0" containsBlank="1"/>
    </cacheField>
    <cacheField name="PROPOSED_MANUFACTURER" numFmtId="0">
      <sharedItems containsNonDate="0" containsBlank="1" count="17">
        <m/>
        <s v="Phillips" u="1"/>
        <s v="General Electric" u="1"/>
        <s v="LEDOne" u="1"/>
        <s v="Cool Lights" u="1"/>
        <s v="hello" u="1"/>
        <s v="Hola" u="1"/>
        <s v="Rockin LEDs" u="1"/>
        <s v="Z Hola Tacoma" u="1"/>
        <s v="LITELAB" u="1"/>
        <s v="LUCIFER" u="1"/>
        <s v="HEW" u="1"/>
        <s v="Test1" u="1"/>
        <s v="Test2" u="1"/>
        <s v="Test3" u="1"/>
        <s v="Test4" u="1"/>
        <s v="Bonjour" u="1"/>
      </sharedItems>
    </cacheField>
    <cacheField name="PROPOSED_MODEL_NUMBER" numFmtId="0">
      <sharedItems containsNonDate="0" containsBlank="1" count="32">
        <m/>
        <s v="LTR-22-UXL_8CT G5 ECO-HD (SR_RC)(XX)-BAA" u="1"/>
        <s v="LTR-22-UXL_8CT G5 ECO-HD (SR_RC)(XX)-BAA-EM" u="1"/>
        <s v="LTR-22-UXL8CT G5 ECO-HD_OSDL_BTEZ-BAA" u="1"/>
        <s v="L48T8-840-12P-ID DE BAA-TAA" u="1"/>
        <s v="LTR-24-UXL8CT G5 ECO-HD_OSDL_BTEZ-BAA" u="1"/>
        <s v="OLLWD LED P1 40K MVOLT " u="1"/>
        <s v="UXB-UX-240CT-HV G4 ECO (SR)-BAA" u="1"/>
        <s v="LTR-24-UXL/8CT" u="1"/>
        <s v="WPM-15/40K" u="1"/>
        <s v="WPE-45/45K XE G4BAA" u="1"/>
        <s v="ABC123" u="1"/>
        <s v="a;sldkj fa;lskd as;lkfd a;lk asd;flk a;lskf a;l " u="1"/>
        <s v="aslfksda;" u="1"/>
        <s v="QWERTY" u="1"/>
        <s v="point" u="1"/>
        <s v="LITELAB C3S-L08/9030" u="1"/>
        <s v="LITELAB C3Z-L15/9830" u="1"/>
        <s v="LITELAB C3P-L15/9830" u="1"/>
        <s v="LITELAB C3W-L15/9830" u="1"/>
        <s v="LITELAB C30-L15/9830" u="1"/>
        <s v="LITELAB LBUS-39R2A2XXH" u="1"/>
        <s v="LUCIFER F3RS1A" u="1"/>
        <s v="LUCIFER F3RS1W" u="1"/>
        <s v="LUCIFER CP3X" u="1"/>
        <s v="HEW 75R-8-L130/830" u="1"/>
        <s v="HEW 80R-8-L170/930" u="1"/>
        <s v="Test1Model" u="1"/>
        <s v="Test2Model" u="1"/>
        <s v="Test3Model" u="1"/>
        <s v="Test4Model" u="1"/>
        <s v=";lk;l l;" u="1"/>
      </sharedItems>
    </cacheField>
    <cacheField name="CONTROL_TYPE" numFmtId="0">
      <sharedItems containsNonDate="0" containsString="0" containsBlank="1"/>
    </cacheField>
    <cacheField name="CONTROL_QUANTITY" numFmtId="3">
      <sharedItems containsNonDate="0" containsString="0" containsBlank="1"/>
    </cacheField>
    <cacheField name="CONTROL_PERCENT_WATTAGE_REDUCED" numFmtId="9">
      <sharedItems containsNonDate="0" containsString="0" containsBlank="1"/>
    </cacheField>
    <cacheField name="CONTROL_PERCENT_HOURS_REDUCED" numFmtId="9">
      <sharedItems/>
    </cacheField>
    <cacheField name="MEASURES_COMMENTS" numFmtId="0">
      <sharedItems containsNonDate="0" containsString="0" containsBlank="1"/>
    </cacheField>
    <cacheField name="GRAND_TOTAL_KWH_SITE_SAVINGS" numFmtId="3">
      <sharedItems/>
    </cacheField>
    <cacheField name="GRAND_TOTAL_KWH_SAVINGS_PERCENTAGE" numFmtId="0">
      <sharedItems/>
    </cacheField>
    <cacheField name="BLANK_1" numFmtId="165">
      <sharedItems containsNonDate="0" containsString="0" containsBlank="1"/>
    </cacheField>
    <cacheField name="FIXTURE_KWH_SITE_SAVINGS" numFmtId="3">
      <sharedItems/>
    </cacheField>
    <cacheField name="FIXTURE_KWH_SAVINGS_PERCENTAGE" numFmtId="9">
      <sharedItems/>
    </cacheField>
    <cacheField name="FIXTURE_UNCAPPED_INCENTIVE" numFmtId="165">
      <sharedItems/>
    </cacheField>
    <cacheField name="CONTROLS_KWH_SITE_SAVINGS" numFmtId="3">
      <sharedItems/>
    </cacheField>
    <cacheField name="CONTROLS_KWH_SAVINGS_PERCENTAGE" numFmtId="9">
      <sharedItems/>
    </cacheField>
    <cacheField name="CONTROLS_UNCAPPED_INCENTIVE" numFmtId="165">
      <sharedItems/>
    </cacheField>
    <cacheField name="ANNUAL_HOURS" numFmtId="3">
      <sharedItems/>
    </cacheField>
    <cacheField name="EXISTING_FIXTURE_WATTAGE" numFmtId="168">
      <sharedItems/>
    </cacheField>
    <cacheField name="EXISTING_FIXTURE_KWH_SITE_CONSUMPTION" numFmtId="3">
      <sharedItems/>
    </cacheField>
    <cacheField name="PROPOSED_FIXTURE_WATTAGE" numFmtId="168">
      <sharedItems/>
    </cacheField>
    <cacheField name="PROPOSED_FIXTURE_KWH_SITE_CONSUMPTION" numFmtId="3">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0">
  <r>
    <n v="1"/>
    <m/>
    <m/>
    <m/>
    <m/>
    <m/>
    <m/>
    <m/>
    <m/>
    <x v="0"/>
    <x v="0"/>
    <m/>
    <m/>
    <m/>
    <m/>
    <x v="0"/>
    <x v="0"/>
    <m/>
    <m/>
    <m/>
    <s v=""/>
    <m/>
    <s v=""/>
    <s v=""/>
    <m/>
    <s v=""/>
    <s v=""/>
    <s v=""/>
    <s v=""/>
    <s v=""/>
    <s v=""/>
    <s v=""/>
    <s v=""/>
    <s v=""/>
    <s v=""/>
    <s v=""/>
  </r>
  <r>
    <n v="2"/>
    <m/>
    <m/>
    <m/>
    <m/>
    <m/>
    <m/>
    <m/>
    <m/>
    <x v="0"/>
    <x v="0"/>
    <m/>
    <m/>
    <m/>
    <m/>
    <x v="0"/>
    <x v="0"/>
    <m/>
    <m/>
    <m/>
    <s v=""/>
    <m/>
    <s v=""/>
    <s v=""/>
    <m/>
    <s v=""/>
    <s v=""/>
    <s v=""/>
    <s v=""/>
    <s v=""/>
    <s v=""/>
    <s v=""/>
    <s v=""/>
    <s v=""/>
    <s v=""/>
    <s v=""/>
  </r>
  <r>
    <n v="3"/>
    <m/>
    <m/>
    <m/>
    <m/>
    <m/>
    <m/>
    <m/>
    <m/>
    <x v="0"/>
    <x v="0"/>
    <m/>
    <m/>
    <m/>
    <m/>
    <x v="0"/>
    <x v="0"/>
    <m/>
    <m/>
    <m/>
    <s v=""/>
    <m/>
    <s v=""/>
    <s v=""/>
    <m/>
    <s v=""/>
    <s v=""/>
    <s v=""/>
    <s v=""/>
    <s v=""/>
    <s v=""/>
    <s v=""/>
    <s v=""/>
    <s v=""/>
    <s v=""/>
    <s v=""/>
  </r>
  <r>
    <n v="4"/>
    <m/>
    <m/>
    <m/>
    <m/>
    <m/>
    <m/>
    <m/>
    <m/>
    <x v="0"/>
    <x v="0"/>
    <m/>
    <m/>
    <m/>
    <m/>
    <x v="0"/>
    <x v="0"/>
    <m/>
    <m/>
    <m/>
    <s v=""/>
    <m/>
    <s v=""/>
    <s v=""/>
    <m/>
    <s v=""/>
    <s v=""/>
    <s v=""/>
    <s v=""/>
    <s v=""/>
    <s v=""/>
    <s v=""/>
    <s v=""/>
    <s v=""/>
    <s v=""/>
    <s v=""/>
  </r>
  <r>
    <n v="5"/>
    <m/>
    <m/>
    <m/>
    <m/>
    <m/>
    <m/>
    <m/>
    <m/>
    <x v="0"/>
    <x v="0"/>
    <m/>
    <m/>
    <m/>
    <m/>
    <x v="0"/>
    <x v="0"/>
    <m/>
    <m/>
    <m/>
    <s v=""/>
    <m/>
    <s v=""/>
    <s v=""/>
    <m/>
    <s v=""/>
    <s v=""/>
    <s v=""/>
    <s v=""/>
    <s v=""/>
    <s v=""/>
    <s v=""/>
    <s v=""/>
    <s v=""/>
    <s v=""/>
    <s v=""/>
  </r>
  <r>
    <n v="6"/>
    <m/>
    <m/>
    <m/>
    <m/>
    <m/>
    <m/>
    <m/>
    <m/>
    <x v="0"/>
    <x v="0"/>
    <m/>
    <m/>
    <m/>
    <m/>
    <x v="0"/>
    <x v="0"/>
    <m/>
    <m/>
    <m/>
    <s v=""/>
    <m/>
    <s v=""/>
    <s v=""/>
    <m/>
    <s v=""/>
    <s v=""/>
    <s v=""/>
    <s v=""/>
    <s v=""/>
    <s v=""/>
    <s v=""/>
    <s v=""/>
    <s v=""/>
    <s v=""/>
    <s v=""/>
  </r>
  <r>
    <n v="7"/>
    <m/>
    <m/>
    <m/>
    <m/>
    <m/>
    <m/>
    <m/>
    <m/>
    <x v="0"/>
    <x v="0"/>
    <m/>
    <m/>
    <m/>
    <m/>
    <x v="0"/>
    <x v="0"/>
    <m/>
    <m/>
    <m/>
    <s v=""/>
    <m/>
    <s v=""/>
    <s v=""/>
    <m/>
    <s v=""/>
    <s v=""/>
    <s v=""/>
    <s v=""/>
    <s v=""/>
    <s v=""/>
    <s v=""/>
    <s v=""/>
    <s v=""/>
    <s v=""/>
    <s v=""/>
  </r>
  <r>
    <n v="8"/>
    <m/>
    <m/>
    <m/>
    <m/>
    <m/>
    <m/>
    <m/>
    <m/>
    <x v="0"/>
    <x v="0"/>
    <m/>
    <m/>
    <m/>
    <m/>
    <x v="0"/>
    <x v="0"/>
    <m/>
    <m/>
    <m/>
    <s v=""/>
    <m/>
    <s v=""/>
    <s v=""/>
    <m/>
    <s v=""/>
    <s v=""/>
    <s v=""/>
    <s v=""/>
    <s v=""/>
    <s v=""/>
    <s v=""/>
    <s v=""/>
    <s v=""/>
    <s v=""/>
    <s v=""/>
  </r>
  <r>
    <n v="9"/>
    <m/>
    <m/>
    <m/>
    <m/>
    <m/>
    <m/>
    <m/>
    <m/>
    <x v="0"/>
    <x v="0"/>
    <m/>
    <m/>
    <m/>
    <m/>
    <x v="0"/>
    <x v="0"/>
    <m/>
    <m/>
    <m/>
    <s v=""/>
    <m/>
    <s v=""/>
    <s v=""/>
    <m/>
    <s v=""/>
    <s v=""/>
    <s v=""/>
    <s v=""/>
    <s v=""/>
    <s v=""/>
    <s v=""/>
    <s v=""/>
    <s v=""/>
    <s v=""/>
    <s v=""/>
  </r>
  <r>
    <n v="10"/>
    <m/>
    <m/>
    <m/>
    <m/>
    <m/>
    <m/>
    <m/>
    <m/>
    <x v="0"/>
    <x v="0"/>
    <m/>
    <m/>
    <m/>
    <m/>
    <x v="0"/>
    <x v="0"/>
    <m/>
    <m/>
    <m/>
    <s v=""/>
    <m/>
    <s v=""/>
    <s v=""/>
    <m/>
    <s v=""/>
    <s v=""/>
    <s v=""/>
    <s v=""/>
    <s v=""/>
    <s v=""/>
    <s v=""/>
    <s v=""/>
    <s v=""/>
    <s v=""/>
    <s v=""/>
  </r>
  <r>
    <n v="11"/>
    <m/>
    <m/>
    <m/>
    <m/>
    <m/>
    <m/>
    <m/>
    <m/>
    <x v="0"/>
    <x v="0"/>
    <m/>
    <m/>
    <m/>
    <m/>
    <x v="0"/>
    <x v="0"/>
    <m/>
    <m/>
    <m/>
    <s v=""/>
    <m/>
    <s v=""/>
    <s v=""/>
    <m/>
    <s v=""/>
    <s v=""/>
    <s v=""/>
    <s v=""/>
    <s v=""/>
    <s v=""/>
    <s v=""/>
    <s v=""/>
    <s v=""/>
    <s v=""/>
    <s v=""/>
  </r>
  <r>
    <n v="12"/>
    <m/>
    <m/>
    <m/>
    <m/>
    <m/>
    <m/>
    <m/>
    <m/>
    <x v="0"/>
    <x v="0"/>
    <m/>
    <m/>
    <m/>
    <m/>
    <x v="0"/>
    <x v="0"/>
    <m/>
    <m/>
    <m/>
    <s v=""/>
    <m/>
    <s v=""/>
    <s v=""/>
    <m/>
    <s v=""/>
    <s v=""/>
    <s v=""/>
    <s v=""/>
    <s v=""/>
    <s v=""/>
    <s v=""/>
    <s v=""/>
    <s v=""/>
    <s v=""/>
    <s v=""/>
  </r>
  <r>
    <n v="13"/>
    <m/>
    <m/>
    <m/>
    <m/>
    <m/>
    <m/>
    <m/>
    <m/>
    <x v="0"/>
    <x v="0"/>
    <m/>
    <m/>
    <m/>
    <m/>
    <x v="0"/>
    <x v="0"/>
    <m/>
    <m/>
    <m/>
    <s v=""/>
    <m/>
    <s v=""/>
    <s v=""/>
    <m/>
    <s v=""/>
    <s v=""/>
    <s v=""/>
    <s v=""/>
    <s v=""/>
    <s v=""/>
    <s v=""/>
    <s v=""/>
    <s v=""/>
    <s v=""/>
    <s v=""/>
  </r>
  <r>
    <n v="14"/>
    <m/>
    <m/>
    <m/>
    <m/>
    <m/>
    <m/>
    <m/>
    <m/>
    <x v="0"/>
    <x v="0"/>
    <m/>
    <m/>
    <m/>
    <m/>
    <x v="0"/>
    <x v="0"/>
    <m/>
    <m/>
    <m/>
    <s v=""/>
    <m/>
    <s v=""/>
    <s v=""/>
    <m/>
    <s v=""/>
    <s v=""/>
    <s v=""/>
    <s v=""/>
    <s v=""/>
    <s v=""/>
    <s v=""/>
    <s v=""/>
    <s v=""/>
    <s v=""/>
    <s v=""/>
  </r>
  <r>
    <n v="15"/>
    <m/>
    <m/>
    <m/>
    <m/>
    <m/>
    <m/>
    <m/>
    <m/>
    <x v="0"/>
    <x v="0"/>
    <m/>
    <m/>
    <m/>
    <m/>
    <x v="0"/>
    <x v="0"/>
    <m/>
    <m/>
    <m/>
    <s v=""/>
    <m/>
    <s v=""/>
    <s v=""/>
    <m/>
    <s v=""/>
    <s v=""/>
    <s v=""/>
    <s v=""/>
    <s v=""/>
    <s v=""/>
    <s v=""/>
    <s v=""/>
    <s v=""/>
    <s v=""/>
    <s v=""/>
  </r>
  <r>
    <n v="16"/>
    <m/>
    <m/>
    <m/>
    <m/>
    <m/>
    <m/>
    <m/>
    <m/>
    <x v="0"/>
    <x v="0"/>
    <m/>
    <m/>
    <m/>
    <m/>
    <x v="0"/>
    <x v="0"/>
    <m/>
    <m/>
    <m/>
    <s v=""/>
    <m/>
    <s v=""/>
    <s v=""/>
    <m/>
    <s v=""/>
    <s v=""/>
    <s v=""/>
    <s v=""/>
    <s v=""/>
    <s v=""/>
    <s v=""/>
    <s v=""/>
    <s v=""/>
    <s v=""/>
    <s v=""/>
  </r>
  <r>
    <n v="17"/>
    <m/>
    <m/>
    <m/>
    <m/>
    <m/>
    <m/>
    <m/>
    <m/>
    <x v="0"/>
    <x v="0"/>
    <m/>
    <m/>
    <m/>
    <m/>
    <x v="0"/>
    <x v="0"/>
    <m/>
    <m/>
    <m/>
    <s v=""/>
    <m/>
    <s v=""/>
    <s v=""/>
    <m/>
    <s v=""/>
    <s v=""/>
    <s v=""/>
    <s v=""/>
    <s v=""/>
    <s v=""/>
    <s v=""/>
    <s v=""/>
    <s v=""/>
    <s v=""/>
    <s v=""/>
  </r>
  <r>
    <n v="18"/>
    <m/>
    <m/>
    <m/>
    <m/>
    <m/>
    <m/>
    <m/>
    <m/>
    <x v="0"/>
    <x v="0"/>
    <m/>
    <m/>
    <m/>
    <m/>
    <x v="0"/>
    <x v="0"/>
    <m/>
    <m/>
    <m/>
    <s v=""/>
    <m/>
    <s v=""/>
    <s v=""/>
    <m/>
    <s v=""/>
    <s v=""/>
    <s v=""/>
    <s v=""/>
    <s v=""/>
    <s v=""/>
    <s v=""/>
    <s v=""/>
    <s v=""/>
    <s v=""/>
    <s v=""/>
  </r>
  <r>
    <n v="19"/>
    <m/>
    <m/>
    <m/>
    <m/>
    <m/>
    <m/>
    <m/>
    <m/>
    <x v="0"/>
    <x v="0"/>
    <m/>
    <m/>
    <m/>
    <m/>
    <x v="0"/>
    <x v="0"/>
    <m/>
    <m/>
    <m/>
    <s v=""/>
    <m/>
    <s v=""/>
    <s v=""/>
    <m/>
    <s v=""/>
    <s v=""/>
    <s v=""/>
    <s v=""/>
    <s v=""/>
    <s v=""/>
    <s v=""/>
    <s v=""/>
    <s v=""/>
    <s v=""/>
    <s v=""/>
  </r>
  <r>
    <n v="20"/>
    <m/>
    <m/>
    <m/>
    <m/>
    <m/>
    <m/>
    <m/>
    <m/>
    <x v="0"/>
    <x v="0"/>
    <m/>
    <m/>
    <m/>
    <m/>
    <x v="0"/>
    <x v="0"/>
    <m/>
    <m/>
    <m/>
    <s v=""/>
    <m/>
    <s v=""/>
    <s v=""/>
    <m/>
    <s v=""/>
    <s v=""/>
    <s v=""/>
    <s v=""/>
    <s v=""/>
    <s v=""/>
    <s v=""/>
    <s v=""/>
    <s v=""/>
    <s v=""/>
    <s v=""/>
  </r>
  <r>
    <n v="21"/>
    <m/>
    <m/>
    <m/>
    <m/>
    <m/>
    <m/>
    <m/>
    <m/>
    <x v="0"/>
    <x v="0"/>
    <m/>
    <m/>
    <m/>
    <m/>
    <x v="0"/>
    <x v="0"/>
    <m/>
    <m/>
    <m/>
    <s v=""/>
    <m/>
    <s v=""/>
    <s v=""/>
    <m/>
    <s v=""/>
    <s v=""/>
    <s v=""/>
    <s v=""/>
    <s v=""/>
    <s v=""/>
    <s v=""/>
    <s v=""/>
    <s v=""/>
    <s v=""/>
    <s v=""/>
  </r>
  <r>
    <n v="22"/>
    <m/>
    <m/>
    <m/>
    <m/>
    <m/>
    <m/>
    <m/>
    <m/>
    <x v="0"/>
    <x v="0"/>
    <m/>
    <m/>
    <m/>
    <m/>
    <x v="0"/>
    <x v="0"/>
    <m/>
    <m/>
    <m/>
    <s v=""/>
    <m/>
    <s v=""/>
    <s v=""/>
    <m/>
    <s v=""/>
    <s v=""/>
    <s v=""/>
    <s v=""/>
    <s v=""/>
    <s v=""/>
    <s v=""/>
    <s v=""/>
    <s v=""/>
    <s v=""/>
    <s v=""/>
  </r>
  <r>
    <n v="23"/>
    <m/>
    <m/>
    <m/>
    <m/>
    <m/>
    <m/>
    <m/>
    <m/>
    <x v="0"/>
    <x v="0"/>
    <m/>
    <m/>
    <m/>
    <m/>
    <x v="0"/>
    <x v="0"/>
    <m/>
    <m/>
    <m/>
    <s v=""/>
    <m/>
    <s v=""/>
    <s v=""/>
    <m/>
    <s v=""/>
    <s v=""/>
    <s v=""/>
    <s v=""/>
    <s v=""/>
    <s v=""/>
    <s v=""/>
    <s v=""/>
    <s v=""/>
    <s v=""/>
    <s v=""/>
  </r>
  <r>
    <n v="24"/>
    <m/>
    <m/>
    <m/>
    <m/>
    <m/>
    <m/>
    <m/>
    <m/>
    <x v="0"/>
    <x v="0"/>
    <m/>
    <m/>
    <m/>
    <m/>
    <x v="0"/>
    <x v="0"/>
    <m/>
    <m/>
    <m/>
    <s v=""/>
    <m/>
    <s v=""/>
    <s v=""/>
    <m/>
    <s v=""/>
    <s v=""/>
    <s v=""/>
    <s v=""/>
    <s v=""/>
    <s v=""/>
    <s v=""/>
    <s v=""/>
    <s v=""/>
    <s v=""/>
    <s v=""/>
  </r>
  <r>
    <n v="25"/>
    <m/>
    <m/>
    <m/>
    <m/>
    <m/>
    <m/>
    <m/>
    <m/>
    <x v="0"/>
    <x v="0"/>
    <m/>
    <m/>
    <m/>
    <m/>
    <x v="0"/>
    <x v="0"/>
    <m/>
    <m/>
    <m/>
    <s v=""/>
    <m/>
    <s v=""/>
    <s v=""/>
    <m/>
    <s v=""/>
    <s v=""/>
    <s v=""/>
    <s v=""/>
    <s v=""/>
    <s v=""/>
    <s v=""/>
    <s v=""/>
    <s v=""/>
    <s v=""/>
    <s v=""/>
  </r>
  <r>
    <n v="26"/>
    <m/>
    <m/>
    <m/>
    <m/>
    <m/>
    <m/>
    <m/>
    <m/>
    <x v="0"/>
    <x v="0"/>
    <m/>
    <m/>
    <m/>
    <m/>
    <x v="0"/>
    <x v="0"/>
    <m/>
    <m/>
    <m/>
    <s v=""/>
    <m/>
    <s v=""/>
    <s v=""/>
    <m/>
    <s v=""/>
    <s v=""/>
    <s v=""/>
    <s v=""/>
    <s v=""/>
    <s v=""/>
    <s v=""/>
    <s v=""/>
    <s v=""/>
    <s v=""/>
    <s v=""/>
  </r>
  <r>
    <n v="27"/>
    <m/>
    <m/>
    <m/>
    <m/>
    <m/>
    <m/>
    <m/>
    <m/>
    <x v="0"/>
    <x v="0"/>
    <m/>
    <m/>
    <m/>
    <m/>
    <x v="0"/>
    <x v="0"/>
    <m/>
    <m/>
    <m/>
    <s v=""/>
    <m/>
    <s v=""/>
    <s v=""/>
    <m/>
    <s v=""/>
    <s v=""/>
    <s v=""/>
    <s v=""/>
    <s v=""/>
    <s v=""/>
    <s v=""/>
    <s v=""/>
    <s v=""/>
    <s v=""/>
    <s v=""/>
  </r>
  <r>
    <n v="28"/>
    <m/>
    <m/>
    <m/>
    <m/>
    <m/>
    <m/>
    <m/>
    <m/>
    <x v="0"/>
    <x v="0"/>
    <m/>
    <m/>
    <m/>
    <m/>
    <x v="0"/>
    <x v="0"/>
    <m/>
    <m/>
    <m/>
    <s v=""/>
    <m/>
    <s v=""/>
    <s v=""/>
    <m/>
    <s v=""/>
    <s v=""/>
    <s v=""/>
    <s v=""/>
    <s v=""/>
    <s v=""/>
    <s v=""/>
    <s v=""/>
    <s v=""/>
    <s v=""/>
    <s v=""/>
  </r>
  <r>
    <n v="29"/>
    <m/>
    <m/>
    <m/>
    <m/>
    <m/>
    <m/>
    <m/>
    <m/>
    <x v="0"/>
    <x v="0"/>
    <m/>
    <m/>
    <m/>
    <m/>
    <x v="0"/>
    <x v="0"/>
    <m/>
    <m/>
    <m/>
    <s v=""/>
    <m/>
    <s v=""/>
    <s v=""/>
    <m/>
    <s v=""/>
    <s v=""/>
    <s v=""/>
    <s v=""/>
    <s v=""/>
    <s v=""/>
    <s v=""/>
    <s v=""/>
    <s v=""/>
    <s v=""/>
    <s v=""/>
  </r>
  <r>
    <n v="30"/>
    <m/>
    <m/>
    <m/>
    <m/>
    <m/>
    <m/>
    <m/>
    <m/>
    <x v="0"/>
    <x v="0"/>
    <m/>
    <m/>
    <m/>
    <m/>
    <x v="0"/>
    <x v="0"/>
    <m/>
    <m/>
    <m/>
    <s v=""/>
    <m/>
    <s v=""/>
    <s v=""/>
    <m/>
    <s v=""/>
    <s v=""/>
    <s v=""/>
    <s v=""/>
    <s v=""/>
    <s v=""/>
    <s v=""/>
    <s v=""/>
    <s v=""/>
    <s v=""/>
    <s v=""/>
  </r>
  <r>
    <n v="31"/>
    <m/>
    <m/>
    <m/>
    <m/>
    <m/>
    <m/>
    <m/>
    <m/>
    <x v="0"/>
    <x v="0"/>
    <m/>
    <m/>
    <m/>
    <m/>
    <x v="0"/>
    <x v="0"/>
    <m/>
    <m/>
    <m/>
    <s v=""/>
    <m/>
    <s v=""/>
    <s v=""/>
    <m/>
    <s v=""/>
    <s v=""/>
    <s v=""/>
    <s v=""/>
    <s v=""/>
    <s v=""/>
    <s v=""/>
    <s v=""/>
    <s v=""/>
    <s v=""/>
    <s v=""/>
  </r>
  <r>
    <n v="32"/>
    <m/>
    <m/>
    <m/>
    <m/>
    <m/>
    <m/>
    <m/>
    <m/>
    <x v="0"/>
    <x v="0"/>
    <m/>
    <m/>
    <m/>
    <m/>
    <x v="0"/>
    <x v="0"/>
    <m/>
    <m/>
    <m/>
    <s v=""/>
    <m/>
    <s v=""/>
    <s v=""/>
    <m/>
    <s v=""/>
    <s v=""/>
    <s v=""/>
    <s v=""/>
    <s v=""/>
    <s v=""/>
    <s v=""/>
    <s v=""/>
    <s v=""/>
    <s v=""/>
    <s v=""/>
  </r>
  <r>
    <n v="33"/>
    <m/>
    <m/>
    <m/>
    <m/>
    <m/>
    <m/>
    <m/>
    <m/>
    <x v="0"/>
    <x v="0"/>
    <m/>
    <m/>
    <m/>
    <m/>
    <x v="0"/>
    <x v="0"/>
    <m/>
    <m/>
    <m/>
    <s v=""/>
    <m/>
    <s v=""/>
    <s v=""/>
    <m/>
    <s v=""/>
    <s v=""/>
    <s v=""/>
    <s v=""/>
    <s v=""/>
    <s v=""/>
    <s v=""/>
    <s v=""/>
    <s v=""/>
    <s v=""/>
    <s v=""/>
  </r>
  <r>
    <n v="34"/>
    <m/>
    <m/>
    <m/>
    <m/>
    <m/>
    <m/>
    <m/>
    <m/>
    <x v="0"/>
    <x v="0"/>
    <m/>
    <m/>
    <m/>
    <m/>
    <x v="0"/>
    <x v="0"/>
    <m/>
    <m/>
    <m/>
    <s v=""/>
    <m/>
    <s v=""/>
    <s v=""/>
    <m/>
    <s v=""/>
    <s v=""/>
    <s v=""/>
    <s v=""/>
    <s v=""/>
    <s v=""/>
    <s v=""/>
    <s v=""/>
    <s v=""/>
    <s v=""/>
    <s v=""/>
  </r>
  <r>
    <n v="35"/>
    <m/>
    <m/>
    <m/>
    <m/>
    <m/>
    <m/>
    <m/>
    <m/>
    <x v="0"/>
    <x v="0"/>
    <m/>
    <m/>
    <m/>
    <m/>
    <x v="0"/>
    <x v="0"/>
    <m/>
    <m/>
    <m/>
    <s v=""/>
    <m/>
    <s v=""/>
    <s v=""/>
    <m/>
    <s v=""/>
    <s v=""/>
    <s v=""/>
    <s v=""/>
    <s v=""/>
    <s v=""/>
    <s v=""/>
    <s v=""/>
    <s v=""/>
    <s v=""/>
    <s v=""/>
  </r>
  <r>
    <n v="36"/>
    <m/>
    <m/>
    <m/>
    <m/>
    <m/>
    <m/>
    <m/>
    <m/>
    <x v="0"/>
    <x v="0"/>
    <m/>
    <m/>
    <m/>
    <m/>
    <x v="0"/>
    <x v="0"/>
    <m/>
    <m/>
    <m/>
    <s v=""/>
    <m/>
    <s v=""/>
    <s v=""/>
    <m/>
    <s v=""/>
    <s v=""/>
    <s v=""/>
    <s v=""/>
    <s v=""/>
    <s v=""/>
    <s v=""/>
    <s v=""/>
    <s v=""/>
    <s v=""/>
    <s v=""/>
  </r>
  <r>
    <n v="37"/>
    <m/>
    <m/>
    <m/>
    <m/>
    <m/>
    <m/>
    <m/>
    <m/>
    <x v="0"/>
    <x v="0"/>
    <m/>
    <m/>
    <m/>
    <m/>
    <x v="0"/>
    <x v="0"/>
    <m/>
    <m/>
    <m/>
    <s v=""/>
    <m/>
    <s v=""/>
    <s v=""/>
    <m/>
    <s v=""/>
    <s v=""/>
    <s v=""/>
    <s v=""/>
    <s v=""/>
    <s v=""/>
    <s v=""/>
    <s v=""/>
    <s v=""/>
    <s v=""/>
    <s v=""/>
  </r>
  <r>
    <n v="38"/>
    <m/>
    <m/>
    <m/>
    <m/>
    <m/>
    <m/>
    <m/>
    <m/>
    <x v="0"/>
    <x v="0"/>
    <m/>
    <m/>
    <m/>
    <m/>
    <x v="0"/>
    <x v="0"/>
    <m/>
    <m/>
    <m/>
    <s v=""/>
    <m/>
    <s v=""/>
    <s v=""/>
    <m/>
    <s v=""/>
    <s v=""/>
    <s v=""/>
    <s v=""/>
    <s v=""/>
    <s v=""/>
    <s v=""/>
    <s v=""/>
    <s v=""/>
    <s v=""/>
    <s v=""/>
  </r>
  <r>
    <n v="39"/>
    <m/>
    <m/>
    <m/>
    <m/>
    <m/>
    <m/>
    <m/>
    <m/>
    <x v="0"/>
    <x v="0"/>
    <m/>
    <m/>
    <m/>
    <m/>
    <x v="0"/>
    <x v="0"/>
    <m/>
    <m/>
    <m/>
    <s v=""/>
    <m/>
    <s v=""/>
    <s v=""/>
    <m/>
    <s v=""/>
    <s v=""/>
    <s v=""/>
    <s v=""/>
    <s v=""/>
    <s v=""/>
    <s v=""/>
    <s v=""/>
    <s v=""/>
    <s v=""/>
    <s v=""/>
  </r>
  <r>
    <n v="40"/>
    <m/>
    <m/>
    <m/>
    <m/>
    <m/>
    <m/>
    <m/>
    <m/>
    <x v="0"/>
    <x v="0"/>
    <m/>
    <m/>
    <m/>
    <m/>
    <x v="0"/>
    <x v="0"/>
    <m/>
    <m/>
    <m/>
    <s v=""/>
    <m/>
    <s v=""/>
    <s v=""/>
    <m/>
    <s v=""/>
    <s v=""/>
    <s v=""/>
    <s v=""/>
    <s v=""/>
    <s v=""/>
    <s v=""/>
    <s v=""/>
    <s v=""/>
    <s v=""/>
    <s v=""/>
  </r>
  <r>
    <n v="41"/>
    <m/>
    <m/>
    <m/>
    <m/>
    <m/>
    <m/>
    <m/>
    <m/>
    <x v="0"/>
    <x v="0"/>
    <m/>
    <m/>
    <m/>
    <m/>
    <x v="0"/>
    <x v="0"/>
    <m/>
    <m/>
    <m/>
    <s v=""/>
    <m/>
    <s v=""/>
    <s v=""/>
    <m/>
    <s v=""/>
    <s v=""/>
    <s v=""/>
    <s v=""/>
    <s v=""/>
    <s v=""/>
    <s v=""/>
    <s v=""/>
    <s v=""/>
    <s v=""/>
    <s v=""/>
  </r>
  <r>
    <n v="42"/>
    <m/>
    <m/>
    <m/>
    <m/>
    <m/>
    <m/>
    <m/>
    <m/>
    <x v="0"/>
    <x v="0"/>
    <m/>
    <m/>
    <m/>
    <m/>
    <x v="0"/>
    <x v="0"/>
    <m/>
    <m/>
    <m/>
    <s v=""/>
    <m/>
    <s v=""/>
    <s v=""/>
    <m/>
    <s v=""/>
    <s v=""/>
    <s v=""/>
    <s v=""/>
    <s v=""/>
    <s v=""/>
    <s v=""/>
    <s v=""/>
    <s v=""/>
    <s v=""/>
    <s v=""/>
  </r>
  <r>
    <n v="43"/>
    <m/>
    <m/>
    <m/>
    <m/>
    <m/>
    <m/>
    <m/>
    <m/>
    <x v="0"/>
    <x v="0"/>
    <m/>
    <m/>
    <m/>
    <m/>
    <x v="0"/>
    <x v="0"/>
    <m/>
    <m/>
    <m/>
    <s v=""/>
    <m/>
    <s v=""/>
    <s v=""/>
    <m/>
    <s v=""/>
    <s v=""/>
    <s v=""/>
    <s v=""/>
    <s v=""/>
    <s v=""/>
    <s v=""/>
    <s v=""/>
    <s v=""/>
    <s v=""/>
    <s v=""/>
  </r>
  <r>
    <n v="44"/>
    <m/>
    <m/>
    <m/>
    <m/>
    <m/>
    <m/>
    <m/>
    <m/>
    <x v="0"/>
    <x v="0"/>
    <m/>
    <m/>
    <m/>
    <m/>
    <x v="0"/>
    <x v="0"/>
    <m/>
    <m/>
    <m/>
    <s v=""/>
    <m/>
    <s v=""/>
    <s v=""/>
    <m/>
    <s v=""/>
    <s v=""/>
    <s v=""/>
    <s v=""/>
    <s v=""/>
    <s v=""/>
    <s v=""/>
    <s v=""/>
    <s v=""/>
    <s v=""/>
    <s v=""/>
  </r>
  <r>
    <n v="45"/>
    <m/>
    <m/>
    <m/>
    <m/>
    <m/>
    <m/>
    <m/>
    <m/>
    <x v="0"/>
    <x v="0"/>
    <m/>
    <m/>
    <m/>
    <m/>
    <x v="0"/>
    <x v="0"/>
    <m/>
    <m/>
    <m/>
    <s v=""/>
    <m/>
    <s v=""/>
    <s v=""/>
    <m/>
    <s v=""/>
    <s v=""/>
    <s v=""/>
    <s v=""/>
    <s v=""/>
    <s v=""/>
    <s v=""/>
    <s v=""/>
    <s v=""/>
    <s v=""/>
    <s v=""/>
  </r>
  <r>
    <n v="46"/>
    <m/>
    <m/>
    <m/>
    <m/>
    <m/>
    <m/>
    <m/>
    <m/>
    <x v="0"/>
    <x v="0"/>
    <m/>
    <m/>
    <m/>
    <m/>
    <x v="0"/>
    <x v="0"/>
    <m/>
    <m/>
    <m/>
    <s v=""/>
    <m/>
    <s v=""/>
    <s v=""/>
    <m/>
    <s v=""/>
    <s v=""/>
    <s v=""/>
    <s v=""/>
    <s v=""/>
    <s v=""/>
    <s v=""/>
    <s v=""/>
    <s v=""/>
    <s v=""/>
    <s v=""/>
  </r>
  <r>
    <n v="47"/>
    <m/>
    <m/>
    <m/>
    <m/>
    <m/>
    <m/>
    <m/>
    <m/>
    <x v="0"/>
    <x v="0"/>
    <m/>
    <m/>
    <m/>
    <m/>
    <x v="0"/>
    <x v="0"/>
    <m/>
    <m/>
    <m/>
    <s v=""/>
    <m/>
    <s v=""/>
    <s v=""/>
    <m/>
    <s v=""/>
    <s v=""/>
    <s v=""/>
    <s v=""/>
    <s v=""/>
    <s v=""/>
    <s v=""/>
    <s v=""/>
    <s v=""/>
    <s v=""/>
    <s v=""/>
  </r>
  <r>
    <n v="48"/>
    <m/>
    <m/>
    <m/>
    <m/>
    <m/>
    <m/>
    <m/>
    <m/>
    <x v="0"/>
    <x v="0"/>
    <m/>
    <m/>
    <m/>
    <m/>
    <x v="0"/>
    <x v="0"/>
    <m/>
    <m/>
    <m/>
    <s v=""/>
    <m/>
    <s v=""/>
    <s v=""/>
    <m/>
    <s v=""/>
    <s v=""/>
    <s v=""/>
    <s v=""/>
    <s v=""/>
    <s v=""/>
    <s v=""/>
    <s v=""/>
    <s v=""/>
    <s v=""/>
    <s v=""/>
  </r>
  <r>
    <n v="49"/>
    <m/>
    <m/>
    <m/>
    <m/>
    <m/>
    <m/>
    <m/>
    <m/>
    <x v="0"/>
    <x v="0"/>
    <m/>
    <m/>
    <m/>
    <m/>
    <x v="0"/>
    <x v="0"/>
    <m/>
    <m/>
    <m/>
    <s v=""/>
    <m/>
    <s v=""/>
    <s v=""/>
    <m/>
    <s v=""/>
    <s v=""/>
    <s v=""/>
    <s v=""/>
    <s v=""/>
    <s v=""/>
    <s v=""/>
    <s v=""/>
    <s v=""/>
    <s v=""/>
    <s v=""/>
  </r>
  <r>
    <n v="50"/>
    <m/>
    <m/>
    <m/>
    <m/>
    <m/>
    <m/>
    <m/>
    <m/>
    <x v="0"/>
    <x v="0"/>
    <m/>
    <m/>
    <m/>
    <m/>
    <x v="0"/>
    <x v="0"/>
    <m/>
    <m/>
    <m/>
    <s v=""/>
    <m/>
    <s v=""/>
    <s v=""/>
    <m/>
    <s v=""/>
    <s v=""/>
    <s v=""/>
    <s v=""/>
    <s v=""/>
    <s v=""/>
    <s v=""/>
    <s v=""/>
    <s v=""/>
    <s v=""/>
    <s v=""/>
  </r>
  <r>
    <n v="51"/>
    <m/>
    <m/>
    <m/>
    <m/>
    <m/>
    <m/>
    <m/>
    <m/>
    <x v="0"/>
    <x v="0"/>
    <m/>
    <m/>
    <m/>
    <m/>
    <x v="0"/>
    <x v="0"/>
    <m/>
    <m/>
    <m/>
    <s v=""/>
    <m/>
    <s v=""/>
    <s v=""/>
    <m/>
    <s v=""/>
    <s v=""/>
    <s v=""/>
    <s v=""/>
    <s v=""/>
    <s v=""/>
    <s v=""/>
    <s v=""/>
    <s v=""/>
    <s v=""/>
    <s v=""/>
  </r>
  <r>
    <n v="52"/>
    <m/>
    <m/>
    <m/>
    <m/>
    <m/>
    <m/>
    <m/>
    <m/>
    <x v="0"/>
    <x v="0"/>
    <m/>
    <m/>
    <m/>
    <m/>
    <x v="0"/>
    <x v="0"/>
    <m/>
    <m/>
    <m/>
    <s v=""/>
    <m/>
    <s v=""/>
    <s v=""/>
    <m/>
    <s v=""/>
    <s v=""/>
    <s v=""/>
    <s v=""/>
    <s v=""/>
    <s v=""/>
    <s v=""/>
    <s v=""/>
    <s v=""/>
    <s v=""/>
    <s v=""/>
  </r>
  <r>
    <n v="53"/>
    <m/>
    <m/>
    <m/>
    <m/>
    <m/>
    <m/>
    <m/>
    <m/>
    <x v="0"/>
    <x v="0"/>
    <m/>
    <m/>
    <m/>
    <m/>
    <x v="0"/>
    <x v="0"/>
    <m/>
    <m/>
    <m/>
    <s v=""/>
    <m/>
    <s v=""/>
    <s v=""/>
    <m/>
    <s v=""/>
    <s v=""/>
    <s v=""/>
    <s v=""/>
    <s v=""/>
    <s v=""/>
    <s v=""/>
    <s v=""/>
    <s v=""/>
    <s v=""/>
    <s v=""/>
  </r>
  <r>
    <n v="54"/>
    <m/>
    <m/>
    <m/>
    <m/>
    <m/>
    <m/>
    <m/>
    <m/>
    <x v="0"/>
    <x v="0"/>
    <m/>
    <m/>
    <m/>
    <m/>
    <x v="0"/>
    <x v="0"/>
    <m/>
    <m/>
    <m/>
    <s v=""/>
    <m/>
    <s v=""/>
    <s v=""/>
    <m/>
    <s v=""/>
    <s v=""/>
    <s v=""/>
    <s v=""/>
    <s v=""/>
    <s v=""/>
    <s v=""/>
    <s v=""/>
    <s v=""/>
    <s v=""/>
    <s v=""/>
  </r>
  <r>
    <n v="55"/>
    <m/>
    <m/>
    <m/>
    <m/>
    <m/>
    <m/>
    <m/>
    <m/>
    <x v="0"/>
    <x v="0"/>
    <m/>
    <m/>
    <m/>
    <m/>
    <x v="0"/>
    <x v="0"/>
    <m/>
    <m/>
    <m/>
    <s v=""/>
    <m/>
    <s v=""/>
    <s v=""/>
    <m/>
    <s v=""/>
    <s v=""/>
    <s v=""/>
    <s v=""/>
    <s v=""/>
    <s v=""/>
    <s v=""/>
    <s v=""/>
    <s v=""/>
    <s v=""/>
    <s v=""/>
  </r>
  <r>
    <n v="56"/>
    <m/>
    <m/>
    <m/>
    <m/>
    <m/>
    <m/>
    <m/>
    <m/>
    <x v="0"/>
    <x v="0"/>
    <m/>
    <m/>
    <m/>
    <m/>
    <x v="0"/>
    <x v="0"/>
    <m/>
    <m/>
    <m/>
    <s v=""/>
    <m/>
    <s v=""/>
    <s v=""/>
    <m/>
    <s v=""/>
    <s v=""/>
    <s v=""/>
    <s v=""/>
    <s v=""/>
    <s v=""/>
    <s v=""/>
    <s v=""/>
    <s v=""/>
    <s v=""/>
    <s v=""/>
  </r>
  <r>
    <n v="57"/>
    <m/>
    <m/>
    <m/>
    <m/>
    <m/>
    <m/>
    <m/>
    <m/>
    <x v="0"/>
    <x v="0"/>
    <m/>
    <m/>
    <m/>
    <m/>
    <x v="0"/>
    <x v="0"/>
    <m/>
    <m/>
    <m/>
    <s v=""/>
    <m/>
    <s v=""/>
    <s v=""/>
    <m/>
    <s v=""/>
    <s v=""/>
    <s v=""/>
    <s v=""/>
    <s v=""/>
    <s v=""/>
    <s v=""/>
    <s v=""/>
    <s v=""/>
    <s v=""/>
    <s v=""/>
  </r>
  <r>
    <n v="58"/>
    <m/>
    <m/>
    <m/>
    <m/>
    <m/>
    <m/>
    <m/>
    <m/>
    <x v="0"/>
    <x v="0"/>
    <m/>
    <m/>
    <m/>
    <m/>
    <x v="0"/>
    <x v="0"/>
    <m/>
    <m/>
    <m/>
    <s v=""/>
    <m/>
    <s v=""/>
    <s v=""/>
    <m/>
    <s v=""/>
    <s v=""/>
    <s v=""/>
    <s v=""/>
    <s v=""/>
    <s v=""/>
    <s v=""/>
    <s v=""/>
    <s v=""/>
    <s v=""/>
    <s v=""/>
  </r>
  <r>
    <n v="59"/>
    <m/>
    <m/>
    <m/>
    <m/>
    <m/>
    <m/>
    <m/>
    <m/>
    <x v="0"/>
    <x v="0"/>
    <m/>
    <m/>
    <m/>
    <m/>
    <x v="0"/>
    <x v="0"/>
    <m/>
    <m/>
    <m/>
    <s v=""/>
    <m/>
    <s v=""/>
    <s v=""/>
    <m/>
    <s v=""/>
    <s v=""/>
    <s v=""/>
    <s v=""/>
    <s v=""/>
    <s v=""/>
    <s v=""/>
    <s v=""/>
    <s v=""/>
    <s v=""/>
    <s v=""/>
  </r>
  <r>
    <n v="60"/>
    <m/>
    <m/>
    <m/>
    <m/>
    <m/>
    <m/>
    <m/>
    <m/>
    <x v="0"/>
    <x v="0"/>
    <m/>
    <m/>
    <m/>
    <m/>
    <x v="0"/>
    <x v="0"/>
    <m/>
    <m/>
    <m/>
    <s v=""/>
    <m/>
    <s v=""/>
    <s v=""/>
    <m/>
    <s v=""/>
    <s v=""/>
    <s v=""/>
    <s v=""/>
    <s v=""/>
    <s v=""/>
    <s v=""/>
    <s v=""/>
    <s v=""/>
    <s v=""/>
    <s v=""/>
  </r>
  <r>
    <n v="61"/>
    <m/>
    <m/>
    <m/>
    <m/>
    <m/>
    <m/>
    <m/>
    <m/>
    <x v="0"/>
    <x v="0"/>
    <m/>
    <m/>
    <m/>
    <m/>
    <x v="0"/>
    <x v="0"/>
    <m/>
    <m/>
    <m/>
    <s v=""/>
    <m/>
    <s v=""/>
    <s v=""/>
    <m/>
    <s v=""/>
    <s v=""/>
    <s v=""/>
    <s v=""/>
    <s v=""/>
    <s v=""/>
    <s v=""/>
    <s v=""/>
    <s v=""/>
    <s v=""/>
    <s v=""/>
  </r>
  <r>
    <n v="62"/>
    <m/>
    <m/>
    <m/>
    <m/>
    <m/>
    <m/>
    <m/>
    <m/>
    <x v="0"/>
    <x v="0"/>
    <m/>
    <m/>
    <m/>
    <m/>
    <x v="0"/>
    <x v="0"/>
    <m/>
    <m/>
    <m/>
    <s v=""/>
    <m/>
    <s v=""/>
    <s v=""/>
    <m/>
    <s v=""/>
    <s v=""/>
    <s v=""/>
    <s v=""/>
    <s v=""/>
    <s v=""/>
    <s v=""/>
    <s v=""/>
    <s v=""/>
    <s v=""/>
    <s v=""/>
  </r>
  <r>
    <n v="63"/>
    <m/>
    <m/>
    <m/>
    <m/>
    <m/>
    <m/>
    <m/>
    <m/>
    <x v="0"/>
    <x v="0"/>
    <m/>
    <m/>
    <m/>
    <m/>
    <x v="0"/>
    <x v="0"/>
    <m/>
    <m/>
    <m/>
    <s v=""/>
    <m/>
    <s v=""/>
    <s v=""/>
    <m/>
    <s v=""/>
    <s v=""/>
    <s v=""/>
    <s v=""/>
    <s v=""/>
    <s v=""/>
    <s v=""/>
    <s v=""/>
    <s v=""/>
    <s v=""/>
    <s v=""/>
  </r>
  <r>
    <n v="64"/>
    <m/>
    <m/>
    <m/>
    <m/>
    <m/>
    <m/>
    <m/>
    <m/>
    <x v="0"/>
    <x v="0"/>
    <m/>
    <m/>
    <m/>
    <m/>
    <x v="0"/>
    <x v="0"/>
    <m/>
    <m/>
    <m/>
    <s v=""/>
    <m/>
    <s v=""/>
    <s v=""/>
    <m/>
    <s v=""/>
    <s v=""/>
    <s v=""/>
    <s v=""/>
    <s v=""/>
    <s v=""/>
    <s v=""/>
    <s v=""/>
    <s v=""/>
    <s v=""/>
    <s v=""/>
  </r>
  <r>
    <n v="65"/>
    <m/>
    <m/>
    <m/>
    <m/>
    <m/>
    <m/>
    <m/>
    <m/>
    <x v="0"/>
    <x v="0"/>
    <m/>
    <m/>
    <m/>
    <m/>
    <x v="0"/>
    <x v="0"/>
    <m/>
    <m/>
    <m/>
    <s v=""/>
    <m/>
    <s v=""/>
    <s v=""/>
    <m/>
    <s v=""/>
    <s v=""/>
    <s v=""/>
    <s v=""/>
    <s v=""/>
    <s v=""/>
    <s v=""/>
    <s v=""/>
    <s v=""/>
    <s v=""/>
    <s v=""/>
  </r>
  <r>
    <n v="66"/>
    <m/>
    <m/>
    <m/>
    <m/>
    <m/>
    <m/>
    <m/>
    <m/>
    <x v="0"/>
    <x v="0"/>
    <m/>
    <m/>
    <m/>
    <m/>
    <x v="0"/>
    <x v="0"/>
    <m/>
    <m/>
    <m/>
    <s v=""/>
    <m/>
    <s v=""/>
    <s v=""/>
    <m/>
    <s v=""/>
    <s v=""/>
    <s v=""/>
    <s v=""/>
    <s v=""/>
    <s v=""/>
    <s v=""/>
    <s v=""/>
    <s v=""/>
    <s v=""/>
    <s v=""/>
  </r>
  <r>
    <n v="67"/>
    <m/>
    <m/>
    <m/>
    <m/>
    <m/>
    <m/>
    <m/>
    <m/>
    <x v="0"/>
    <x v="0"/>
    <m/>
    <m/>
    <m/>
    <m/>
    <x v="0"/>
    <x v="0"/>
    <m/>
    <m/>
    <m/>
    <s v=""/>
    <m/>
    <s v=""/>
    <s v=""/>
    <m/>
    <s v=""/>
    <s v=""/>
    <s v=""/>
    <s v=""/>
    <s v=""/>
    <s v=""/>
    <s v=""/>
    <s v=""/>
    <s v=""/>
    <s v=""/>
    <s v=""/>
  </r>
  <r>
    <n v="68"/>
    <m/>
    <m/>
    <m/>
    <m/>
    <m/>
    <m/>
    <m/>
    <m/>
    <x v="0"/>
    <x v="0"/>
    <m/>
    <m/>
    <m/>
    <m/>
    <x v="0"/>
    <x v="0"/>
    <m/>
    <m/>
    <m/>
    <s v=""/>
    <m/>
    <s v=""/>
    <s v=""/>
    <m/>
    <s v=""/>
    <s v=""/>
    <s v=""/>
    <s v=""/>
    <s v=""/>
    <s v=""/>
    <s v=""/>
    <s v=""/>
    <s v=""/>
    <s v=""/>
    <s v=""/>
  </r>
  <r>
    <n v="69"/>
    <m/>
    <m/>
    <m/>
    <m/>
    <m/>
    <m/>
    <m/>
    <m/>
    <x v="0"/>
    <x v="0"/>
    <m/>
    <m/>
    <m/>
    <m/>
    <x v="0"/>
    <x v="0"/>
    <m/>
    <m/>
    <m/>
    <s v=""/>
    <m/>
    <s v=""/>
    <s v=""/>
    <m/>
    <s v=""/>
    <s v=""/>
    <s v=""/>
    <s v=""/>
    <s v=""/>
    <s v=""/>
    <s v=""/>
    <s v=""/>
    <s v=""/>
    <s v=""/>
    <s v=""/>
  </r>
  <r>
    <n v="70"/>
    <m/>
    <m/>
    <m/>
    <m/>
    <m/>
    <m/>
    <m/>
    <m/>
    <x v="0"/>
    <x v="0"/>
    <m/>
    <m/>
    <m/>
    <m/>
    <x v="0"/>
    <x v="0"/>
    <m/>
    <m/>
    <m/>
    <s v=""/>
    <m/>
    <s v=""/>
    <s v=""/>
    <m/>
    <s v=""/>
    <s v=""/>
    <s v=""/>
    <s v=""/>
    <s v=""/>
    <s v=""/>
    <s v=""/>
    <s v=""/>
    <s v=""/>
    <s v=""/>
    <s v=""/>
  </r>
  <r>
    <n v="71"/>
    <m/>
    <m/>
    <m/>
    <m/>
    <m/>
    <m/>
    <m/>
    <m/>
    <x v="0"/>
    <x v="0"/>
    <m/>
    <m/>
    <m/>
    <m/>
    <x v="0"/>
    <x v="0"/>
    <m/>
    <m/>
    <m/>
    <s v=""/>
    <m/>
    <s v=""/>
    <s v=""/>
    <m/>
    <s v=""/>
    <s v=""/>
    <s v=""/>
    <s v=""/>
    <s v=""/>
    <s v=""/>
    <s v=""/>
    <s v=""/>
    <s v=""/>
    <s v=""/>
    <s v=""/>
  </r>
  <r>
    <n v="72"/>
    <m/>
    <m/>
    <m/>
    <m/>
    <m/>
    <m/>
    <m/>
    <m/>
    <x v="0"/>
    <x v="0"/>
    <m/>
    <m/>
    <m/>
    <m/>
    <x v="0"/>
    <x v="0"/>
    <m/>
    <m/>
    <m/>
    <s v=""/>
    <m/>
    <s v=""/>
    <s v=""/>
    <m/>
    <s v=""/>
    <s v=""/>
    <s v=""/>
    <s v=""/>
    <s v=""/>
    <s v=""/>
    <s v=""/>
    <s v=""/>
    <s v=""/>
    <s v=""/>
    <s v=""/>
  </r>
  <r>
    <n v="73"/>
    <m/>
    <m/>
    <m/>
    <m/>
    <m/>
    <m/>
    <m/>
    <m/>
    <x v="0"/>
    <x v="0"/>
    <m/>
    <m/>
    <m/>
    <m/>
    <x v="0"/>
    <x v="0"/>
    <m/>
    <m/>
    <m/>
    <s v=""/>
    <m/>
    <s v=""/>
    <s v=""/>
    <m/>
    <s v=""/>
    <s v=""/>
    <s v=""/>
    <s v=""/>
    <s v=""/>
    <s v=""/>
    <s v=""/>
    <s v=""/>
    <s v=""/>
    <s v=""/>
    <s v=""/>
  </r>
  <r>
    <n v="74"/>
    <m/>
    <m/>
    <m/>
    <m/>
    <m/>
    <m/>
    <m/>
    <m/>
    <x v="0"/>
    <x v="0"/>
    <m/>
    <m/>
    <m/>
    <m/>
    <x v="0"/>
    <x v="0"/>
    <m/>
    <m/>
    <m/>
    <s v=""/>
    <m/>
    <s v=""/>
    <s v=""/>
    <m/>
    <s v=""/>
    <s v=""/>
    <s v=""/>
    <s v=""/>
    <s v=""/>
    <s v=""/>
    <s v=""/>
    <s v=""/>
    <s v=""/>
    <s v=""/>
    <s v=""/>
  </r>
  <r>
    <n v="75"/>
    <m/>
    <m/>
    <m/>
    <m/>
    <m/>
    <m/>
    <m/>
    <m/>
    <x v="0"/>
    <x v="0"/>
    <m/>
    <m/>
    <m/>
    <m/>
    <x v="0"/>
    <x v="0"/>
    <m/>
    <m/>
    <m/>
    <s v=""/>
    <m/>
    <s v=""/>
    <s v=""/>
    <m/>
    <s v=""/>
    <s v=""/>
    <s v=""/>
    <s v=""/>
    <s v=""/>
    <s v=""/>
    <s v=""/>
    <s v=""/>
    <s v=""/>
    <s v=""/>
    <s v=""/>
  </r>
  <r>
    <n v="76"/>
    <m/>
    <m/>
    <m/>
    <m/>
    <m/>
    <m/>
    <m/>
    <m/>
    <x v="0"/>
    <x v="0"/>
    <m/>
    <m/>
    <m/>
    <m/>
    <x v="0"/>
    <x v="0"/>
    <m/>
    <m/>
    <m/>
    <s v=""/>
    <m/>
    <s v=""/>
    <s v=""/>
    <m/>
    <s v=""/>
    <s v=""/>
    <s v=""/>
    <s v=""/>
    <s v=""/>
    <s v=""/>
    <s v=""/>
    <s v=""/>
    <s v=""/>
    <s v=""/>
    <s v=""/>
  </r>
  <r>
    <n v="77"/>
    <m/>
    <m/>
    <m/>
    <m/>
    <m/>
    <m/>
    <m/>
    <m/>
    <x v="0"/>
    <x v="0"/>
    <m/>
    <m/>
    <m/>
    <m/>
    <x v="0"/>
    <x v="0"/>
    <m/>
    <m/>
    <m/>
    <s v=""/>
    <m/>
    <s v=""/>
    <s v=""/>
    <m/>
    <s v=""/>
    <s v=""/>
    <s v=""/>
    <s v=""/>
    <s v=""/>
    <s v=""/>
    <s v=""/>
    <s v=""/>
    <s v=""/>
    <s v=""/>
    <s v=""/>
  </r>
  <r>
    <n v="78"/>
    <m/>
    <m/>
    <m/>
    <m/>
    <m/>
    <m/>
    <m/>
    <m/>
    <x v="0"/>
    <x v="0"/>
    <m/>
    <m/>
    <m/>
    <m/>
    <x v="0"/>
    <x v="0"/>
    <m/>
    <m/>
    <m/>
    <s v=""/>
    <m/>
    <s v=""/>
    <s v=""/>
    <m/>
    <s v=""/>
    <s v=""/>
    <s v=""/>
    <s v=""/>
    <s v=""/>
    <s v=""/>
    <s v=""/>
    <s v=""/>
    <s v=""/>
    <s v=""/>
    <s v=""/>
  </r>
  <r>
    <n v="79"/>
    <m/>
    <m/>
    <m/>
    <m/>
    <m/>
    <m/>
    <m/>
    <m/>
    <x v="0"/>
    <x v="0"/>
    <m/>
    <m/>
    <m/>
    <m/>
    <x v="0"/>
    <x v="0"/>
    <m/>
    <m/>
    <m/>
    <s v=""/>
    <m/>
    <s v=""/>
    <s v=""/>
    <m/>
    <s v=""/>
    <s v=""/>
    <s v=""/>
    <s v=""/>
    <s v=""/>
    <s v=""/>
    <s v=""/>
    <s v=""/>
    <s v=""/>
    <s v=""/>
    <s v=""/>
  </r>
  <r>
    <n v="80"/>
    <m/>
    <m/>
    <m/>
    <m/>
    <m/>
    <m/>
    <m/>
    <m/>
    <x v="0"/>
    <x v="0"/>
    <m/>
    <m/>
    <m/>
    <m/>
    <x v="0"/>
    <x v="0"/>
    <m/>
    <m/>
    <m/>
    <s v=""/>
    <m/>
    <s v=""/>
    <s v=""/>
    <m/>
    <s v=""/>
    <s v=""/>
    <s v=""/>
    <s v=""/>
    <s v=""/>
    <s v=""/>
    <s v=""/>
    <s v=""/>
    <s v=""/>
    <s v=""/>
    <s v=""/>
  </r>
  <r>
    <n v="81"/>
    <m/>
    <m/>
    <m/>
    <m/>
    <m/>
    <m/>
    <m/>
    <m/>
    <x v="0"/>
    <x v="0"/>
    <m/>
    <m/>
    <m/>
    <m/>
    <x v="0"/>
    <x v="0"/>
    <m/>
    <m/>
    <m/>
    <s v=""/>
    <m/>
    <s v=""/>
    <s v=""/>
    <m/>
    <s v=""/>
    <s v=""/>
    <s v=""/>
    <s v=""/>
    <s v=""/>
    <s v=""/>
    <s v=""/>
    <s v=""/>
    <s v=""/>
    <s v=""/>
    <s v=""/>
  </r>
  <r>
    <n v="82"/>
    <m/>
    <m/>
    <m/>
    <m/>
    <m/>
    <m/>
    <m/>
    <m/>
    <x v="0"/>
    <x v="0"/>
    <m/>
    <m/>
    <m/>
    <m/>
    <x v="0"/>
    <x v="0"/>
    <m/>
    <m/>
    <m/>
    <s v=""/>
    <m/>
    <s v=""/>
    <s v=""/>
    <m/>
    <s v=""/>
    <s v=""/>
    <s v=""/>
    <s v=""/>
    <s v=""/>
    <s v=""/>
    <s v=""/>
    <s v=""/>
    <s v=""/>
    <s v=""/>
    <s v=""/>
  </r>
  <r>
    <n v="83"/>
    <m/>
    <m/>
    <m/>
    <m/>
    <m/>
    <m/>
    <m/>
    <m/>
    <x v="0"/>
    <x v="0"/>
    <m/>
    <m/>
    <m/>
    <m/>
    <x v="0"/>
    <x v="0"/>
    <m/>
    <m/>
    <m/>
    <s v=""/>
    <m/>
    <s v=""/>
    <s v=""/>
    <m/>
    <s v=""/>
    <s v=""/>
    <s v=""/>
    <s v=""/>
    <s v=""/>
    <s v=""/>
    <s v=""/>
    <s v=""/>
    <s v=""/>
    <s v=""/>
    <s v=""/>
  </r>
  <r>
    <n v="84"/>
    <m/>
    <m/>
    <m/>
    <m/>
    <m/>
    <m/>
    <m/>
    <m/>
    <x v="0"/>
    <x v="0"/>
    <m/>
    <m/>
    <m/>
    <m/>
    <x v="0"/>
    <x v="0"/>
    <m/>
    <m/>
    <m/>
    <s v=""/>
    <m/>
    <s v=""/>
    <s v=""/>
    <m/>
    <s v=""/>
    <s v=""/>
    <s v=""/>
    <s v=""/>
    <s v=""/>
    <s v=""/>
    <s v=""/>
    <s v=""/>
    <s v=""/>
    <s v=""/>
    <s v=""/>
  </r>
  <r>
    <n v="85"/>
    <m/>
    <m/>
    <m/>
    <m/>
    <m/>
    <m/>
    <m/>
    <m/>
    <x v="0"/>
    <x v="0"/>
    <m/>
    <m/>
    <m/>
    <m/>
    <x v="0"/>
    <x v="0"/>
    <m/>
    <m/>
    <m/>
    <s v=""/>
    <m/>
    <s v=""/>
    <s v=""/>
    <m/>
    <s v=""/>
    <s v=""/>
    <s v=""/>
    <s v=""/>
    <s v=""/>
    <s v=""/>
    <s v=""/>
    <s v=""/>
    <s v=""/>
    <s v=""/>
    <s v=""/>
  </r>
  <r>
    <n v="86"/>
    <m/>
    <m/>
    <m/>
    <m/>
    <m/>
    <m/>
    <m/>
    <m/>
    <x v="0"/>
    <x v="0"/>
    <m/>
    <m/>
    <m/>
    <m/>
    <x v="0"/>
    <x v="0"/>
    <m/>
    <m/>
    <m/>
    <s v=""/>
    <m/>
    <s v=""/>
    <s v=""/>
    <m/>
    <s v=""/>
    <s v=""/>
    <s v=""/>
    <s v=""/>
    <s v=""/>
    <s v=""/>
    <s v=""/>
    <s v=""/>
    <s v=""/>
    <s v=""/>
    <s v=""/>
  </r>
  <r>
    <n v="87"/>
    <m/>
    <m/>
    <m/>
    <m/>
    <m/>
    <m/>
    <m/>
    <m/>
    <x v="0"/>
    <x v="0"/>
    <m/>
    <m/>
    <m/>
    <m/>
    <x v="0"/>
    <x v="0"/>
    <m/>
    <m/>
    <m/>
    <s v=""/>
    <m/>
    <s v=""/>
    <s v=""/>
    <m/>
    <s v=""/>
    <s v=""/>
    <s v=""/>
    <s v=""/>
    <s v=""/>
    <s v=""/>
    <s v=""/>
    <s v=""/>
    <s v=""/>
    <s v=""/>
    <s v=""/>
  </r>
  <r>
    <n v="88"/>
    <m/>
    <m/>
    <m/>
    <m/>
    <m/>
    <m/>
    <m/>
    <m/>
    <x v="0"/>
    <x v="0"/>
    <m/>
    <m/>
    <m/>
    <m/>
    <x v="0"/>
    <x v="0"/>
    <m/>
    <m/>
    <m/>
    <s v=""/>
    <m/>
    <s v=""/>
    <s v=""/>
    <m/>
    <s v=""/>
    <s v=""/>
    <s v=""/>
    <s v=""/>
    <s v=""/>
    <s v=""/>
    <s v=""/>
    <s v=""/>
    <s v=""/>
    <s v=""/>
    <s v=""/>
  </r>
  <r>
    <n v="89"/>
    <m/>
    <m/>
    <m/>
    <m/>
    <m/>
    <m/>
    <m/>
    <m/>
    <x v="0"/>
    <x v="0"/>
    <m/>
    <m/>
    <m/>
    <m/>
    <x v="0"/>
    <x v="0"/>
    <m/>
    <m/>
    <m/>
    <s v=""/>
    <m/>
    <s v=""/>
    <s v=""/>
    <m/>
    <s v=""/>
    <s v=""/>
    <s v=""/>
    <s v=""/>
    <s v=""/>
    <s v=""/>
    <s v=""/>
    <s v=""/>
    <s v=""/>
    <s v=""/>
    <s v=""/>
  </r>
  <r>
    <n v="90"/>
    <m/>
    <m/>
    <m/>
    <m/>
    <m/>
    <m/>
    <m/>
    <m/>
    <x v="0"/>
    <x v="0"/>
    <m/>
    <m/>
    <m/>
    <m/>
    <x v="0"/>
    <x v="0"/>
    <m/>
    <m/>
    <m/>
    <s v=""/>
    <m/>
    <s v=""/>
    <s v=""/>
    <m/>
    <s v=""/>
    <s v=""/>
    <s v=""/>
    <s v=""/>
    <s v=""/>
    <s v=""/>
    <s v=""/>
    <s v=""/>
    <s v=""/>
    <s v=""/>
    <s v=""/>
  </r>
  <r>
    <n v="91"/>
    <m/>
    <m/>
    <m/>
    <m/>
    <m/>
    <m/>
    <m/>
    <m/>
    <x v="0"/>
    <x v="0"/>
    <m/>
    <m/>
    <m/>
    <m/>
    <x v="0"/>
    <x v="0"/>
    <m/>
    <m/>
    <m/>
    <s v=""/>
    <m/>
    <s v=""/>
    <s v=""/>
    <m/>
    <s v=""/>
    <s v=""/>
    <s v=""/>
    <s v=""/>
    <s v=""/>
    <s v=""/>
    <s v=""/>
    <s v=""/>
    <s v=""/>
    <s v=""/>
    <s v=""/>
  </r>
  <r>
    <n v="92"/>
    <m/>
    <m/>
    <m/>
    <m/>
    <m/>
    <m/>
    <m/>
    <m/>
    <x v="0"/>
    <x v="0"/>
    <m/>
    <m/>
    <m/>
    <m/>
    <x v="0"/>
    <x v="0"/>
    <m/>
    <m/>
    <m/>
    <s v=""/>
    <m/>
    <s v=""/>
    <s v=""/>
    <m/>
    <s v=""/>
    <s v=""/>
    <s v=""/>
    <s v=""/>
    <s v=""/>
    <s v=""/>
    <s v=""/>
    <s v=""/>
    <s v=""/>
    <s v=""/>
    <s v=""/>
  </r>
  <r>
    <n v="93"/>
    <m/>
    <m/>
    <m/>
    <m/>
    <m/>
    <m/>
    <m/>
    <m/>
    <x v="0"/>
    <x v="0"/>
    <m/>
    <m/>
    <m/>
    <m/>
    <x v="0"/>
    <x v="0"/>
    <m/>
    <m/>
    <m/>
    <s v=""/>
    <m/>
    <s v=""/>
    <s v=""/>
    <m/>
    <s v=""/>
    <s v=""/>
    <s v=""/>
    <s v=""/>
    <s v=""/>
    <s v=""/>
    <s v=""/>
    <s v=""/>
    <s v=""/>
    <s v=""/>
    <s v=""/>
  </r>
  <r>
    <n v="94"/>
    <m/>
    <m/>
    <m/>
    <m/>
    <m/>
    <m/>
    <m/>
    <m/>
    <x v="0"/>
    <x v="0"/>
    <m/>
    <m/>
    <m/>
    <m/>
    <x v="0"/>
    <x v="0"/>
    <m/>
    <m/>
    <m/>
    <s v=""/>
    <m/>
    <s v=""/>
    <s v=""/>
    <m/>
    <s v=""/>
    <s v=""/>
    <s v=""/>
    <s v=""/>
    <s v=""/>
    <s v=""/>
    <s v=""/>
    <s v=""/>
    <s v=""/>
    <s v=""/>
    <s v=""/>
  </r>
  <r>
    <n v="95"/>
    <m/>
    <m/>
    <m/>
    <m/>
    <m/>
    <m/>
    <m/>
    <m/>
    <x v="0"/>
    <x v="0"/>
    <m/>
    <m/>
    <m/>
    <m/>
    <x v="0"/>
    <x v="0"/>
    <m/>
    <m/>
    <m/>
    <s v=""/>
    <m/>
    <s v=""/>
    <s v=""/>
    <m/>
    <s v=""/>
    <s v=""/>
    <s v=""/>
    <s v=""/>
    <s v=""/>
    <s v=""/>
    <s v=""/>
    <s v=""/>
    <s v=""/>
    <s v=""/>
    <s v=""/>
  </r>
  <r>
    <n v="96"/>
    <m/>
    <m/>
    <m/>
    <m/>
    <m/>
    <m/>
    <m/>
    <m/>
    <x v="0"/>
    <x v="0"/>
    <m/>
    <m/>
    <m/>
    <m/>
    <x v="0"/>
    <x v="0"/>
    <m/>
    <m/>
    <m/>
    <s v=""/>
    <m/>
    <s v=""/>
    <s v=""/>
    <m/>
    <s v=""/>
    <s v=""/>
    <s v=""/>
    <s v=""/>
    <s v=""/>
    <s v=""/>
    <s v=""/>
    <s v=""/>
    <s v=""/>
    <s v=""/>
    <s v=""/>
  </r>
  <r>
    <n v="97"/>
    <m/>
    <m/>
    <m/>
    <m/>
    <m/>
    <m/>
    <m/>
    <m/>
    <x v="0"/>
    <x v="0"/>
    <m/>
    <m/>
    <m/>
    <m/>
    <x v="0"/>
    <x v="0"/>
    <m/>
    <m/>
    <m/>
    <s v=""/>
    <m/>
    <s v=""/>
    <s v=""/>
    <m/>
    <s v=""/>
    <s v=""/>
    <s v=""/>
    <s v=""/>
    <s v=""/>
    <s v=""/>
    <s v=""/>
    <s v=""/>
    <s v=""/>
    <s v=""/>
    <s v=""/>
  </r>
  <r>
    <n v="98"/>
    <m/>
    <m/>
    <m/>
    <m/>
    <m/>
    <m/>
    <m/>
    <m/>
    <x v="0"/>
    <x v="0"/>
    <m/>
    <m/>
    <m/>
    <m/>
    <x v="0"/>
    <x v="0"/>
    <m/>
    <m/>
    <m/>
    <s v=""/>
    <m/>
    <s v=""/>
    <s v=""/>
    <m/>
    <s v=""/>
    <s v=""/>
    <s v=""/>
    <s v=""/>
    <s v=""/>
    <s v=""/>
    <s v=""/>
    <s v=""/>
    <s v=""/>
    <s v=""/>
    <s v=""/>
  </r>
  <r>
    <n v="99"/>
    <m/>
    <m/>
    <m/>
    <m/>
    <m/>
    <m/>
    <m/>
    <m/>
    <x v="0"/>
    <x v="0"/>
    <m/>
    <m/>
    <m/>
    <m/>
    <x v="0"/>
    <x v="0"/>
    <m/>
    <m/>
    <m/>
    <s v=""/>
    <m/>
    <s v=""/>
    <s v=""/>
    <m/>
    <s v=""/>
    <s v=""/>
    <s v=""/>
    <s v=""/>
    <s v=""/>
    <s v=""/>
    <s v=""/>
    <s v=""/>
    <s v=""/>
    <s v=""/>
    <s v=""/>
  </r>
  <r>
    <n v="100"/>
    <m/>
    <m/>
    <m/>
    <m/>
    <m/>
    <m/>
    <m/>
    <m/>
    <x v="0"/>
    <x v="0"/>
    <m/>
    <m/>
    <m/>
    <m/>
    <x v="0"/>
    <x v="0"/>
    <m/>
    <m/>
    <m/>
    <s v=""/>
    <m/>
    <s v=""/>
    <s v=""/>
    <m/>
    <s v=""/>
    <s v=""/>
    <s v=""/>
    <s v=""/>
    <s v=""/>
    <s v=""/>
    <s v=""/>
    <s v=""/>
    <s v=""/>
    <s v=""/>
    <s v=""/>
  </r>
  <r>
    <n v="101"/>
    <m/>
    <m/>
    <m/>
    <m/>
    <m/>
    <m/>
    <m/>
    <m/>
    <x v="0"/>
    <x v="0"/>
    <m/>
    <m/>
    <m/>
    <m/>
    <x v="0"/>
    <x v="0"/>
    <m/>
    <m/>
    <m/>
    <s v=""/>
    <m/>
    <s v=""/>
    <s v=""/>
    <m/>
    <s v=""/>
    <s v=""/>
    <s v=""/>
    <s v=""/>
    <s v=""/>
    <s v=""/>
    <s v=""/>
    <s v=""/>
    <s v=""/>
    <s v=""/>
    <s v=""/>
  </r>
  <r>
    <n v="102"/>
    <m/>
    <m/>
    <m/>
    <m/>
    <m/>
    <m/>
    <m/>
    <m/>
    <x v="0"/>
    <x v="0"/>
    <m/>
    <m/>
    <m/>
    <m/>
    <x v="0"/>
    <x v="0"/>
    <m/>
    <m/>
    <m/>
    <s v=""/>
    <m/>
    <s v=""/>
    <s v=""/>
    <m/>
    <s v=""/>
    <s v=""/>
    <s v=""/>
    <s v=""/>
    <s v=""/>
    <s v=""/>
    <s v=""/>
    <s v=""/>
    <s v=""/>
    <s v=""/>
    <s v=""/>
  </r>
  <r>
    <n v="103"/>
    <m/>
    <m/>
    <m/>
    <m/>
    <m/>
    <m/>
    <m/>
    <m/>
    <x v="0"/>
    <x v="0"/>
    <m/>
    <m/>
    <m/>
    <m/>
    <x v="0"/>
    <x v="0"/>
    <m/>
    <m/>
    <m/>
    <s v=""/>
    <m/>
    <s v=""/>
    <s v=""/>
    <m/>
    <s v=""/>
    <s v=""/>
    <s v=""/>
    <s v=""/>
    <s v=""/>
    <s v=""/>
    <s v=""/>
    <s v=""/>
    <s v=""/>
    <s v=""/>
    <s v=""/>
  </r>
  <r>
    <n v="104"/>
    <m/>
    <m/>
    <m/>
    <m/>
    <m/>
    <m/>
    <m/>
    <m/>
    <x v="0"/>
    <x v="0"/>
    <m/>
    <m/>
    <m/>
    <m/>
    <x v="0"/>
    <x v="0"/>
    <m/>
    <m/>
    <m/>
    <s v=""/>
    <m/>
    <s v=""/>
    <s v=""/>
    <m/>
    <s v=""/>
    <s v=""/>
    <s v=""/>
    <s v=""/>
    <s v=""/>
    <s v=""/>
    <s v=""/>
    <s v=""/>
    <s v=""/>
    <s v=""/>
    <s v=""/>
  </r>
  <r>
    <n v="105"/>
    <m/>
    <m/>
    <m/>
    <m/>
    <m/>
    <m/>
    <m/>
    <m/>
    <x v="0"/>
    <x v="0"/>
    <m/>
    <m/>
    <m/>
    <m/>
    <x v="0"/>
    <x v="0"/>
    <m/>
    <m/>
    <m/>
    <s v=""/>
    <m/>
    <s v=""/>
    <s v=""/>
    <m/>
    <s v=""/>
    <s v=""/>
    <s v=""/>
    <s v=""/>
    <s v=""/>
    <s v=""/>
    <s v=""/>
    <s v=""/>
    <s v=""/>
    <s v=""/>
    <s v=""/>
  </r>
  <r>
    <n v="106"/>
    <m/>
    <m/>
    <m/>
    <m/>
    <m/>
    <m/>
    <m/>
    <m/>
    <x v="0"/>
    <x v="0"/>
    <m/>
    <m/>
    <m/>
    <m/>
    <x v="0"/>
    <x v="0"/>
    <m/>
    <m/>
    <m/>
    <s v=""/>
    <m/>
    <s v=""/>
    <s v=""/>
    <m/>
    <s v=""/>
    <s v=""/>
    <s v=""/>
    <s v=""/>
    <s v=""/>
    <s v=""/>
    <s v=""/>
    <s v=""/>
    <s v=""/>
    <s v=""/>
    <s v=""/>
  </r>
  <r>
    <n v="107"/>
    <m/>
    <m/>
    <m/>
    <m/>
    <m/>
    <m/>
    <m/>
    <m/>
    <x v="0"/>
    <x v="0"/>
    <m/>
    <m/>
    <m/>
    <m/>
    <x v="0"/>
    <x v="0"/>
    <m/>
    <m/>
    <m/>
    <s v=""/>
    <m/>
    <s v=""/>
    <s v=""/>
    <m/>
    <s v=""/>
    <s v=""/>
    <s v=""/>
    <s v=""/>
    <s v=""/>
    <s v=""/>
    <s v=""/>
    <s v=""/>
    <s v=""/>
    <s v=""/>
    <s v=""/>
  </r>
  <r>
    <n v="108"/>
    <m/>
    <m/>
    <m/>
    <m/>
    <m/>
    <m/>
    <m/>
    <m/>
    <x v="0"/>
    <x v="0"/>
    <m/>
    <m/>
    <m/>
    <m/>
    <x v="0"/>
    <x v="0"/>
    <m/>
    <m/>
    <m/>
    <s v=""/>
    <m/>
    <s v=""/>
    <s v=""/>
    <m/>
    <s v=""/>
    <s v=""/>
    <s v=""/>
    <s v=""/>
    <s v=""/>
    <s v=""/>
    <s v=""/>
    <s v=""/>
    <s v=""/>
    <s v=""/>
    <s v=""/>
  </r>
  <r>
    <n v="109"/>
    <m/>
    <m/>
    <m/>
    <m/>
    <m/>
    <m/>
    <m/>
    <m/>
    <x v="0"/>
    <x v="0"/>
    <m/>
    <m/>
    <m/>
    <m/>
    <x v="0"/>
    <x v="0"/>
    <m/>
    <m/>
    <m/>
    <s v=""/>
    <m/>
    <s v=""/>
    <s v=""/>
    <m/>
    <s v=""/>
    <s v=""/>
    <s v=""/>
    <s v=""/>
    <s v=""/>
    <s v=""/>
    <s v=""/>
    <s v=""/>
    <s v=""/>
    <s v=""/>
    <s v=""/>
  </r>
  <r>
    <n v="110"/>
    <m/>
    <m/>
    <m/>
    <m/>
    <m/>
    <m/>
    <m/>
    <m/>
    <x v="0"/>
    <x v="0"/>
    <m/>
    <m/>
    <m/>
    <m/>
    <x v="0"/>
    <x v="0"/>
    <m/>
    <m/>
    <m/>
    <s v=""/>
    <m/>
    <s v=""/>
    <s v=""/>
    <m/>
    <s v=""/>
    <s v=""/>
    <s v=""/>
    <s v=""/>
    <s v=""/>
    <s v=""/>
    <s v=""/>
    <s v=""/>
    <s v=""/>
    <s v=""/>
    <s v=""/>
  </r>
  <r>
    <n v="111"/>
    <m/>
    <m/>
    <m/>
    <m/>
    <m/>
    <m/>
    <m/>
    <m/>
    <x v="0"/>
    <x v="0"/>
    <m/>
    <m/>
    <m/>
    <m/>
    <x v="0"/>
    <x v="0"/>
    <m/>
    <m/>
    <m/>
    <s v=""/>
    <m/>
    <s v=""/>
    <s v=""/>
    <m/>
    <s v=""/>
    <s v=""/>
    <s v=""/>
    <s v=""/>
    <s v=""/>
    <s v=""/>
    <s v=""/>
    <s v=""/>
    <s v=""/>
    <s v=""/>
    <s v=""/>
  </r>
  <r>
    <n v="112"/>
    <m/>
    <m/>
    <m/>
    <m/>
    <m/>
    <m/>
    <m/>
    <m/>
    <x v="0"/>
    <x v="0"/>
    <m/>
    <m/>
    <m/>
    <m/>
    <x v="0"/>
    <x v="0"/>
    <m/>
    <m/>
    <m/>
    <s v=""/>
    <m/>
    <s v=""/>
    <s v=""/>
    <m/>
    <s v=""/>
    <s v=""/>
    <s v=""/>
    <s v=""/>
    <s v=""/>
    <s v=""/>
    <s v=""/>
    <s v=""/>
    <s v=""/>
    <s v=""/>
    <s v=""/>
  </r>
  <r>
    <n v="113"/>
    <m/>
    <m/>
    <m/>
    <m/>
    <m/>
    <m/>
    <m/>
    <m/>
    <x v="0"/>
    <x v="0"/>
    <m/>
    <m/>
    <m/>
    <m/>
    <x v="0"/>
    <x v="0"/>
    <m/>
    <m/>
    <m/>
    <s v=""/>
    <m/>
    <s v=""/>
    <s v=""/>
    <m/>
    <s v=""/>
    <s v=""/>
    <s v=""/>
    <s v=""/>
    <s v=""/>
    <s v=""/>
    <s v=""/>
    <s v=""/>
    <s v=""/>
    <s v=""/>
    <s v=""/>
  </r>
  <r>
    <n v="114"/>
    <m/>
    <m/>
    <m/>
    <m/>
    <m/>
    <m/>
    <m/>
    <m/>
    <x v="0"/>
    <x v="0"/>
    <m/>
    <m/>
    <m/>
    <m/>
    <x v="0"/>
    <x v="0"/>
    <m/>
    <m/>
    <m/>
    <s v=""/>
    <m/>
    <s v=""/>
    <s v=""/>
    <m/>
    <s v=""/>
    <s v=""/>
    <s v=""/>
    <s v=""/>
    <s v=""/>
    <s v=""/>
    <s v=""/>
    <s v=""/>
    <s v=""/>
    <s v=""/>
    <s v=""/>
  </r>
  <r>
    <n v="115"/>
    <m/>
    <m/>
    <m/>
    <m/>
    <m/>
    <m/>
    <m/>
    <m/>
    <x v="0"/>
    <x v="0"/>
    <m/>
    <m/>
    <m/>
    <m/>
    <x v="0"/>
    <x v="0"/>
    <m/>
    <m/>
    <m/>
    <s v=""/>
    <m/>
    <s v=""/>
    <s v=""/>
    <m/>
    <s v=""/>
    <s v=""/>
    <s v=""/>
    <s v=""/>
    <s v=""/>
    <s v=""/>
    <s v=""/>
    <s v=""/>
    <s v=""/>
    <s v=""/>
    <s v=""/>
  </r>
  <r>
    <n v="116"/>
    <m/>
    <m/>
    <m/>
    <m/>
    <m/>
    <m/>
    <m/>
    <m/>
    <x v="0"/>
    <x v="0"/>
    <m/>
    <m/>
    <m/>
    <m/>
    <x v="0"/>
    <x v="0"/>
    <m/>
    <m/>
    <m/>
    <s v=""/>
    <m/>
    <s v=""/>
    <s v=""/>
    <m/>
    <s v=""/>
    <s v=""/>
    <s v=""/>
    <s v=""/>
    <s v=""/>
    <s v=""/>
    <s v=""/>
    <s v=""/>
    <s v=""/>
    <s v=""/>
    <s v=""/>
  </r>
  <r>
    <n v="117"/>
    <m/>
    <m/>
    <m/>
    <m/>
    <m/>
    <m/>
    <m/>
    <m/>
    <x v="0"/>
    <x v="0"/>
    <m/>
    <m/>
    <m/>
    <m/>
    <x v="0"/>
    <x v="0"/>
    <m/>
    <m/>
    <m/>
    <s v=""/>
    <m/>
    <s v=""/>
    <s v=""/>
    <m/>
    <s v=""/>
    <s v=""/>
    <s v=""/>
    <s v=""/>
    <s v=""/>
    <s v=""/>
    <s v=""/>
    <s v=""/>
    <s v=""/>
    <s v=""/>
    <s v=""/>
  </r>
  <r>
    <n v="118"/>
    <m/>
    <m/>
    <m/>
    <m/>
    <m/>
    <m/>
    <m/>
    <m/>
    <x v="0"/>
    <x v="0"/>
    <m/>
    <m/>
    <m/>
    <m/>
    <x v="0"/>
    <x v="0"/>
    <m/>
    <m/>
    <m/>
    <s v=""/>
    <m/>
    <s v=""/>
    <s v=""/>
    <m/>
    <s v=""/>
    <s v=""/>
    <s v=""/>
    <s v=""/>
    <s v=""/>
    <s v=""/>
    <s v=""/>
    <s v=""/>
    <s v=""/>
    <s v=""/>
    <s v=""/>
  </r>
  <r>
    <n v="119"/>
    <m/>
    <m/>
    <m/>
    <m/>
    <m/>
    <m/>
    <m/>
    <m/>
    <x v="0"/>
    <x v="0"/>
    <m/>
    <m/>
    <m/>
    <m/>
    <x v="0"/>
    <x v="0"/>
    <m/>
    <m/>
    <m/>
    <s v=""/>
    <m/>
    <s v=""/>
    <s v=""/>
    <m/>
    <s v=""/>
    <s v=""/>
    <s v=""/>
    <s v=""/>
    <s v=""/>
    <s v=""/>
    <s v=""/>
    <s v=""/>
    <s v=""/>
    <s v=""/>
    <s v=""/>
  </r>
  <r>
    <n v="120"/>
    <m/>
    <m/>
    <m/>
    <m/>
    <m/>
    <m/>
    <m/>
    <m/>
    <x v="0"/>
    <x v="0"/>
    <m/>
    <m/>
    <m/>
    <m/>
    <x v="0"/>
    <x v="0"/>
    <m/>
    <m/>
    <m/>
    <s v=""/>
    <m/>
    <s v=""/>
    <s v=""/>
    <m/>
    <s v=""/>
    <s v=""/>
    <s v=""/>
    <s v=""/>
    <s v=""/>
    <s v=""/>
    <s v=""/>
    <s v=""/>
    <s v=""/>
    <s v=""/>
    <s v=""/>
  </r>
  <r>
    <n v="121"/>
    <m/>
    <m/>
    <m/>
    <m/>
    <m/>
    <m/>
    <m/>
    <m/>
    <x v="0"/>
    <x v="0"/>
    <m/>
    <m/>
    <m/>
    <m/>
    <x v="0"/>
    <x v="0"/>
    <m/>
    <m/>
    <m/>
    <s v=""/>
    <m/>
    <s v=""/>
    <s v=""/>
    <m/>
    <s v=""/>
    <s v=""/>
    <s v=""/>
    <s v=""/>
    <s v=""/>
    <s v=""/>
    <s v=""/>
    <s v=""/>
    <s v=""/>
    <s v=""/>
    <s v=""/>
  </r>
  <r>
    <n v="122"/>
    <m/>
    <m/>
    <m/>
    <m/>
    <m/>
    <m/>
    <m/>
    <m/>
    <x v="0"/>
    <x v="0"/>
    <m/>
    <m/>
    <m/>
    <m/>
    <x v="0"/>
    <x v="0"/>
    <m/>
    <m/>
    <m/>
    <s v=""/>
    <m/>
    <s v=""/>
    <s v=""/>
    <m/>
    <s v=""/>
    <s v=""/>
    <s v=""/>
    <s v=""/>
    <s v=""/>
    <s v=""/>
    <s v=""/>
    <s v=""/>
    <s v=""/>
    <s v=""/>
    <s v=""/>
  </r>
  <r>
    <n v="123"/>
    <m/>
    <m/>
    <m/>
    <m/>
    <m/>
    <m/>
    <m/>
    <m/>
    <x v="0"/>
    <x v="0"/>
    <m/>
    <m/>
    <m/>
    <m/>
    <x v="0"/>
    <x v="0"/>
    <m/>
    <m/>
    <m/>
    <s v=""/>
    <m/>
    <s v=""/>
    <s v=""/>
    <m/>
    <s v=""/>
    <s v=""/>
    <s v=""/>
    <s v=""/>
    <s v=""/>
    <s v=""/>
    <s v=""/>
    <s v=""/>
    <s v=""/>
    <s v=""/>
    <s v=""/>
  </r>
  <r>
    <n v="124"/>
    <m/>
    <m/>
    <m/>
    <m/>
    <m/>
    <m/>
    <m/>
    <m/>
    <x v="0"/>
    <x v="0"/>
    <m/>
    <m/>
    <m/>
    <m/>
    <x v="0"/>
    <x v="0"/>
    <m/>
    <m/>
    <m/>
    <s v=""/>
    <m/>
    <s v=""/>
    <s v=""/>
    <m/>
    <s v=""/>
    <s v=""/>
    <s v=""/>
    <s v=""/>
    <s v=""/>
    <s v=""/>
    <s v=""/>
    <s v=""/>
    <s v=""/>
    <s v=""/>
    <s v=""/>
  </r>
  <r>
    <n v="125"/>
    <m/>
    <m/>
    <m/>
    <m/>
    <m/>
    <m/>
    <m/>
    <m/>
    <x v="0"/>
    <x v="0"/>
    <m/>
    <m/>
    <m/>
    <m/>
    <x v="0"/>
    <x v="0"/>
    <m/>
    <m/>
    <m/>
    <s v=""/>
    <m/>
    <s v=""/>
    <s v=""/>
    <m/>
    <s v=""/>
    <s v=""/>
    <s v=""/>
    <s v=""/>
    <s v=""/>
    <s v=""/>
    <s v=""/>
    <s v=""/>
    <s v=""/>
    <s v=""/>
    <s v=""/>
  </r>
  <r>
    <n v="126"/>
    <m/>
    <m/>
    <m/>
    <m/>
    <m/>
    <m/>
    <m/>
    <m/>
    <x v="0"/>
    <x v="0"/>
    <m/>
    <m/>
    <m/>
    <m/>
    <x v="0"/>
    <x v="0"/>
    <m/>
    <m/>
    <m/>
    <s v=""/>
    <m/>
    <s v=""/>
    <s v=""/>
    <m/>
    <s v=""/>
    <s v=""/>
    <s v=""/>
    <s v=""/>
    <s v=""/>
    <s v=""/>
    <s v=""/>
    <s v=""/>
    <s v=""/>
    <s v=""/>
    <s v=""/>
  </r>
  <r>
    <n v="127"/>
    <m/>
    <m/>
    <m/>
    <m/>
    <m/>
    <m/>
    <m/>
    <m/>
    <x v="0"/>
    <x v="0"/>
    <m/>
    <m/>
    <m/>
    <m/>
    <x v="0"/>
    <x v="0"/>
    <m/>
    <m/>
    <m/>
    <s v=""/>
    <m/>
    <s v=""/>
    <s v=""/>
    <m/>
    <s v=""/>
    <s v=""/>
    <s v=""/>
    <s v=""/>
    <s v=""/>
    <s v=""/>
    <s v=""/>
    <s v=""/>
    <s v=""/>
    <s v=""/>
    <s v=""/>
  </r>
  <r>
    <n v="128"/>
    <m/>
    <m/>
    <m/>
    <m/>
    <m/>
    <m/>
    <m/>
    <m/>
    <x v="0"/>
    <x v="0"/>
    <m/>
    <m/>
    <m/>
    <m/>
    <x v="0"/>
    <x v="0"/>
    <m/>
    <m/>
    <m/>
    <s v=""/>
    <m/>
    <s v=""/>
    <s v=""/>
    <m/>
    <s v=""/>
    <s v=""/>
    <s v=""/>
    <s v=""/>
    <s v=""/>
    <s v=""/>
    <s v=""/>
    <s v=""/>
    <s v=""/>
    <s v=""/>
    <s v=""/>
  </r>
  <r>
    <n v="129"/>
    <m/>
    <m/>
    <m/>
    <m/>
    <m/>
    <m/>
    <m/>
    <m/>
    <x v="0"/>
    <x v="0"/>
    <m/>
    <m/>
    <m/>
    <m/>
    <x v="0"/>
    <x v="0"/>
    <m/>
    <m/>
    <m/>
    <s v=""/>
    <m/>
    <s v=""/>
    <s v=""/>
    <m/>
    <s v=""/>
    <s v=""/>
    <s v=""/>
    <s v=""/>
    <s v=""/>
    <s v=""/>
    <s v=""/>
    <s v=""/>
    <s v=""/>
    <s v=""/>
    <s v=""/>
  </r>
  <r>
    <n v="130"/>
    <m/>
    <m/>
    <m/>
    <m/>
    <m/>
    <m/>
    <m/>
    <m/>
    <x v="0"/>
    <x v="0"/>
    <m/>
    <m/>
    <m/>
    <m/>
    <x v="0"/>
    <x v="0"/>
    <m/>
    <m/>
    <m/>
    <s v=""/>
    <m/>
    <s v=""/>
    <s v=""/>
    <m/>
    <s v=""/>
    <s v=""/>
    <s v=""/>
    <s v=""/>
    <s v=""/>
    <s v=""/>
    <s v=""/>
    <s v=""/>
    <s v=""/>
    <s v=""/>
    <s v=""/>
  </r>
  <r>
    <n v="131"/>
    <m/>
    <m/>
    <m/>
    <m/>
    <m/>
    <m/>
    <m/>
    <m/>
    <x v="0"/>
    <x v="0"/>
    <m/>
    <m/>
    <m/>
    <m/>
    <x v="0"/>
    <x v="0"/>
    <m/>
    <m/>
    <m/>
    <s v=""/>
    <m/>
    <s v=""/>
    <s v=""/>
    <m/>
    <s v=""/>
    <s v=""/>
    <s v=""/>
    <s v=""/>
    <s v=""/>
    <s v=""/>
    <s v=""/>
    <s v=""/>
    <s v=""/>
    <s v=""/>
    <s v=""/>
  </r>
  <r>
    <n v="132"/>
    <m/>
    <m/>
    <m/>
    <m/>
    <m/>
    <m/>
    <m/>
    <m/>
    <x v="0"/>
    <x v="0"/>
    <m/>
    <m/>
    <m/>
    <m/>
    <x v="0"/>
    <x v="0"/>
    <m/>
    <m/>
    <m/>
    <s v=""/>
    <m/>
    <s v=""/>
    <s v=""/>
    <m/>
    <s v=""/>
    <s v=""/>
    <s v=""/>
    <s v=""/>
    <s v=""/>
    <s v=""/>
    <s v=""/>
    <s v=""/>
    <s v=""/>
    <s v=""/>
    <s v=""/>
  </r>
  <r>
    <n v="133"/>
    <m/>
    <m/>
    <m/>
    <m/>
    <m/>
    <m/>
    <m/>
    <m/>
    <x v="0"/>
    <x v="0"/>
    <m/>
    <m/>
    <m/>
    <m/>
    <x v="0"/>
    <x v="0"/>
    <m/>
    <m/>
    <m/>
    <s v=""/>
    <m/>
    <s v=""/>
    <s v=""/>
    <m/>
    <s v=""/>
    <s v=""/>
    <s v=""/>
    <s v=""/>
    <s v=""/>
    <s v=""/>
    <s v=""/>
    <s v=""/>
    <s v=""/>
    <s v=""/>
    <s v=""/>
  </r>
  <r>
    <n v="134"/>
    <m/>
    <m/>
    <m/>
    <m/>
    <m/>
    <m/>
    <m/>
    <m/>
    <x v="0"/>
    <x v="0"/>
    <m/>
    <m/>
    <m/>
    <m/>
    <x v="0"/>
    <x v="0"/>
    <m/>
    <m/>
    <m/>
    <s v=""/>
    <m/>
    <s v=""/>
    <s v=""/>
    <m/>
    <s v=""/>
    <s v=""/>
    <s v=""/>
    <s v=""/>
    <s v=""/>
    <s v=""/>
    <s v=""/>
    <s v=""/>
    <s v=""/>
    <s v=""/>
    <s v=""/>
  </r>
  <r>
    <n v="135"/>
    <m/>
    <m/>
    <m/>
    <m/>
    <m/>
    <m/>
    <m/>
    <m/>
    <x v="0"/>
    <x v="0"/>
    <m/>
    <m/>
    <m/>
    <m/>
    <x v="0"/>
    <x v="0"/>
    <m/>
    <m/>
    <m/>
    <s v=""/>
    <m/>
    <s v=""/>
    <s v=""/>
    <m/>
    <s v=""/>
    <s v=""/>
    <s v=""/>
    <s v=""/>
    <s v=""/>
    <s v=""/>
    <s v=""/>
    <s v=""/>
    <s v=""/>
    <s v=""/>
    <s v=""/>
  </r>
  <r>
    <n v="136"/>
    <m/>
    <m/>
    <m/>
    <m/>
    <m/>
    <m/>
    <m/>
    <m/>
    <x v="0"/>
    <x v="0"/>
    <m/>
    <m/>
    <m/>
    <m/>
    <x v="0"/>
    <x v="0"/>
    <m/>
    <m/>
    <m/>
    <s v=""/>
    <m/>
    <s v=""/>
    <s v=""/>
    <m/>
    <s v=""/>
    <s v=""/>
    <s v=""/>
    <s v=""/>
    <s v=""/>
    <s v=""/>
    <s v=""/>
    <s v=""/>
    <s v=""/>
    <s v=""/>
    <s v=""/>
  </r>
  <r>
    <n v="137"/>
    <m/>
    <m/>
    <m/>
    <m/>
    <m/>
    <m/>
    <m/>
    <m/>
    <x v="0"/>
    <x v="0"/>
    <m/>
    <m/>
    <m/>
    <m/>
    <x v="0"/>
    <x v="0"/>
    <m/>
    <m/>
    <m/>
    <s v=""/>
    <m/>
    <s v=""/>
    <s v=""/>
    <m/>
    <s v=""/>
    <s v=""/>
    <s v=""/>
    <s v=""/>
    <s v=""/>
    <s v=""/>
    <s v=""/>
    <s v=""/>
    <s v=""/>
    <s v=""/>
    <s v=""/>
  </r>
  <r>
    <n v="138"/>
    <m/>
    <m/>
    <m/>
    <m/>
    <m/>
    <m/>
    <m/>
    <m/>
    <x v="0"/>
    <x v="0"/>
    <m/>
    <m/>
    <m/>
    <m/>
    <x v="0"/>
    <x v="0"/>
    <m/>
    <m/>
    <m/>
    <s v=""/>
    <m/>
    <s v=""/>
    <s v=""/>
    <m/>
    <s v=""/>
    <s v=""/>
    <s v=""/>
    <s v=""/>
    <s v=""/>
    <s v=""/>
    <s v=""/>
    <s v=""/>
    <s v=""/>
    <s v=""/>
    <s v=""/>
  </r>
  <r>
    <n v="139"/>
    <m/>
    <m/>
    <m/>
    <m/>
    <m/>
    <m/>
    <m/>
    <m/>
    <x v="0"/>
    <x v="0"/>
    <m/>
    <m/>
    <m/>
    <m/>
    <x v="0"/>
    <x v="0"/>
    <m/>
    <m/>
    <m/>
    <s v=""/>
    <m/>
    <s v=""/>
    <s v=""/>
    <m/>
    <s v=""/>
    <s v=""/>
    <s v=""/>
    <s v=""/>
    <s v=""/>
    <s v=""/>
    <s v=""/>
    <s v=""/>
    <s v=""/>
    <s v=""/>
    <s v=""/>
  </r>
  <r>
    <n v="140"/>
    <m/>
    <m/>
    <m/>
    <m/>
    <m/>
    <m/>
    <m/>
    <m/>
    <x v="0"/>
    <x v="0"/>
    <m/>
    <m/>
    <m/>
    <m/>
    <x v="0"/>
    <x v="0"/>
    <m/>
    <m/>
    <m/>
    <s v=""/>
    <m/>
    <s v=""/>
    <s v=""/>
    <m/>
    <s v=""/>
    <s v=""/>
    <s v=""/>
    <s v=""/>
    <s v=""/>
    <s v=""/>
    <s v=""/>
    <s v=""/>
    <s v=""/>
    <s v=""/>
    <s v=""/>
  </r>
  <r>
    <n v="141"/>
    <m/>
    <m/>
    <m/>
    <m/>
    <m/>
    <m/>
    <m/>
    <m/>
    <x v="0"/>
    <x v="0"/>
    <m/>
    <m/>
    <m/>
    <m/>
    <x v="0"/>
    <x v="0"/>
    <m/>
    <m/>
    <m/>
    <s v=""/>
    <m/>
    <s v=""/>
    <s v=""/>
    <m/>
    <s v=""/>
    <s v=""/>
    <s v=""/>
    <s v=""/>
    <s v=""/>
    <s v=""/>
    <s v=""/>
    <s v=""/>
    <s v=""/>
    <s v=""/>
    <s v=""/>
  </r>
  <r>
    <n v="142"/>
    <m/>
    <m/>
    <m/>
    <m/>
    <m/>
    <m/>
    <m/>
    <m/>
    <x v="0"/>
    <x v="0"/>
    <m/>
    <m/>
    <m/>
    <m/>
    <x v="0"/>
    <x v="0"/>
    <m/>
    <m/>
    <m/>
    <s v=""/>
    <m/>
    <s v=""/>
    <s v=""/>
    <m/>
    <s v=""/>
    <s v=""/>
    <s v=""/>
    <s v=""/>
    <s v=""/>
    <s v=""/>
    <s v=""/>
    <s v=""/>
    <s v=""/>
    <s v=""/>
    <s v=""/>
  </r>
  <r>
    <n v="143"/>
    <m/>
    <m/>
    <m/>
    <m/>
    <m/>
    <m/>
    <m/>
    <m/>
    <x v="0"/>
    <x v="0"/>
    <m/>
    <m/>
    <m/>
    <m/>
    <x v="0"/>
    <x v="0"/>
    <m/>
    <m/>
    <m/>
    <s v=""/>
    <m/>
    <s v=""/>
    <s v=""/>
    <m/>
    <s v=""/>
    <s v=""/>
    <s v=""/>
    <s v=""/>
    <s v=""/>
    <s v=""/>
    <s v=""/>
    <s v=""/>
    <s v=""/>
    <s v=""/>
    <s v=""/>
  </r>
  <r>
    <n v="144"/>
    <m/>
    <m/>
    <m/>
    <m/>
    <m/>
    <m/>
    <m/>
    <m/>
    <x v="0"/>
    <x v="0"/>
    <m/>
    <m/>
    <m/>
    <m/>
    <x v="0"/>
    <x v="0"/>
    <m/>
    <m/>
    <m/>
    <s v=""/>
    <m/>
    <s v=""/>
    <s v=""/>
    <m/>
    <s v=""/>
    <s v=""/>
    <s v=""/>
    <s v=""/>
    <s v=""/>
    <s v=""/>
    <s v=""/>
    <s v=""/>
    <s v=""/>
    <s v=""/>
    <s v=""/>
  </r>
  <r>
    <n v="145"/>
    <m/>
    <m/>
    <m/>
    <m/>
    <m/>
    <m/>
    <m/>
    <m/>
    <x v="0"/>
    <x v="0"/>
    <m/>
    <m/>
    <m/>
    <m/>
    <x v="0"/>
    <x v="0"/>
    <m/>
    <m/>
    <m/>
    <s v=""/>
    <m/>
    <s v=""/>
    <s v=""/>
    <m/>
    <s v=""/>
    <s v=""/>
    <s v=""/>
    <s v=""/>
    <s v=""/>
    <s v=""/>
    <s v=""/>
    <s v=""/>
    <s v=""/>
    <s v=""/>
    <s v=""/>
  </r>
  <r>
    <n v="146"/>
    <m/>
    <m/>
    <m/>
    <m/>
    <m/>
    <m/>
    <m/>
    <m/>
    <x v="0"/>
    <x v="0"/>
    <m/>
    <m/>
    <m/>
    <m/>
    <x v="0"/>
    <x v="0"/>
    <m/>
    <m/>
    <m/>
    <s v=""/>
    <m/>
    <s v=""/>
    <s v=""/>
    <m/>
    <s v=""/>
    <s v=""/>
    <s v=""/>
    <s v=""/>
    <s v=""/>
    <s v=""/>
    <s v=""/>
    <s v=""/>
    <s v=""/>
    <s v=""/>
    <s v=""/>
  </r>
  <r>
    <n v="147"/>
    <m/>
    <m/>
    <m/>
    <m/>
    <m/>
    <m/>
    <m/>
    <m/>
    <x v="0"/>
    <x v="0"/>
    <m/>
    <m/>
    <m/>
    <m/>
    <x v="0"/>
    <x v="0"/>
    <m/>
    <m/>
    <m/>
    <s v=""/>
    <m/>
    <s v=""/>
    <s v=""/>
    <m/>
    <s v=""/>
    <s v=""/>
    <s v=""/>
    <s v=""/>
    <s v=""/>
    <s v=""/>
    <s v=""/>
    <s v=""/>
    <s v=""/>
    <s v=""/>
    <s v=""/>
  </r>
  <r>
    <n v="148"/>
    <m/>
    <m/>
    <m/>
    <m/>
    <m/>
    <m/>
    <m/>
    <m/>
    <x v="0"/>
    <x v="0"/>
    <m/>
    <m/>
    <m/>
    <m/>
    <x v="0"/>
    <x v="0"/>
    <m/>
    <m/>
    <m/>
    <s v=""/>
    <m/>
    <s v=""/>
    <s v=""/>
    <m/>
    <s v=""/>
    <s v=""/>
    <s v=""/>
    <s v=""/>
    <s v=""/>
    <s v=""/>
    <s v=""/>
    <s v=""/>
    <s v=""/>
    <s v=""/>
    <s v=""/>
  </r>
  <r>
    <n v="149"/>
    <m/>
    <m/>
    <m/>
    <m/>
    <m/>
    <m/>
    <m/>
    <m/>
    <x v="0"/>
    <x v="0"/>
    <m/>
    <m/>
    <m/>
    <m/>
    <x v="0"/>
    <x v="0"/>
    <m/>
    <m/>
    <m/>
    <s v=""/>
    <m/>
    <s v=""/>
    <s v=""/>
    <m/>
    <s v=""/>
    <s v=""/>
    <s v=""/>
    <s v=""/>
    <s v=""/>
    <s v=""/>
    <s v=""/>
    <s v=""/>
    <s v=""/>
    <s v=""/>
    <s v=""/>
  </r>
  <r>
    <n v="150"/>
    <m/>
    <m/>
    <m/>
    <m/>
    <m/>
    <m/>
    <m/>
    <m/>
    <x v="0"/>
    <x v="0"/>
    <m/>
    <m/>
    <m/>
    <m/>
    <x v="0"/>
    <x v="0"/>
    <m/>
    <m/>
    <m/>
    <s v=""/>
    <m/>
    <s v=""/>
    <s v=""/>
    <m/>
    <s v=""/>
    <s v=""/>
    <s v=""/>
    <s v=""/>
    <s v=""/>
    <s v=""/>
    <s v=""/>
    <s v=""/>
    <s v=""/>
    <s v=""/>
    <s v=""/>
  </r>
  <r>
    <n v="151"/>
    <m/>
    <m/>
    <m/>
    <m/>
    <m/>
    <m/>
    <m/>
    <m/>
    <x v="0"/>
    <x v="0"/>
    <m/>
    <m/>
    <m/>
    <m/>
    <x v="0"/>
    <x v="0"/>
    <m/>
    <m/>
    <m/>
    <s v=""/>
    <m/>
    <s v=""/>
    <s v=""/>
    <m/>
    <s v=""/>
    <s v=""/>
    <s v=""/>
    <s v=""/>
    <s v=""/>
    <s v=""/>
    <s v=""/>
    <s v=""/>
    <s v=""/>
    <s v=""/>
    <s v=""/>
  </r>
  <r>
    <n v="152"/>
    <m/>
    <m/>
    <m/>
    <m/>
    <m/>
    <m/>
    <m/>
    <m/>
    <x v="0"/>
    <x v="0"/>
    <m/>
    <m/>
    <m/>
    <m/>
    <x v="0"/>
    <x v="0"/>
    <m/>
    <m/>
    <m/>
    <s v=""/>
    <m/>
    <s v=""/>
    <s v=""/>
    <m/>
    <s v=""/>
    <s v=""/>
    <s v=""/>
    <s v=""/>
    <s v=""/>
    <s v=""/>
    <s v=""/>
    <s v=""/>
    <s v=""/>
    <s v=""/>
    <s v=""/>
  </r>
  <r>
    <n v="153"/>
    <m/>
    <m/>
    <m/>
    <m/>
    <m/>
    <m/>
    <m/>
    <m/>
    <x v="0"/>
    <x v="0"/>
    <m/>
    <m/>
    <m/>
    <m/>
    <x v="0"/>
    <x v="0"/>
    <m/>
    <m/>
    <m/>
    <s v=""/>
    <m/>
    <s v=""/>
    <s v=""/>
    <m/>
    <s v=""/>
    <s v=""/>
    <s v=""/>
    <s v=""/>
    <s v=""/>
    <s v=""/>
    <s v=""/>
    <s v=""/>
    <s v=""/>
    <s v=""/>
    <s v=""/>
  </r>
  <r>
    <n v="154"/>
    <m/>
    <m/>
    <m/>
    <m/>
    <m/>
    <m/>
    <m/>
    <m/>
    <x v="0"/>
    <x v="0"/>
    <m/>
    <m/>
    <m/>
    <m/>
    <x v="0"/>
    <x v="0"/>
    <m/>
    <m/>
    <m/>
    <s v=""/>
    <m/>
    <s v=""/>
    <s v=""/>
    <m/>
    <s v=""/>
    <s v=""/>
    <s v=""/>
    <s v=""/>
    <s v=""/>
    <s v=""/>
    <s v=""/>
    <s v=""/>
    <s v=""/>
    <s v=""/>
    <s v=""/>
  </r>
  <r>
    <n v="155"/>
    <m/>
    <m/>
    <m/>
    <m/>
    <m/>
    <m/>
    <m/>
    <m/>
    <x v="0"/>
    <x v="0"/>
    <m/>
    <m/>
    <m/>
    <m/>
    <x v="0"/>
    <x v="0"/>
    <m/>
    <m/>
    <m/>
    <s v=""/>
    <m/>
    <s v=""/>
    <s v=""/>
    <m/>
    <s v=""/>
    <s v=""/>
    <s v=""/>
    <s v=""/>
    <s v=""/>
    <s v=""/>
    <s v=""/>
    <s v=""/>
    <s v=""/>
    <s v=""/>
    <s v=""/>
  </r>
  <r>
    <n v="156"/>
    <m/>
    <m/>
    <m/>
    <m/>
    <m/>
    <m/>
    <m/>
    <m/>
    <x v="0"/>
    <x v="0"/>
    <m/>
    <m/>
    <m/>
    <m/>
    <x v="0"/>
    <x v="0"/>
    <m/>
    <m/>
    <m/>
    <s v=""/>
    <m/>
    <s v=""/>
    <s v=""/>
    <m/>
    <s v=""/>
    <s v=""/>
    <s v=""/>
    <s v=""/>
    <s v=""/>
    <s v=""/>
    <s v=""/>
    <s v=""/>
    <s v=""/>
    <s v=""/>
    <s v=""/>
  </r>
  <r>
    <n v="157"/>
    <m/>
    <m/>
    <m/>
    <m/>
    <m/>
    <m/>
    <m/>
    <m/>
    <x v="0"/>
    <x v="0"/>
    <m/>
    <m/>
    <m/>
    <m/>
    <x v="0"/>
    <x v="0"/>
    <m/>
    <m/>
    <m/>
    <s v=""/>
    <m/>
    <s v=""/>
    <s v=""/>
    <m/>
    <s v=""/>
    <s v=""/>
    <s v=""/>
    <s v=""/>
    <s v=""/>
    <s v=""/>
    <s v=""/>
    <s v=""/>
    <s v=""/>
    <s v=""/>
    <s v=""/>
  </r>
  <r>
    <n v="158"/>
    <m/>
    <m/>
    <m/>
    <m/>
    <m/>
    <m/>
    <m/>
    <m/>
    <x v="0"/>
    <x v="0"/>
    <m/>
    <m/>
    <m/>
    <m/>
    <x v="0"/>
    <x v="0"/>
    <m/>
    <m/>
    <m/>
    <s v=""/>
    <m/>
    <s v=""/>
    <s v=""/>
    <m/>
    <s v=""/>
    <s v=""/>
    <s v=""/>
    <s v=""/>
    <s v=""/>
    <s v=""/>
    <s v=""/>
    <s v=""/>
    <s v=""/>
    <s v=""/>
    <s v=""/>
  </r>
  <r>
    <n v="159"/>
    <m/>
    <m/>
    <m/>
    <m/>
    <m/>
    <m/>
    <m/>
    <m/>
    <x v="0"/>
    <x v="0"/>
    <m/>
    <m/>
    <m/>
    <m/>
    <x v="0"/>
    <x v="0"/>
    <m/>
    <m/>
    <m/>
    <s v=""/>
    <m/>
    <s v=""/>
    <s v=""/>
    <m/>
    <s v=""/>
    <s v=""/>
    <s v=""/>
    <s v=""/>
    <s v=""/>
    <s v=""/>
    <s v=""/>
    <s v=""/>
    <s v=""/>
    <s v=""/>
    <s v=""/>
  </r>
  <r>
    <n v="160"/>
    <m/>
    <m/>
    <m/>
    <m/>
    <m/>
    <m/>
    <m/>
    <m/>
    <x v="0"/>
    <x v="0"/>
    <m/>
    <m/>
    <m/>
    <m/>
    <x v="0"/>
    <x v="0"/>
    <m/>
    <m/>
    <m/>
    <s v=""/>
    <m/>
    <s v=""/>
    <s v=""/>
    <m/>
    <s v=""/>
    <s v=""/>
    <s v=""/>
    <s v=""/>
    <s v=""/>
    <s v=""/>
    <s v=""/>
    <s v=""/>
    <s v=""/>
    <s v=""/>
    <s v=""/>
  </r>
  <r>
    <n v="161"/>
    <m/>
    <m/>
    <m/>
    <m/>
    <m/>
    <m/>
    <m/>
    <m/>
    <x v="0"/>
    <x v="0"/>
    <m/>
    <m/>
    <m/>
    <m/>
    <x v="0"/>
    <x v="0"/>
    <m/>
    <m/>
    <m/>
    <s v=""/>
    <m/>
    <s v=""/>
    <s v=""/>
    <m/>
    <s v=""/>
    <s v=""/>
    <s v=""/>
    <s v=""/>
    <s v=""/>
    <s v=""/>
    <s v=""/>
    <s v=""/>
    <s v=""/>
    <s v=""/>
    <s v=""/>
  </r>
  <r>
    <n v="162"/>
    <m/>
    <m/>
    <m/>
    <m/>
    <m/>
    <m/>
    <m/>
    <m/>
    <x v="0"/>
    <x v="0"/>
    <m/>
    <m/>
    <m/>
    <m/>
    <x v="0"/>
    <x v="0"/>
    <m/>
    <m/>
    <m/>
    <s v=""/>
    <m/>
    <s v=""/>
    <s v=""/>
    <m/>
    <s v=""/>
    <s v=""/>
    <s v=""/>
    <s v=""/>
    <s v=""/>
    <s v=""/>
    <s v=""/>
    <s v=""/>
    <s v=""/>
    <s v=""/>
    <s v=""/>
  </r>
  <r>
    <n v="163"/>
    <m/>
    <m/>
    <m/>
    <m/>
    <m/>
    <m/>
    <m/>
    <m/>
    <x v="0"/>
    <x v="0"/>
    <m/>
    <m/>
    <m/>
    <m/>
    <x v="0"/>
    <x v="0"/>
    <m/>
    <m/>
    <m/>
    <s v=""/>
    <m/>
    <s v=""/>
    <s v=""/>
    <m/>
    <s v=""/>
    <s v=""/>
    <s v=""/>
    <s v=""/>
    <s v=""/>
    <s v=""/>
    <s v=""/>
    <s v=""/>
    <s v=""/>
    <s v=""/>
    <s v=""/>
  </r>
  <r>
    <n v="164"/>
    <m/>
    <m/>
    <m/>
    <m/>
    <m/>
    <m/>
    <m/>
    <m/>
    <x v="0"/>
    <x v="0"/>
    <m/>
    <m/>
    <m/>
    <m/>
    <x v="0"/>
    <x v="0"/>
    <m/>
    <m/>
    <m/>
    <s v=""/>
    <m/>
    <s v=""/>
    <s v=""/>
    <m/>
    <s v=""/>
    <s v=""/>
    <s v=""/>
    <s v=""/>
    <s v=""/>
    <s v=""/>
    <s v=""/>
    <s v=""/>
    <s v=""/>
    <s v=""/>
    <s v=""/>
  </r>
  <r>
    <n v="165"/>
    <m/>
    <m/>
    <m/>
    <m/>
    <m/>
    <m/>
    <m/>
    <m/>
    <x v="0"/>
    <x v="0"/>
    <m/>
    <m/>
    <m/>
    <m/>
    <x v="0"/>
    <x v="0"/>
    <m/>
    <m/>
    <m/>
    <s v=""/>
    <m/>
    <s v=""/>
    <s v=""/>
    <m/>
    <s v=""/>
    <s v=""/>
    <s v=""/>
    <s v=""/>
    <s v=""/>
    <s v=""/>
    <s v=""/>
    <s v=""/>
    <s v=""/>
    <s v=""/>
    <s v=""/>
  </r>
  <r>
    <n v="166"/>
    <m/>
    <m/>
    <m/>
    <m/>
    <m/>
    <m/>
    <m/>
    <m/>
    <x v="0"/>
    <x v="0"/>
    <m/>
    <m/>
    <m/>
    <m/>
    <x v="0"/>
    <x v="0"/>
    <m/>
    <m/>
    <m/>
    <s v=""/>
    <m/>
    <s v=""/>
    <s v=""/>
    <m/>
    <s v=""/>
    <s v=""/>
    <s v=""/>
    <s v=""/>
    <s v=""/>
    <s v=""/>
    <s v=""/>
    <s v=""/>
    <s v=""/>
    <s v=""/>
    <s v=""/>
  </r>
  <r>
    <n v="167"/>
    <m/>
    <m/>
    <m/>
    <m/>
    <m/>
    <m/>
    <m/>
    <m/>
    <x v="0"/>
    <x v="0"/>
    <m/>
    <m/>
    <m/>
    <m/>
    <x v="0"/>
    <x v="0"/>
    <m/>
    <m/>
    <m/>
    <s v=""/>
    <m/>
    <s v=""/>
    <s v=""/>
    <m/>
    <s v=""/>
    <s v=""/>
    <s v=""/>
    <s v=""/>
    <s v=""/>
    <s v=""/>
    <s v=""/>
    <s v=""/>
    <s v=""/>
    <s v=""/>
    <s v=""/>
  </r>
  <r>
    <n v="168"/>
    <m/>
    <m/>
    <m/>
    <m/>
    <m/>
    <m/>
    <m/>
    <m/>
    <x v="0"/>
    <x v="0"/>
    <m/>
    <m/>
    <m/>
    <m/>
    <x v="0"/>
    <x v="0"/>
    <m/>
    <m/>
    <m/>
    <s v=""/>
    <m/>
    <s v=""/>
    <s v=""/>
    <m/>
    <s v=""/>
    <s v=""/>
    <s v=""/>
    <s v=""/>
    <s v=""/>
    <s v=""/>
    <s v=""/>
    <s v=""/>
    <s v=""/>
    <s v=""/>
    <s v=""/>
  </r>
  <r>
    <n v="169"/>
    <m/>
    <m/>
    <m/>
    <m/>
    <m/>
    <m/>
    <m/>
    <m/>
    <x v="0"/>
    <x v="0"/>
    <m/>
    <m/>
    <m/>
    <m/>
    <x v="0"/>
    <x v="0"/>
    <m/>
    <m/>
    <m/>
    <s v=""/>
    <m/>
    <s v=""/>
    <s v=""/>
    <m/>
    <s v=""/>
    <s v=""/>
    <s v=""/>
    <s v=""/>
    <s v=""/>
    <s v=""/>
    <s v=""/>
    <s v=""/>
    <s v=""/>
    <s v=""/>
    <s v=""/>
  </r>
  <r>
    <n v="170"/>
    <m/>
    <m/>
    <m/>
    <m/>
    <m/>
    <m/>
    <m/>
    <m/>
    <x v="0"/>
    <x v="0"/>
    <m/>
    <m/>
    <m/>
    <m/>
    <x v="0"/>
    <x v="0"/>
    <m/>
    <m/>
    <m/>
    <s v=""/>
    <m/>
    <s v=""/>
    <s v=""/>
    <m/>
    <s v=""/>
    <s v=""/>
    <s v=""/>
    <s v=""/>
    <s v=""/>
    <s v=""/>
    <s v=""/>
    <s v=""/>
    <s v=""/>
    <s v=""/>
    <s v=""/>
  </r>
  <r>
    <n v="171"/>
    <m/>
    <m/>
    <m/>
    <m/>
    <m/>
    <m/>
    <m/>
    <m/>
    <x v="0"/>
    <x v="0"/>
    <m/>
    <m/>
    <m/>
    <m/>
    <x v="0"/>
    <x v="0"/>
    <m/>
    <m/>
    <m/>
    <s v=""/>
    <m/>
    <s v=""/>
    <s v=""/>
    <m/>
    <s v=""/>
    <s v=""/>
    <s v=""/>
    <s v=""/>
    <s v=""/>
    <s v=""/>
    <s v=""/>
    <s v=""/>
    <s v=""/>
    <s v=""/>
    <s v=""/>
  </r>
  <r>
    <n v="172"/>
    <m/>
    <m/>
    <m/>
    <m/>
    <m/>
    <m/>
    <m/>
    <m/>
    <x v="0"/>
    <x v="0"/>
    <m/>
    <m/>
    <m/>
    <m/>
    <x v="0"/>
    <x v="0"/>
    <m/>
    <m/>
    <m/>
    <s v=""/>
    <m/>
    <s v=""/>
    <s v=""/>
    <m/>
    <s v=""/>
    <s v=""/>
    <s v=""/>
    <s v=""/>
    <s v=""/>
    <s v=""/>
    <s v=""/>
    <s v=""/>
    <s v=""/>
    <s v=""/>
    <s v=""/>
  </r>
  <r>
    <n v="173"/>
    <m/>
    <m/>
    <m/>
    <m/>
    <m/>
    <m/>
    <m/>
    <m/>
    <x v="0"/>
    <x v="0"/>
    <m/>
    <m/>
    <m/>
    <m/>
    <x v="0"/>
    <x v="0"/>
    <m/>
    <m/>
    <m/>
    <s v=""/>
    <m/>
    <s v=""/>
    <s v=""/>
    <m/>
    <s v=""/>
    <s v=""/>
    <s v=""/>
    <s v=""/>
    <s v=""/>
    <s v=""/>
    <s v=""/>
    <s v=""/>
    <s v=""/>
    <s v=""/>
    <s v=""/>
  </r>
  <r>
    <n v="174"/>
    <m/>
    <m/>
    <m/>
    <m/>
    <m/>
    <m/>
    <m/>
    <m/>
    <x v="0"/>
    <x v="0"/>
    <m/>
    <m/>
    <m/>
    <m/>
    <x v="0"/>
    <x v="0"/>
    <m/>
    <m/>
    <m/>
    <s v=""/>
    <m/>
    <s v=""/>
    <s v=""/>
    <m/>
    <s v=""/>
    <s v=""/>
    <s v=""/>
    <s v=""/>
    <s v=""/>
    <s v=""/>
    <s v=""/>
    <s v=""/>
    <s v=""/>
    <s v=""/>
    <s v=""/>
  </r>
  <r>
    <n v="175"/>
    <m/>
    <m/>
    <m/>
    <m/>
    <m/>
    <m/>
    <m/>
    <m/>
    <x v="0"/>
    <x v="0"/>
    <m/>
    <m/>
    <m/>
    <m/>
    <x v="0"/>
    <x v="0"/>
    <m/>
    <m/>
    <m/>
    <s v=""/>
    <m/>
    <s v=""/>
    <s v=""/>
    <m/>
    <s v=""/>
    <s v=""/>
    <s v=""/>
    <s v=""/>
    <s v=""/>
    <s v=""/>
    <s v=""/>
    <s v=""/>
    <s v=""/>
    <s v=""/>
    <s v=""/>
  </r>
  <r>
    <n v="176"/>
    <m/>
    <m/>
    <m/>
    <m/>
    <m/>
    <m/>
    <m/>
    <m/>
    <x v="0"/>
    <x v="0"/>
    <m/>
    <m/>
    <m/>
    <m/>
    <x v="0"/>
    <x v="0"/>
    <m/>
    <m/>
    <m/>
    <s v=""/>
    <m/>
    <s v=""/>
    <s v=""/>
    <m/>
    <s v=""/>
    <s v=""/>
    <s v=""/>
    <s v=""/>
    <s v=""/>
    <s v=""/>
    <s v=""/>
    <s v=""/>
    <s v=""/>
    <s v=""/>
    <s v=""/>
  </r>
  <r>
    <n v="177"/>
    <m/>
    <m/>
    <m/>
    <m/>
    <m/>
    <m/>
    <m/>
    <m/>
    <x v="0"/>
    <x v="0"/>
    <m/>
    <m/>
    <m/>
    <m/>
    <x v="0"/>
    <x v="0"/>
    <m/>
    <m/>
    <m/>
    <s v=""/>
    <m/>
    <s v=""/>
    <s v=""/>
    <m/>
    <s v=""/>
    <s v=""/>
    <s v=""/>
    <s v=""/>
    <s v=""/>
    <s v=""/>
    <s v=""/>
    <s v=""/>
    <s v=""/>
    <s v=""/>
    <s v=""/>
  </r>
  <r>
    <n v="178"/>
    <m/>
    <m/>
    <m/>
    <m/>
    <m/>
    <m/>
    <m/>
    <m/>
    <x v="0"/>
    <x v="0"/>
    <m/>
    <m/>
    <m/>
    <m/>
    <x v="0"/>
    <x v="0"/>
    <m/>
    <m/>
    <m/>
    <s v=""/>
    <m/>
    <s v=""/>
    <s v=""/>
    <m/>
    <s v=""/>
    <s v=""/>
    <s v=""/>
    <s v=""/>
    <s v=""/>
    <s v=""/>
    <s v=""/>
    <s v=""/>
    <s v=""/>
    <s v=""/>
    <s v=""/>
  </r>
  <r>
    <n v="179"/>
    <m/>
    <m/>
    <m/>
    <m/>
    <m/>
    <m/>
    <m/>
    <m/>
    <x v="0"/>
    <x v="0"/>
    <m/>
    <m/>
    <m/>
    <m/>
    <x v="0"/>
    <x v="0"/>
    <m/>
    <m/>
    <m/>
    <s v=""/>
    <m/>
    <s v=""/>
    <s v=""/>
    <m/>
    <s v=""/>
    <s v=""/>
    <s v=""/>
    <s v=""/>
    <s v=""/>
    <s v=""/>
    <s v=""/>
    <s v=""/>
    <s v=""/>
    <s v=""/>
    <s v=""/>
  </r>
  <r>
    <n v="180"/>
    <m/>
    <m/>
    <m/>
    <m/>
    <m/>
    <m/>
    <m/>
    <m/>
    <x v="0"/>
    <x v="0"/>
    <m/>
    <m/>
    <m/>
    <m/>
    <x v="0"/>
    <x v="0"/>
    <m/>
    <m/>
    <m/>
    <s v=""/>
    <m/>
    <s v=""/>
    <s v=""/>
    <m/>
    <s v=""/>
    <s v=""/>
    <s v=""/>
    <s v=""/>
    <s v=""/>
    <s v=""/>
    <s v=""/>
    <s v=""/>
    <s v=""/>
    <s v=""/>
    <s v=""/>
  </r>
  <r>
    <n v="181"/>
    <m/>
    <m/>
    <m/>
    <m/>
    <m/>
    <m/>
    <m/>
    <m/>
    <x v="0"/>
    <x v="0"/>
    <m/>
    <m/>
    <m/>
    <m/>
    <x v="0"/>
    <x v="0"/>
    <m/>
    <m/>
    <m/>
    <s v=""/>
    <m/>
    <s v=""/>
    <s v=""/>
    <m/>
    <s v=""/>
    <s v=""/>
    <s v=""/>
    <s v=""/>
    <s v=""/>
    <s v=""/>
    <s v=""/>
    <s v=""/>
    <s v=""/>
    <s v=""/>
    <s v=""/>
  </r>
  <r>
    <n v="182"/>
    <m/>
    <m/>
    <m/>
    <m/>
    <m/>
    <m/>
    <m/>
    <m/>
    <x v="0"/>
    <x v="0"/>
    <m/>
    <m/>
    <m/>
    <m/>
    <x v="0"/>
    <x v="0"/>
    <m/>
    <m/>
    <m/>
    <s v=""/>
    <m/>
    <s v=""/>
    <s v=""/>
    <m/>
    <s v=""/>
    <s v=""/>
    <s v=""/>
    <s v=""/>
    <s v=""/>
    <s v=""/>
    <s v=""/>
    <s v=""/>
    <s v=""/>
    <s v=""/>
    <s v=""/>
  </r>
  <r>
    <n v="183"/>
    <m/>
    <m/>
    <m/>
    <m/>
    <m/>
    <m/>
    <m/>
    <m/>
    <x v="0"/>
    <x v="0"/>
    <m/>
    <m/>
    <m/>
    <m/>
    <x v="0"/>
    <x v="0"/>
    <m/>
    <m/>
    <m/>
    <s v=""/>
    <m/>
    <s v=""/>
    <s v=""/>
    <m/>
    <s v=""/>
    <s v=""/>
    <s v=""/>
    <s v=""/>
    <s v=""/>
    <s v=""/>
    <s v=""/>
    <s v=""/>
    <s v=""/>
    <s v=""/>
    <s v=""/>
  </r>
  <r>
    <n v="184"/>
    <m/>
    <m/>
    <m/>
    <m/>
    <m/>
    <m/>
    <m/>
    <m/>
    <x v="0"/>
    <x v="0"/>
    <m/>
    <m/>
    <m/>
    <m/>
    <x v="0"/>
    <x v="0"/>
    <m/>
    <m/>
    <m/>
    <s v=""/>
    <m/>
    <s v=""/>
    <s v=""/>
    <m/>
    <s v=""/>
    <s v=""/>
    <s v=""/>
    <s v=""/>
    <s v=""/>
    <s v=""/>
    <s v=""/>
    <s v=""/>
    <s v=""/>
    <s v=""/>
    <s v=""/>
  </r>
  <r>
    <n v="185"/>
    <m/>
    <m/>
    <m/>
    <m/>
    <m/>
    <m/>
    <m/>
    <m/>
    <x v="0"/>
    <x v="0"/>
    <m/>
    <m/>
    <m/>
    <m/>
    <x v="0"/>
    <x v="0"/>
    <m/>
    <m/>
    <m/>
    <s v=""/>
    <m/>
    <s v=""/>
    <s v=""/>
    <m/>
    <s v=""/>
    <s v=""/>
    <s v=""/>
    <s v=""/>
    <s v=""/>
    <s v=""/>
    <s v=""/>
    <s v=""/>
    <s v=""/>
    <s v=""/>
    <s v=""/>
  </r>
  <r>
    <n v="186"/>
    <m/>
    <m/>
    <m/>
    <m/>
    <m/>
    <m/>
    <m/>
    <m/>
    <x v="0"/>
    <x v="0"/>
    <m/>
    <m/>
    <m/>
    <m/>
    <x v="0"/>
    <x v="0"/>
    <m/>
    <m/>
    <m/>
    <s v=""/>
    <m/>
    <s v=""/>
    <s v=""/>
    <m/>
    <s v=""/>
    <s v=""/>
    <s v=""/>
    <s v=""/>
    <s v=""/>
    <s v=""/>
    <s v=""/>
    <s v=""/>
    <s v=""/>
    <s v=""/>
    <s v=""/>
  </r>
  <r>
    <n v="187"/>
    <m/>
    <m/>
    <m/>
    <m/>
    <m/>
    <m/>
    <m/>
    <m/>
    <x v="0"/>
    <x v="0"/>
    <m/>
    <m/>
    <m/>
    <m/>
    <x v="0"/>
    <x v="0"/>
    <m/>
    <m/>
    <m/>
    <s v=""/>
    <m/>
    <s v=""/>
    <s v=""/>
    <m/>
    <s v=""/>
    <s v=""/>
    <s v=""/>
    <s v=""/>
    <s v=""/>
    <s v=""/>
    <s v=""/>
    <s v=""/>
    <s v=""/>
    <s v=""/>
    <s v=""/>
  </r>
  <r>
    <n v="188"/>
    <m/>
    <m/>
    <m/>
    <m/>
    <m/>
    <m/>
    <m/>
    <m/>
    <x v="0"/>
    <x v="0"/>
    <m/>
    <m/>
    <m/>
    <m/>
    <x v="0"/>
    <x v="0"/>
    <m/>
    <m/>
    <m/>
    <s v=""/>
    <m/>
    <s v=""/>
    <s v=""/>
    <m/>
    <s v=""/>
    <s v=""/>
    <s v=""/>
    <s v=""/>
    <s v=""/>
    <s v=""/>
    <s v=""/>
    <s v=""/>
    <s v=""/>
    <s v=""/>
    <s v=""/>
  </r>
  <r>
    <n v="189"/>
    <m/>
    <m/>
    <m/>
    <m/>
    <m/>
    <m/>
    <m/>
    <m/>
    <x v="0"/>
    <x v="0"/>
    <m/>
    <m/>
    <m/>
    <m/>
    <x v="0"/>
    <x v="0"/>
    <m/>
    <m/>
    <m/>
    <s v=""/>
    <m/>
    <s v=""/>
    <s v=""/>
    <m/>
    <s v=""/>
    <s v=""/>
    <s v=""/>
    <s v=""/>
    <s v=""/>
    <s v=""/>
    <s v=""/>
    <s v=""/>
    <s v=""/>
    <s v=""/>
    <s v=""/>
  </r>
  <r>
    <n v="190"/>
    <m/>
    <m/>
    <m/>
    <m/>
    <m/>
    <m/>
    <m/>
    <m/>
    <x v="0"/>
    <x v="0"/>
    <m/>
    <m/>
    <m/>
    <m/>
    <x v="0"/>
    <x v="0"/>
    <m/>
    <m/>
    <m/>
    <s v=""/>
    <m/>
    <s v=""/>
    <s v=""/>
    <m/>
    <s v=""/>
    <s v=""/>
    <s v=""/>
    <s v=""/>
    <s v=""/>
    <s v=""/>
    <s v=""/>
    <s v=""/>
    <s v=""/>
    <s v=""/>
    <s v=""/>
  </r>
  <r>
    <n v="191"/>
    <m/>
    <m/>
    <m/>
    <m/>
    <m/>
    <m/>
    <m/>
    <m/>
    <x v="0"/>
    <x v="0"/>
    <m/>
    <m/>
    <m/>
    <m/>
    <x v="0"/>
    <x v="0"/>
    <m/>
    <m/>
    <m/>
    <s v=""/>
    <m/>
    <s v=""/>
    <s v=""/>
    <m/>
    <s v=""/>
    <s v=""/>
    <s v=""/>
    <s v=""/>
    <s v=""/>
    <s v=""/>
    <s v=""/>
    <s v=""/>
    <s v=""/>
    <s v=""/>
    <s v=""/>
  </r>
  <r>
    <n v="192"/>
    <m/>
    <m/>
    <m/>
    <m/>
    <m/>
    <m/>
    <m/>
    <m/>
    <x v="0"/>
    <x v="0"/>
    <m/>
    <m/>
    <m/>
    <m/>
    <x v="0"/>
    <x v="0"/>
    <m/>
    <m/>
    <m/>
    <s v=""/>
    <m/>
    <s v=""/>
    <s v=""/>
    <m/>
    <s v=""/>
    <s v=""/>
    <s v=""/>
    <s v=""/>
    <s v=""/>
    <s v=""/>
    <s v=""/>
    <s v=""/>
    <s v=""/>
    <s v=""/>
    <s v=""/>
  </r>
  <r>
    <n v="193"/>
    <m/>
    <m/>
    <m/>
    <m/>
    <m/>
    <m/>
    <m/>
    <m/>
    <x v="0"/>
    <x v="0"/>
    <m/>
    <m/>
    <m/>
    <m/>
    <x v="0"/>
    <x v="0"/>
    <m/>
    <m/>
    <m/>
    <s v=""/>
    <m/>
    <s v=""/>
    <s v=""/>
    <m/>
    <s v=""/>
    <s v=""/>
    <s v=""/>
    <s v=""/>
    <s v=""/>
    <s v=""/>
    <s v=""/>
    <s v=""/>
    <s v=""/>
    <s v=""/>
    <s v=""/>
  </r>
  <r>
    <n v="194"/>
    <m/>
    <m/>
    <m/>
    <m/>
    <m/>
    <m/>
    <m/>
    <m/>
    <x v="0"/>
    <x v="0"/>
    <m/>
    <m/>
    <m/>
    <m/>
    <x v="0"/>
    <x v="0"/>
    <m/>
    <m/>
    <m/>
    <s v=""/>
    <m/>
    <s v=""/>
    <s v=""/>
    <m/>
    <s v=""/>
    <s v=""/>
    <s v=""/>
    <s v=""/>
    <s v=""/>
    <s v=""/>
    <s v=""/>
    <s v=""/>
    <s v=""/>
    <s v=""/>
    <s v=""/>
  </r>
  <r>
    <n v="195"/>
    <m/>
    <m/>
    <m/>
    <m/>
    <m/>
    <m/>
    <m/>
    <m/>
    <x v="0"/>
    <x v="0"/>
    <m/>
    <m/>
    <m/>
    <m/>
    <x v="0"/>
    <x v="0"/>
    <m/>
    <m/>
    <m/>
    <s v=""/>
    <m/>
    <s v=""/>
    <s v=""/>
    <m/>
    <s v=""/>
    <s v=""/>
    <s v=""/>
    <s v=""/>
    <s v=""/>
    <s v=""/>
    <s v=""/>
    <s v=""/>
    <s v=""/>
    <s v=""/>
    <s v=""/>
  </r>
  <r>
    <n v="196"/>
    <m/>
    <m/>
    <m/>
    <m/>
    <m/>
    <m/>
    <m/>
    <m/>
    <x v="0"/>
    <x v="0"/>
    <m/>
    <m/>
    <m/>
    <m/>
    <x v="0"/>
    <x v="0"/>
    <m/>
    <m/>
    <m/>
    <s v=""/>
    <m/>
    <s v=""/>
    <s v=""/>
    <m/>
    <s v=""/>
    <s v=""/>
    <s v=""/>
    <s v=""/>
    <s v=""/>
    <s v=""/>
    <s v=""/>
    <s v=""/>
    <s v=""/>
    <s v=""/>
    <s v=""/>
  </r>
  <r>
    <n v="197"/>
    <m/>
    <m/>
    <m/>
    <m/>
    <m/>
    <m/>
    <m/>
    <m/>
    <x v="0"/>
    <x v="0"/>
    <m/>
    <m/>
    <m/>
    <m/>
    <x v="0"/>
    <x v="0"/>
    <m/>
    <m/>
    <m/>
    <s v=""/>
    <m/>
    <s v=""/>
    <s v=""/>
    <m/>
    <s v=""/>
    <s v=""/>
    <s v=""/>
    <s v=""/>
    <s v=""/>
    <s v=""/>
    <s v=""/>
    <s v=""/>
    <s v=""/>
    <s v=""/>
    <s v=""/>
  </r>
  <r>
    <n v="198"/>
    <m/>
    <m/>
    <m/>
    <m/>
    <m/>
    <m/>
    <m/>
    <m/>
    <x v="0"/>
    <x v="0"/>
    <m/>
    <m/>
    <m/>
    <m/>
    <x v="0"/>
    <x v="0"/>
    <m/>
    <m/>
    <m/>
    <s v=""/>
    <m/>
    <s v=""/>
    <s v=""/>
    <m/>
    <s v=""/>
    <s v=""/>
    <s v=""/>
    <s v=""/>
    <s v=""/>
    <s v=""/>
    <s v=""/>
    <s v=""/>
    <s v=""/>
    <s v=""/>
    <s v=""/>
  </r>
  <r>
    <n v="199"/>
    <m/>
    <m/>
    <m/>
    <m/>
    <m/>
    <m/>
    <m/>
    <m/>
    <x v="0"/>
    <x v="0"/>
    <m/>
    <m/>
    <m/>
    <m/>
    <x v="0"/>
    <x v="0"/>
    <m/>
    <m/>
    <m/>
    <s v=""/>
    <m/>
    <s v=""/>
    <s v=""/>
    <m/>
    <s v=""/>
    <s v=""/>
    <s v=""/>
    <s v=""/>
    <s v=""/>
    <s v=""/>
    <s v=""/>
    <s v=""/>
    <s v=""/>
    <s v=""/>
    <s v=""/>
  </r>
  <r>
    <n v="200"/>
    <m/>
    <m/>
    <m/>
    <m/>
    <m/>
    <m/>
    <m/>
    <m/>
    <x v="0"/>
    <x v="0"/>
    <m/>
    <m/>
    <m/>
    <m/>
    <x v="0"/>
    <x v="0"/>
    <m/>
    <m/>
    <m/>
    <s v=""/>
    <m/>
    <s v=""/>
    <s v=""/>
    <m/>
    <s v=""/>
    <s v=""/>
    <s v=""/>
    <s v=""/>
    <s v=""/>
    <s v=""/>
    <s v=""/>
    <s v=""/>
    <s v=""/>
    <s v=""/>
    <s v=""/>
  </r>
  <r>
    <n v="201"/>
    <m/>
    <m/>
    <m/>
    <m/>
    <m/>
    <m/>
    <m/>
    <m/>
    <x v="0"/>
    <x v="0"/>
    <m/>
    <m/>
    <m/>
    <m/>
    <x v="0"/>
    <x v="0"/>
    <m/>
    <m/>
    <m/>
    <s v=""/>
    <m/>
    <s v=""/>
    <s v=""/>
    <m/>
    <s v=""/>
    <s v=""/>
    <s v=""/>
    <s v=""/>
    <s v=""/>
    <s v=""/>
    <s v=""/>
    <s v=""/>
    <s v=""/>
    <s v=""/>
    <s v=""/>
  </r>
  <r>
    <n v="202"/>
    <m/>
    <m/>
    <m/>
    <m/>
    <m/>
    <m/>
    <m/>
    <m/>
    <x v="0"/>
    <x v="0"/>
    <m/>
    <m/>
    <m/>
    <m/>
    <x v="0"/>
    <x v="0"/>
    <m/>
    <m/>
    <m/>
    <s v=""/>
    <m/>
    <s v=""/>
    <s v=""/>
    <m/>
    <s v=""/>
    <s v=""/>
    <s v=""/>
    <s v=""/>
    <s v=""/>
    <s v=""/>
    <s v=""/>
    <s v=""/>
    <s v=""/>
    <s v=""/>
    <s v=""/>
  </r>
  <r>
    <n v="203"/>
    <m/>
    <m/>
    <m/>
    <m/>
    <m/>
    <m/>
    <m/>
    <m/>
    <x v="0"/>
    <x v="0"/>
    <m/>
    <m/>
    <m/>
    <m/>
    <x v="0"/>
    <x v="0"/>
    <m/>
    <m/>
    <m/>
    <s v=""/>
    <m/>
    <s v=""/>
    <s v=""/>
    <m/>
    <s v=""/>
    <s v=""/>
    <s v=""/>
    <s v=""/>
    <s v=""/>
    <s v=""/>
    <s v=""/>
    <s v=""/>
    <s v=""/>
    <s v=""/>
    <s v=""/>
  </r>
  <r>
    <n v="204"/>
    <m/>
    <m/>
    <m/>
    <m/>
    <m/>
    <m/>
    <m/>
    <m/>
    <x v="0"/>
    <x v="0"/>
    <m/>
    <m/>
    <m/>
    <m/>
    <x v="0"/>
    <x v="0"/>
    <m/>
    <m/>
    <m/>
    <s v=""/>
    <m/>
    <s v=""/>
    <s v=""/>
    <m/>
    <s v=""/>
    <s v=""/>
    <s v=""/>
    <s v=""/>
    <s v=""/>
    <s v=""/>
    <s v=""/>
    <s v=""/>
    <s v=""/>
    <s v=""/>
    <s v=""/>
  </r>
  <r>
    <n v="205"/>
    <m/>
    <m/>
    <m/>
    <m/>
    <m/>
    <m/>
    <m/>
    <m/>
    <x v="0"/>
    <x v="0"/>
    <m/>
    <m/>
    <m/>
    <m/>
    <x v="0"/>
    <x v="0"/>
    <m/>
    <m/>
    <m/>
    <s v=""/>
    <m/>
    <s v=""/>
    <s v=""/>
    <m/>
    <s v=""/>
    <s v=""/>
    <s v=""/>
    <s v=""/>
    <s v=""/>
    <s v=""/>
    <s v=""/>
    <s v=""/>
    <s v=""/>
    <s v=""/>
    <s v=""/>
  </r>
  <r>
    <n v="206"/>
    <m/>
    <m/>
    <m/>
    <m/>
    <m/>
    <m/>
    <m/>
    <m/>
    <x v="0"/>
    <x v="0"/>
    <m/>
    <m/>
    <m/>
    <m/>
    <x v="0"/>
    <x v="0"/>
    <m/>
    <m/>
    <m/>
    <s v=""/>
    <m/>
    <s v=""/>
    <s v=""/>
    <m/>
    <s v=""/>
    <s v=""/>
    <s v=""/>
    <s v=""/>
    <s v=""/>
    <s v=""/>
    <s v=""/>
    <s v=""/>
    <s v=""/>
    <s v=""/>
    <s v=""/>
  </r>
  <r>
    <n v="207"/>
    <m/>
    <m/>
    <m/>
    <m/>
    <m/>
    <m/>
    <m/>
    <m/>
    <x v="0"/>
    <x v="0"/>
    <m/>
    <m/>
    <m/>
    <m/>
    <x v="0"/>
    <x v="0"/>
    <m/>
    <m/>
    <m/>
    <s v=""/>
    <m/>
    <s v=""/>
    <s v=""/>
    <m/>
    <s v=""/>
    <s v=""/>
    <s v=""/>
    <s v=""/>
    <s v=""/>
    <s v=""/>
    <s v=""/>
    <s v=""/>
    <s v=""/>
    <s v=""/>
    <s v=""/>
  </r>
  <r>
    <n v="208"/>
    <m/>
    <m/>
    <m/>
    <m/>
    <m/>
    <m/>
    <m/>
    <m/>
    <x v="0"/>
    <x v="0"/>
    <m/>
    <m/>
    <m/>
    <m/>
    <x v="0"/>
    <x v="0"/>
    <m/>
    <m/>
    <m/>
    <s v=""/>
    <m/>
    <s v=""/>
    <s v=""/>
    <m/>
    <s v=""/>
    <s v=""/>
    <s v=""/>
    <s v=""/>
    <s v=""/>
    <s v=""/>
    <s v=""/>
    <s v=""/>
    <s v=""/>
    <s v=""/>
    <s v=""/>
  </r>
  <r>
    <n v="209"/>
    <m/>
    <m/>
    <m/>
    <m/>
    <m/>
    <m/>
    <m/>
    <m/>
    <x v="0"/>
    <x v="0"/>
    <m/>
    <m/>
    <m/>
    <m/>
    <x v="0"/>
    <x v="0"/>
    <m/>
    <m/>
    <m/>
    <s v=""/>
    <m/>
    <s v=""/>
    <s v=""/>
    <m/>
    <s v=""/>
    <s v=""/>
    <s v=""/>
    <s v=""/>
    <s v=""/>
    <s v=""/>
    <s v=""/>
    <s v=""/>
    <s v=""/>
    <s v=""/>
    <s v=""/>
  </r>
  <r>
    <n v="210"/>
    <m/>
    <m/>
    <m/>
    <m/>
    <m/>
    <m/>
    <m/>
    <m/>
    <x v="0"/>
    <x v="0"/>
    <m/>
    <m/>
    <m/>
    <m/>
    <x v="0"/>
    <x v="0"/>
    <m/>
    <m/>
    <m/>
    <s v=""/>
    <m/>
    <s v=""/>
    <s v=""/>
    <m/>
    <s v=""/>
    <s v=""/>
    <s v=""/>
    <s v=""/>
    <s v=""/>
    <s v=""/>
    <s v=""/>
    <s v=""/>
    <s v=""/>
    <s v=""/>
    <s v=""/>
  </r>
  <r>
    <n v="211"/>
    <m/>
    <m/>
    <m/>
    <m/>
    <m/>
    <m/>
    <m/>
    <m/>
    <x v="0"/>
    <x v="0"/>
    <m/>
    <m/>
    <m/>
    <m/>
    <x v="0"/>
    <x v="0"/>
    <m/>
    <m/>
    <m/>
    <s v=""/>
    <m/>
    <s v=""/>
    <s v=""/>
    <m/>
    <s v=""/>
    <s v=""/>
    <s v=""/>
    <s v=""/>
    <s v=""/>
    <s v=""/>
    <s v=""/>
    <s v=""/>
    <s v=""/>
    <s v=""/>
    <s v=""/>
  </r>
  <r>
    <n v="212"/>
    <m/>
    <m/>
    <m/>
    <m/>
    <m/>
    <m/>
    <m/>
    <m/>
    <x v="0"/>
    <x v="0"/>
    <m/>
    <m/>
    <m/>
    <m/>
    <x v="0"/>
    <x v="0"/>
    <m/>
    <m/>
    <m/>
    <s v=""/>
    <m/>
    <s v=""/>
    <s v=""/>
    <m/>
    <s v=""/>
    <s v=""/>
    <s v=""/>
    <s v=""/>
    <s v=""/>
    <s v=""/>
    <s v=""/>
    <s v=""/>
    <s v=""/>
    <s v=""/>
    <s v=""/>
  </r>
  <r>
    <n v="213"/>
    <m/>
    <m/>
    <m/>
    <m/>
    <m/>
    <m/>
    <m/>
    <m/>
    <x v="0"/>
    <x v="0"/>
    <m/>
    <m/>
    <m/>
    <m/>
    <x v="0"/>
    <x v="0"/>
    <m/>
    <m/>
    <m/>
    <s v=""/>
    <m/>
    <s v=""/>
    <s v=""/>
    <m/>
    <s v=""/>
    <s v=""/>
    <s v=""/>
    <s v=""/>
    <s v=""/>
    <s v=""/>
    <s v=""/>
    <s v=""/>
    <s v=""/>
    <s v=""/>
    <s v=""/>
  </r>
  <r>
    <n v="214"/>
    <m/>
    <m/>
    <m/>
    <m/>
    <m/>
    <m/>
    <m/>
    <m/>
    <x v="0"/>
    <x v="0"/>
    <m/>
    <m/>
    <m/>
    <m/>
    <x v="0"/>
    <x v="0"/>
    <m/>
    <m/>
    <m/>
    <s v=""/>
    <m/>
    <s v=""/>
    <s v=""/>
    <m/>
    <s v=""/>
    <s v=""/>
    <s v=""/>
    <s v=""/>
    <s v=""/>
    <s v=""/>
    <s v=""/>
    <s v=""/>
    <s v=""/>
    <s v=""/>
    <s v=""/>
  </r>
  <r>
    <n v="215"/>
    <m/>
    <m/>
    <m/>
    <m/>
    <m/>
    <m/>
    <m/>
    <m/>
    <x v="0"/>
    <x v="0"/>
    <m/>
    <m/>
    <m/>
    <m/>
    <x v="0"/>
    <x v="0"/>
    <m/>
    <m/>
    <m/>
    <s v=""/>
    <m/>
    <s v=""/>
    <s v=""/>
    <m/>
    <s v=""/>
    <s v=""/>
    <s v=""/>
    <s v=""/>
    <s v=""/>
    <s v=""/>
    <s v=""/>
    <s v=""/>
    <s v=""/>
    <s v=""/>
    <s v=""/>
  </r>
  <r>
    <n v="216"/>
    <m/>
    <m/>
    <m/>
    <m/>
    <m/>
    <m/>
    <m/>
    <m/>
    <x v="0"/>
    <x v="0"/>
    <m/>
    <m/>
    <m/>
    <m/>
    <x v="0"/>
    <x v="0"/>
    <m/>
    <m/>
    <m/>
    <s v=""/>
    <m/>
    <s v=""/>
    <s v=""/>
    <m/>
    <s v=""/>
    <s v=""/>
    <s v=""/>
    <s v=""/>
    <s v=""/>
    <s v=""/>
    <s v=""/>
    <s v=""/>
    <s v=""/>
    <s v=""/>
    <s v=""/>
  </r>
  <r>
    <n v="217"/>
    <m/>
    <m/>
    <m/>
    <m/>
    <m/>
    <m/>
    <m/>
    <m/>
    <x v="0"/>
    <x v="0"/>
    <m/>
    <m/>
    <m/>
    <m/>
    <x v="0"/>
    <x v="0"/>
    <m/>
    <m/>
    <m/>
    <s v=""/>
    <m/>
    <s v=""/>
    <s v=""/>
    <m/>
    <s v=""/>
    <s v=""/>
    <s v=""/>
    <s v=""/>
    <s v=""/>
    <s v=""/>
    <s v=""/>
    <s v=""/>
    <s v=""/>
    <s v=""/>
    <s v=""/>
  </r>
  <r>
    <n v="218"/>
    <m/>
    <m/>
    <m/>
    <m/>
    <m/>
    <m/>
    <m/>
    <m/>
    <x v="0"/>
    <x v="0"/>
    <m/>
    <m/>
    <m/>
    <m/>
    <x v="0"/>
    <x v="0"/>
    <m/>
    <m/>
    <m/>
    <s v=""/>
    <m/>
    <s v=""/>
    <s v=""/>
    <m/>
    <s v=""/>
    <s v=""/>
    <s v=""/>
    <s v=""/>
    <s v=""/>
    <s v=""/>
    <s v=""/>
    <s v=""/>
    <s v=""/>
    <s v=""/>
    <s v=""/>
  </r>
  <r>
    <n v="219"/>
    <m/>
    <m/>
    <m/>
    <m/>
    <m/>
    <m/>
    <m/>
    <m/>
    <x v="0"/>
    <x v="0"/>
    <m/>
    <m/>
    <m/>
    <m/>
    <x v="0"/>
    <x v="0"/>
    <m/>
    <m/>
    <m/>
    <s v=""/>
    <m/>
    <s v=""/>
    <s v=""/>
    <m/>
    <s v=""/>
    <s v=""/>
    <s v=""/>
    <s v=""/>
    <s v=""/>
    <s v=""/>
    <s v=""/>
    <s v=""/>
    <s v=""/>
    <s v=""/>
    <s v=""/>
  </r>
  <r>
    <n v="220"/>
    <m/>
    <m/>
    <m/>
    <m/>
    <m/>
    <m/>
    <m/>
    <m/>
    <x v="0"/>
    <x v="0"/>
    <m/>
    <m/>
    <m/>
    <m/>
    <x v="0"/>
    <x v="0"/>
    <m/>
    <m/>
    <m/>
    <s v=""/>
    <m/>
    <s v=""/>
    <s v=""/>
    <m/>
    <s v=""/>
    <s v=""/>
    <s v=""/>
    <s v=""/>
    <s v=""/>
    <s v=""/>
    <s v=""/>
    <s v=""/>
    <s v=""/>
    <s v=""/>
    <s v=""/>
  </r>
  <r>
    <n v="221"/>
    <m/>
    <m/>
    <m/>
    <m/>
    <m/>
    <m/>
    <m/>
    <m/>
    <x v="0"/>
    <x v="0"/>
    <m/>
    <m/>
    <m/>
    <m/>
    <x v="0"/>
    <x v="0"/>
    <m/>
    <m/>
    <m/>
    <s v=""/>
    <m/>
    <s v=""/>
    <s v=""/>
    <m/>
    <s v=""/>
    <s v=""/>
    <s v=""/>
    <s v=""/>
    <s v=""/>
    <s v=""/>
    <s v=""/>
    <s v=""/>
    <s v=""/>
    <s v=""/>
    <s v=""/>
  </r>
  <r>
    <n v="222"/>
    <m/>
    <m/>
    <m/>
    <m/>
    <m/>
    <m/>
    <m/>
    <m/>
    <x v="0"/>
    <x v="0"/>
    <m/>
    <m/>
    <m/>
    <m/>
    <x v="0"/>
    <x v="0"/>
    <m/>
    <m/>
    <m/>
    <s v=""/>
    <m/>
    <s v=""/>
    <s v=""/>
    <m/>
    <s v=""/>
    <s v=""/>
    <s v=""/>
    <s v=""/>
    <s v=""/>
    <s v=""/>
    <s v=""/>
    <s v=""/>
    <s v=""/>
    <s v=""/>
    <s v=""/>
  </r>
  <r>
    <n v="223"/>
    <m/>
    <m/>
    <m/>
    <m/>
    <m/>
    <m/>
    <m/>
    <m/>
    <x v="0"/>
    <x v="0"/>
    <m/>
    <m/>
    <m/>
    <m/>
    <x v="0"/>
    <x v="0"/>
    <m/>
    <m/>
    <m/>
    <s v=""/>
    <m/>
    <s v=""/>
    <s v=""/>
    <m/>
    <s v=""/>
    <s v=""/>
    <s v=""/>
    <s v=""/>
    <s v=""/>
    <s v=""/>
    <s v=""/>
    <s v=""/>
    <s v=""/>
    <s v=""/>
    <s v=""/>
  </r>
  <r>
    <n v="224"/>
    <m/>
    <m/>
    <m/>
    <m/>
    <m/>
    <m/>
    <m/>
    <m/>
    <x v="0"/>
    <x v="0"/>
    <m/>
    <m/>
    <m/>
    <m/>
    <x v="0"/>
    <x v="0"/>
    <m/>
    <m/>
    <m/>
    <s v=""/>
    <m/>
    <s v=""/>
    <s v=""/>
    <m/>
    <s v=""/>
    <s v=""/>
    <s v=""/>
    <s v=""/>
    <s v=""/>
    <s v=""/>
    <s v=""/>
    <s v=""/>
    <s v=""/>
    <s v=""/>
    <s v=""/>
  </r>
  <r>
    <n v="225"/>
    <m/>
    <m/>
    <m/>
    <m/>
    <m/>
    <m/>
    <m/>
    <m/>
    <x v="0"/>
    <x v="0"/>
    <m/>
    <m/>
    <m/>
    <m/>
    <x v="0"/>
    <x v="0"/>
    <m/>
    <m/>
    <m/>
    <s v=""/>
    <m/>
    <s v=""/>
    <s v=""/>
    <m/>
    <s v=""/>
    <s v=""/>
    <s v=""/>
    <s v=""/>
    <s v=""/>
    <s v=""/>
    <s v=""/>
    <s v=""/>
    <s v=""/>
    <s v=""/>
    <s v=""/>
  </r>
  <r>
    <n v="226"/>
    <m/>
    <m/>
    <m/>
    <m/>
    <m/>
    <m/>
    <m/>
    <m/>
    <x v="0"/>
    <x v="0"/>
    <m/>
    <m/>
    <m/>
    <m/>
    <x v="0"/>
    <x v="0"/>
    <m/>
    <m/>
    <m/>
    <s v=""/>
    <m/>
    <s v=""/>
    <s v=""/>
    <m/>
    <s v=""/>
    <s v=""/>
    <s v=""/>
    <s v=""/>
    <s v=""/>
    <s v=""/>
    <s v=""/>
    <s v=""/>
    <s v=""/>
    <s v=""/>
    <s v=""/>
  </r>
  <r>
    <n v="227"/>
    <m/>
    <m/>
    <m/>
    <m/>
    <m/>
    <m/>
    <m/>
    <m/>
    <x v="0"/>
    <x v="0"/>
    <m/>
    <m/>
    <m/>
    <m/>
    <x v="0"/>
    <x v="0"/>
    <m/>
    <m/>
    <m/>
    <s v=""/>
    <m/>
    <s v=""/>
    <s v=""/>
    <m/>
    <s v=""/>
    <s v=""/>
    <s v=""/>
    <s v=""/>
    <s v=""/>
    <s v=""/>
    <s v=""/>
    <s v=""/>
    <s v=""/>
    <s v=""/>
    <s v=""/>
  </r>
  <r>
    <n v="228"/>
    <m/>
    <m/>
    <m/>
    <m/>
    <m/>
    <m/>
    <m/>
    <m/>
    <x v="0"/>
    <x v="0"/>
    <m/>
    <m/>
    <m/>
    <m/>
    <x v="0"/>
    <x v="0"/>
    <m/>
    <m/>
    <m/>
    <s v=""/>
    <m/>
    <s v=""/>
    <s v=""/>
    <m/>
    <s v=""/>
    <s v=""/>
    <s v=""/>
    <s v=""/>
    <s v=""/>
    <s v=""/>
    <s v=""/>
    <s v=""/>
    <s v=""/>
    <s v=""/>
    <s v=""/>
  </r>
  <r>
    <n v="229"/>
    <m/>
    <m/>
    <m/>
    <m/>
    <m/>
    <m/>
    <m/>
    <m/>
    <x v="0"/>
    <x v="0"/>
    <m/>
    <m/>
    <m/>
    <m/>
    <x v="0"/>
    <x v="0"/>
    <m/>
    <m/>
    <m/>
    <s v=""/>
    <m/>
    <s v=""/>
    <s v=""/>
    <m/>
    <s v=""/>
    <s v=""/>
    <s v=""/>
    <s v=""/>
    <s v=""/>
    <s v=""/>
    <s v=""/>
    <s v=""/>
    <s v=""/>
    <s v=""/>
    <s v=""/>
  </r>
  <r>
    <n v="230"/>
    <m/>
    <m/>
    <m/>
    <m/>
    <m/>
    <m/>
    <m/>
    <m/>
    <x v="0"/>
    <x v="0"/>
    <m/>
    <m/>
    <m/>
    <m/>
    <x v="0"/>
    <x v="0"/>
    <m/>
    <m/>
    <m/>
    <s v=""/>
    <m/>
    <s v=""/>
    <s v=""/>
    <m/>
    <s v=""/>
    <s v=""/>
    <s v=""/>
    <s v=""/>
    <s v=""/>
    <s v=""/>
    <s v=""/>
    <s v=""/>
    <s v=""/>
    <s v=""/>
    <s v=""/>
  </r>
  <r>
    <n v="231"/>
    <m/>
    <m/>
    <m/>
    <m/>
    <m/>
    <m/>
    <m/>
    <m/>
    <x v="0"/>
    <x v="0"/>
    <m/>
    <m/>
    <m/>
    <m/>
    <x v="0"/>
    <x v="0"/>
    <m/>
    <m/>
    <m/>
    <s v=""/>
    <m/>
    <s v=""/>
    <s v=""/>
    <m/>
    <s v=""/>
    <s v=""/>
    <s v=""/>
    <s v=""/>
    <s v=""/>
    <s v=""/>
    <s v=""/>
    <s v=""/>
    <s v=""/>
    <s v=""/>
    <s v=""/>
  </r>
  <r>
    <n v="232"/>
    <m/>
    <m/>
    <m/>
    <m/>
    <m/>
    <m/>
    <m/>
    <m/>
    <x v="0"/>
    <x v="0"/>
    <m/>
    <m/>
    <m/>
    <m/>
    <x v="0"/>
    <x v="0"/>
    <m/>
    <m/>
    <m/>
    <s v=""/>
    <m/>
    <s v=""/>
    <s v=""/>
    <m/>
    <s v=""/>
    <s v=""/>
    <s v=""/>
    <s v=""/>
    <s v=""/>
    <s v=""/>
    <s v=""/>
    <s v=""/>
    <s v=""/>
    <s v=""/>
    <s v=""/>
  </r>
  <r>
    <n v="233"/>
    <m/>
    <m/>
    <m/>
    <m/>
    <m/>
    <m/>
    <m/>
    <m/>
    <x v="0"/>
    <x v="0"/>
    <m/>
    <m/>
    <m/>
    <m/>
    <x v="0"/>
    <x v="0"/>
    <m/>
    <m/>
    <m/>
    <s v=""/>
    <m/>
    <s v=""/>
    <s v=""/>
    <m/>
    <s v=""/>
    <s v=""/>
    <s v=""/>
    <s v=""/>
    <s v=""/>
    <s v=""/>
    <s v=""/>
    <s v=""/>
    <s v=""/>
    <s v=""/>
    <s v=""/>
  </r>
  <r>
    <n v="234"/>
    <m/>
    <m/>
    <m/>
    <m/>
    <m/>
    <m/>
    <m/>
    <m/>
    <x v="0"/>
    <x v="0"/>
    <m/>
    <m/>
    <m/>
    <m/>
    <x v="0"/>
    <x v="0"/>
    <m/>
    <m/>
    <m/>
    <s v=""/>
    <m/>
    <s v=""/>
    <s v=""/>
    <m/>
    <s v=""/>
    <s v=""/>
    <s v=""/>
    <s v=""/>
    <s v=""/>
    <s v=""/>
    <s v=""/>
    <s v=""/>
    <s v=""/>
    <s v=""/>
    <s v=""/>
  </r>
  <r>
    <n v="235"/>
    <m/>
    <m/>
    <m/>
    <m/>
    <m/>
    <m/>
    <m/>
    <m/>
    <x v="0"/>
    <x v="0"/>
    <m/>
    <m/>
    <m/>
    <m/>
    <x v="0"/>
    <x v="0"/>
    <m/>
    <m/>
    <m/>
    <s v=""/>
    <m/>
    <s v=""/>
    <s v=""/>
    <m/>
    <s v=""/>
    <s v=""/>
    <s v=""/>
    <s v=""/>
    <s v=""/>
    <s v=""/>
    <s v=""/>
    <s v=""/>
    <s v=""/>
    <s v=""/>
    <s v=""/>
  </r>
  <r>
    <n v="236"/>
    <m/>
    <m/>
    <m/>
    <m/>
    <m/>
    <m/>
    <m/>
    <m/>
    <x v="0"/>
    <x v="0"/>
    <m/>
    <m/>
    <m/>
    <m/>
    <x v="0"/>
    <x v="0"/>
    <m/>
    <m/>
    <m/>
    <s v=""/>
    <m/>
    <s v=""/>
    <s v=""/>
    <m/>
    <s v=""/>
    <s v=""/>
    <s v=""/>
    <s v=""/>
    <s v=""/>
    <s v=""/>
    <s v=""/>
    <s v=""/>
    <s v=""/>
    <s v=""/>
    <s v=""/>
  </r>
  <r>
    <n v="237"/>
    <m/>
    <m/>
    <m/>
    <m/>
    <m/>
    <m/>
    <m/>
    <m/>
    <x v="0"/>
    <x v="0"/>
    <m/>
    <m/>
    <m/>
    <m/>
    <x v="0"/>
    <x v="0"/>
    <m/>
    <m/>
    <m/>
    <s v=""/>
    <m/>
    <s v=""/>
    <s v=""/>
    <m/>
    <s v=""/>
    <s v=""/>
    <s v=""/>
    <s v=""/>
    <s v=""/>
    <s v=""/>
    <s v=""/>
    <s v=""/>
    <s v=""/>
    <s v=""/>
    <s v=""/>
  </r>
  <r>
    <n v="238"/>
    <m/>
    <m/>
    <m/>
    <m/>
    <m/>
    <m/>
    <m/>
    <m/>
    <x v="0"/>
    <x v="0"/>
    <m/>
    <m/>
    <m/>
    <m/>
    <x v="0"/>
    <x v="0"/>
    <m/>
    <m/>
    <m/>
    <s v=""/>
    <m/>
    <s v=""/>
    <s v=""/>
    <m/>
    <s v=""/>
    <s v=""/>
    <s v=""/>
    <s v=""/>
    <s v=""/>
    <s v=""/>
    <s v=""/>
    <s v=""/>
    <s v=""/>
    <s v=""/>
    <s v=""/>
  </r>
  <r>
    <n v="239"/>
    <m/>
    <m/>
    <m/>
    <m/>
    <m/>
    <m/>
    <m/>
    <m/>
    <x v="0"/>
    <x v="0"/>
    <m/>
    <m/>
    <m/>
    <m/>
    <x v="0"/>
    <x v="0"/>
    <m/>
    <m/>
    <m/>
    <s v=""/>
    <m/>
    <s v=""/>
    <s v=""/>
    <m/>
    <s v=""/>
    <s v=""/>
    <s v=""/>
    <s v=""/>
    <s v=""/>
    <s v=""/>
    <s v=""/>
    <s v=""/>
    <s v=""/>
    <s v=""/>
    <s v=""/>
  </r>
  <r>
    <n v="240"/>
    <m/>
    <m/>
    <m/>
    <m/>
    <m/>
    <m/>
    <m/>
    <m/>
    <x v="0"/>
    <x v="0"/>
    <m/>
    <m/>
    <m/>
    <m/>
    <x v="0"/>
    <x v="0"/>
    <m/>
    <m/>
    <m/>
    <s v=""/>
    <m/>
    <s v=""/>
    <s v=""/>
    <m/>
    <s v=""/>
    <s v=""/>
    <s v=""/>
    <s v=""/>
    <s v=""/>
    <s v=""/>
    <s v=""/>
    <s v=""/>
    <s v=""/>
    <s v=""/>
    <s v=""/>
  </r>
  <r>
    <n v="241"/>
    <m/>
    <m/>
    <m/>
    <m/>
    <m/>
    <m/>
    <m/>
    <m/>
    <x v="0"/>
    <x v="0"/>
    <m/>
    <m/>
    <m/>
    <m/>
    <x v="0"/>
    <x v="0"/>
    <m/>
    <m/>
    <m/>
    <s v=""/>
    <m/>
    <s v=""/>
    <s v=""/>
    <m/>
    <s v=""/>
    <s v=""/>
    <s v=""/>
    <s v=""/>
    <s v=""/>
    <s v=""/>
    <s v=""/>
    <s v=""/>
    <s v=""/>
    <s v=""/>
    <s v=""/>
  </r>
  <r>
    <n v="242"/>
    <m/>
    <m/>
    <m/>
    <m/>
    <m/>
    <m/>
    <m/>
    <m/>
    <x v="0"/>
    <x v="0"/>
    <m/>
    <m/>
    <m/>
    <m/>
    <x v="0"/>
    <x v="0"/>
    <m/>
    <m/>
    <m/>
    <s v=""/>
    <m/>
    <s v=""/>
    <s v=""/>
    <m/>
    <s v=""/>
    <s v=""/>
    <s v=""/>
    <s v=""/>
    <s v=""/>
    <s v=""/>
    <s v=""/>
    <s v=""/>
    <s v=""/>
    <s v=""/>
    <s v=""/>
  </r>
  <r>
    <n v="243"/>
    <m/>
    <m/>
    <m/>
    <m/>
    <m/>
    <m/>
    <m/>
    <m/>
    <x v="0"/>
    <x v="0"/>
    <m/>
    <m/>
    <m/>
    <m/>
    <x v="0"/>
    <x v="0"/>
    <m/>
    <m/>
    <m/>
    <s v=""/>
    <m/>
    <s v=""/>
    <s v=""/>
    <m/>
    <s v=""/>
    <s v=""/>
    <s v=""/>
    <s v=""/>
    <s v=""/>
    <s v=""/>
    <s v=""/>
    <s v=""/>
    <s v=""/>
    <s v=""/>
    <s v=""/>
  </r>
  <r>
    <n v="244"/>
    <m/>
    <m/>
    <m/>
    <m/>
    <m/>
    <m/>
    <m/>
    <m/>
    <x v="0"/>
    <x v="0"/>
    <m/>
    <m/>
    <m/>
    <m/>
    <x v="0"/>
    <x v="0"/>
    <m/>
    <m/>
    <m/>
    <s v=""/>
    <m/>
    <s v=""/>
    <s v=""/>
    <m/>
    <s v=""/>
    <s v=""/>
    <s v=""/>
    <s v=""/>
    <s v=""/>
    <s v=""/>
    <s v=""/>
    <s v=""/>
    <s v=""/>
    <s v=""/>
    <s v=""/>
  </r>
  <r>
    <n v="245"/>
    <m/>
    <m/>
    <m/>
    <m/>
    <m/>
    <m/>
    <m/>
    <m/>
    <x v="0"/>
    <x v="0"/>
    <m/>
    <m/>
    <m/>
    <m/>
    <x v="0"/>
    <x v="0"/>
    <m/>
    <m/>
    <m/>
    <s v=""/>
    <m/>
    <s v=""/>
    <s v=""/>
    <m/>
    <s v=""/>
    <s v=""/>
    <s v=""/>
    <s v=""/>
    <s v=""/>
    <s v=""/>
    <s v=""/>
    <s v=""/>
    <s v=""/>
    <s v=""/>
    <s v=""/>
  </r>
  <r>
    <n v="246"/>
    <m/>
    <m/>
    <m/>
    <m/>
    <m/>
    <m/>
    <m/>
    <m/>
    <x v="0"/>
    <x v="0"/>
    <m/>
    <m/>
    <m/>
    <m/>
    <x v="0"/>
    <x v="0"/>
    <m/>
    <m/>
    <m/>
    <s v=""/>
    <m/>
    <s v=""/>
    <s v=""/>
    <m/>
    <s v=""/>
    <s v=""/>
    <s v=""/>
    <s v=""/>
    <s v=""/>
    <s v=""/>
    <s v=""/>
    <s v=""/>
    <s v=""/>
    <s v=""/>
    <s v=""/>
  </r>
  <r>
    <n v="247"/>
    <m/>
    <m/>
    <m/>
    <m/>
    <m/>
    <m/>
    <m/>
    <m/>
    <x v="0"/>
    <x v="0"/>
    <m/>
    <m/>
    <m/>
    <m/>
    <x v="0"/>
    <x v="0"/>
    <m/>
    <m/>
    <m/>
    <s v=""/>
    <m/>
    <s v=""/>
    <s v=""/>
    <m/>
    <s v=""/>
    <s v=""/>
    <s v=""/>
    <s v=""/>
    <s v=""/>
    <s v=""/>
    <s v=""/>
    <s v=""/>
    <s v=""/>
    <s v=""/>
    <s v=""/>
  </r>
  <r>
    <n v="248"/>
    <m/>
    <m/>
    <m/>
    <m/>
    <m/>
    <m/>
    <m/>
    <m/>
    <x v="0"/>
    <x v="0"/>
    <m/>
    <m/>
    <m/>
    <m/>
    <x v="0"/>
    <x v="0"/>
    <m/>
    <m/>
    <m/>
    <s v=""/>
    <m/>
    <s v=""/>
    <s v=""/>
    <m/>
    <s v=""/>
    <s v=""/>
    <s v=""/>
    <s v=""/>
    <s v=""/>
    <s v=""/>
    <s v=""/>
    <s v=""/>
    <s v=""/>
    <s v=""/>
    <s v=""/>
  </r>
  <r>
    <n v="249"/>
    <m/>
    <m/>
    <m/>
    <m/>
    <m/>
    <m/>
    <m/>
    <m/>
    <x v="0"/>
    <x v="0"/>
    <m/>
    <m/>
    <m/>
    <m/>
    <x v="0"/>
    <x v="0"/>
    <m/>
    <m/>
    <m/>
    <s v=""/>
    <m/>
    <s v=""/>
    <s v=""/>
    <m/>
    <s v=""/>
    <s v=""/>
    <s v=""/>
    <s v=""/>
    <s v=""/>
    <s v=""/>
    <s v=""/>
    <s v=""/>
    <s v=""/>
    <s v=""/>
    <s v=""/>
  </r>
  <r>
    <n v="250"/>
    <m/>
    <m/>
    <m/>
    <m/>
    <m/>
    <m/>
    <m/>
    <m/>
    <x v="0"/>
    <x v="0"/>
    <m/>
    <m/>
    <m/>
    <m/>
    <x v="0"/>
    <x v="0"/>
    <m/>
    <m/>
    <m/>
    <s v=""/>
    <m/>
    <s v=""/>
    <s v=""/>
    <m/>
    <s v=""/>
    <s v=""/>
    <s v=""/>
    <s v=""/>
    <s v=""/>
    <s v=""/>
    <s v=""/>
    <s v=""/>
    <s v=""/>
    <s v=""/>
    <s v=""/>
  </r>
  <r>
    <n v="251"/>
    <m/>
    <m/>
    <m/>
    <m/>
    <m/>
    <m/>
    <m/>
    <m/>
    <x v="0"/>
    <x v="0"/>
    <m/>
    <m/>
    <m/>
    <m/>
    <x v="0"/>
    <x v="0"/>
    <m/>
    <m/>
    <m/>
    <s v=""/>
    <m/>
    <s v=""/>
    <s v=""/>
    <m/>
    <s v=""/>
    <s v=""/>
    <s v=""/>
    <s v=""/>
    <s v=""/>
    <s v=""/>
    <s v=""/>
    <s v=""/>
    <s v=""/>
    <s v=""/>
    <s v=""/>
  </r>
  <r>
    <n v="252"/>
    <m/>
    <m/>
    <m/>
    <m/>
    <m/>
    <m/>
    <m/>
    <m/>
    <x v="0"/>
    <x v="0"/>
    <m/>
    <m/>
    <m/>
    <m/>
    <x v="0"/>
    <x v="0"/>
    <m/>
    <m/>
    <m/>
    <s v=""/>
    <m/>
    <s v=""/>
    <s v=""/>
    <m/>
    <s v=""/>
    <s v=""/>
    <s v=""/>
    <s v=""/>
    <s v=""/>
    <s v=""/>
    <s v=""/>
    <s v=""/>
    <s v=""/>
    <s v=""/>
    <s v=""/>
  </r>
  <r>
    <n v="253"/>
    <m/>
    <m/>
    <m/>
    <m/>
    <m/>
    <m/>
    <m/>
    <m/>
    <x v="0"/>
    <x v="0"/>
    <m/>
    <m/>
    <m/>
    <m/>
    <x v="0"/>
    <x v="0"/>
    <m/>
    <m/>
    <m/>
    <s v=""/>
    <m/>
    <s v=""/>
    <s v=""/>
    <m/>
    <s v=""/>
    <s v=""/>
    <s v=""/>
    <s v=""/>
    <s v=""/>
    <s v=""/>
    <s v=""/>
    <s v=""/>
    <s v=""/>
    <s v=""/>
    <s v=""/>
  </r>
  <r>
    <n v="254"/>
    <m/>
    <m/>
    <m/>
    <m/>
    <m/>
    <m/>
    <m/>
    <m/>
    <x v="0"/>
    <x v="0"/>
    <m/>
    <m/>
    <m/>
    <m/>
    <x v="0"/>
    <x v="0"/>
    <m/>
    <m/>
    <m/>
    <s v=""/>
    <m/>
    <s v=""/>
    <s v=""/>
    <m/>
    <s v=""/>
    <s v=""/>
    <s v=""/>
    <s v=""/>
    <s v=""/>
    <s v=""/>
    <s v=""/>
    <s v=""/>
    <s v=""/>
    <s v=""/>
    <s v=""/>
  </r>
  <r>
    <n v="255"/>
    <m/>
    <m/>
    <m/>
    <m/>
    <m/>
    <m/>
    <m/>
    <m/>
    <x v="0"/>
    <x v="0"/>
    <m/>
    <m/>
    <m/>
    <m/>
    <x v="0"/>
    <x v="0"/>
    <m/>
    <m/>
    <m/>
    <s v=""/>
    <m/>
    <s v=""/>
    <s v=""/>
    <m/>
    <s v=""/>
    <s v=""/>
    <s v=""/>
    <s v=""/>
    <s v=""/>
    <s v=""/>
    <s v=""/>
    <s v=""/>
    <s v=""/>
    <s v=""/>
    <s v=""/>
  </r>
  <r>
    <n v="256"/>
    <m/>
    <m/>
    <m/>
    <m/>
    <m/>
    <m/>
    <m/>
    <m/>
    <x v="0"/>
    <x v="0"/>
    <m/>
    <m/>
    <m/>
    <m/>
    <x v="0"/>
    <x v="0"/>
    <m/>
    <m/>
    <m/>
    <s v=""/>
    <m/>
    <s v=""/>
    <s v=""/>
    <m/>
    <s v=""/>
    <s v=""/>
    <s v=""/>
    <s v=""/>
    <s v=""/>
    <s v=""/>
    <s v=""/>
    <s v=""/>
    <s v=""/>
    <s v=""/>
    <s v=""/>
  </r>
  <r>
    <n v="257"/>
    <m/>
    <m/>
    <m/>
    <m/>
    <m/>
    <m/>
    <m/>
    <m/>
    <x v="0"/>
    <x v="0"/>
    <m/>
    <m/>
    <m/>
    <m/>
    <x v="0"/>
    <x v="0"/>
    <m/>
    <m/>
    <m/>
    <s v=""/>
    <m/>
    <s v=""/>
    <s v=""/>
    <m/>
    <s v=""/>
    <s v=""/>
    <s v=""/>
    <s v=""/>
    <s v=""/>
    <s v=""/>
    <s v=""/>
    <s v=""/>
    <s v=""/>
    <s v=""/>
    <s v=""/>
  </r>
  <r>
    <n v="258"/>
    <m/>
    <m/>
    <m/>
    <m/>
    <m/>
    <m/>
    <m/>
    <m/>
    <x v="0"/>
    <x v="0"/>
    <m/>
    <m/>
    <m/>
    <m/>
    <x v="0"/>
    <x v="0"/>
    <m/>
    <m/>
    <m/>
    <s v=""/>
    <m/>
    <s v=""/>
    <s v=""/>
    <m/>
    <s v=""/>
    <s v=""/>
    <s v=""/>
    <s v=""/>
    <s v=""/>
    <s v=""/>
    <s v=""/>
    <s v=""/>
    <s v=""/>
    <s v=""/>
    <s v=""/>
  </r>
  <r>
    <n v="259"/>
    <m/>
    <m/>
    <m/>
    <m/>
    <m/>
    <m/>
    <m/>
    <m/>
    <x v="0"/>
    <x v="0"/>
    <m/>
    <m/>
    <m/>
    <m/>
    <x v="0"/>
    <x v="0"/>
    <m/>
    <m/>
    <m/>
    <s v=""/>
    <m/>
    <s v=""/>
    <s v=""/>
    <m/>
    <s v=""/>
    <s v=""/>
    <s v=""/>
    <s v=""/>
    <s v=""/>
    <s v=""/>
    <s v=""/>
    <s v=""/>
    <s v=""/>
    <s v=""/>
    <s v=""/>
  </r>
  <r>
    <n v="260"/>
    <m/>
    <m/>
    <m/>
    <m/>
    <m/>
    <m/>
    <m/>
    <m/>
    <x v="0"/>
    <x v="0"/>
    <m/>
    <m/>
    <m/>
    <m/>
    <x v="0"/>
    <x v="0"/>
    <m/>
    <m/>
    <m/>
    <s v=""/>
    <m/>
    <s v=""/>
    <s v=""/>
    <m/>
    <s v=""/>
    <s v=""/>
    <s v=""/>
    <s v=""/>
    <s v=""/>
    <s v=""/>
    <s v=""/>
    <s v=""/>
    <s v=""/>
    <s v=""/>
    <s v=""/>
  </r>
  <r>
    <n v="261"/>
    <m/>
    <m/>
    <m/>
    <m/>
    <m/>
    <m/>
    <m/>
    <m/>
    <x v="0"/>
    <x v="0"/>
    <m/>
    <m/>
    <m/>
    <m/>
    <x v="0"/>
    <x v="0"/>
    <m/>
    <m/>
    <m/>
    <s v=""/>
    <m/>
    <s v=""/>
    <s v=""/>
    <m/>
    <s v=""/>
    <s v=""/>
    <s v=""/>
    <s v=""/>
    <s v=""/>
    <s v=""/>
    <s v=""/>
    <s v=""/>
    <s v=""/>
    <s v=""/>
    <s v=""/>
  </r>
  <r>
    <n v="262"/>
    <m/>
    <m/>
    <m/>
    <m/>
    <m/>
    <m/>
    <m/>
    <m/>
    <x v="0"/>
    <x v="0"/>
    <m/>
    <m/>
    <m/>
    <m/>
    <x v="0"/>
    <x v="0"/>
    <m/>
    <m/>
    <m/>
    <s v=""/>
    <m/>
    <s v=""/>
    <s v=""/>
    <m/>
    <s v=""/>
    <s v=""/>
    <s v=""/>
    <s v=""/>
    <s v=""/>
    <s v=""/>
    <s v=""/>
    <s v=""/>
    <s v=""/>
    <s v=""/>
    <s v=""/>
  </r>
  <r>
    <n v="263"/>
    <m/>
    <m/>
    <m/>
    <m/>
    <m/>
    <m/>
    <m/>
    <m/>
    <x v="0"/>
    <x v="0"/>
    <m/>
    <m/>
    <m/>
    <m/>
    <x v="0"/>
    <x v="0"/>
    <m/>
    <m/>
    <m/>
    <s v=""/>
    <m/>
    <s v=""/>
    <s v=""/>
    <m/>
    <s v=""/>
    <s v=""/>
    <s v=""/>
    <s v=""/>
    <s v=""/>
    <s v=""/>
    <s v=""/>
    <s v=""/>
    <s v=""/>
    <s v=""/>
    <s v=""/>
  </r>
  <r>
    <n v="264"/>
    <m/>
    <m/>
    <m/>
    <m/>
    <m/>
    <m/>
    <m/>
    <m/>
    <x v="0"/>
    <x v="0"/>
    <m/>
    <m/>
    <m/>
    <m/>
    <x v="0"/>
    <x v="0"/>
    <m/>
    <m/>
    <m/>
    <s v=""/>
    <m/>
    <s v=""/>
    <s v=""/>
    <m/>
    <s v=""/>
    <s v=""/>
    <s v=""/>
    <s v=""/>
    <s v=""/>
    <s v=""/>
    <s v=""/>
    <s v=""/>
    <s v=""/>
    <s v=""/>
    <s v=""/>
  </r>
  <r>
    <n v="265"/>
    <m/>
    <m/>
    <m/>
    <m/>
    <m/>
    <m/>
    <m/>
    <m/>
    <x v="0"/>
    <x v="0"/>
    <m/>
    <m/>
    <m/>
    <m/>
    <x v="0"/>
    <x v="0"/>
    <m/>
    <m/>
    <m/>
    <s v=""/>
    <m/>
    <s v=""/>
    <s v=""/>
    <m/>
    <s v=""/>
    <s v=""/>
    <s v=""/>
    <s v=""/>
    <s v=""/>
    <s v=""/>
    <s v=""/>
    <s v=""/>
    <s v=""/>
    <s v=""/>
    <s v=""/>
  </r>
  <r>
    <n v="266"/>
    <m/>
    <m/>
    <m/>
    <m/>
    <m/>
    <m/>
    <m/>
    <m/>
    <x v="0"/>
    <x v="0"/>
    <m/>
    <m/>
    <m/>
    <m/>
    <x v="0"/>
    <x v="0"/>
    <m/>
    <m/>
    <m/>
    <s v=""/>
    <m/>
    <s v=""/>
    <s v=""/>
    <m/>
    <s v=""/>
    <s v=""/>
    <s v=""/>
    <s v=""/>
    <s v=""/>
    <s v=""/>
    <s v=""/>
    <s v=""/>
    <s v=""/>
    <s v=""/>
    <s v=""/>
  </r>
  <r>
    <n v="267"/>
    <m/>
    <m/>
    <m/>
    <m/>
    <m/>
    <m/>
    <m/>
    <m/>
    <x v="0"/>
    <x v="0"/>
    <m/>
    <m/>
    <m/>
    <m/>
    <x v="0"/>
    <x v="0"/>
    <m/>
    <m/>
    <m/>
    <s v=""/>
    <m/>
    <s v=""/>
    <s v=""/>
    <m/>
    <s v=""/>
    <s v=""/>
    <s v=""/>
    <s v=""/>
    <s v=""/>
    <s v=""/>
    <s v=""/>
    <s v=""/>
    <s v=""/>
    <s v=""/>
    <s v=""/>
  </r>
  <r>
    <n v="268"/>
    <m/>
    <m/>
    <m/>
    <m/>
    <m/>
    <m/>
    <m/>
    <m/>
    <x v="0"/>
    <x v="0"/>
    <m/>
    <m/>
    <m/>
    <m/>
    <x v="0"/>
    <x v="0"/>
    <m/>
    <m/>
    <m/>
    <s v=""/>
    <m/>
    <s v=""/>
    <s v=""/>
    <m/>
    <s v=""/>
    <s v=""/>
    <s v=""/>
    <s v=""/>
    <s v=""/>
    <s v=""/>
    <s v=""/>
    <s v=""/>
    <s v=""/>
    <s v=""/>
    <s v=""/>
  </r>
  <r>
    <n v="269"/>
    <m/>
    <m/>
    <m/>
    <m/>
    <m/>
    <m/>
    <m/>
    <m/>
    <x v="0"/>
    <x v="0"/>
    <m/>
    <m/>
    <m/>
    <m/>
    <x v="0"/>
    <x v="0"/>
    <m/>
    <m/>
    <m/>
    <s v=""/>
    <m/>
    <s v=""/>
    <s v=""/>
    <m/>
    <s v=""/>
    <s v=""/>
    <s v=""/>
    <s v=""/>
    <s v=""/>
    <s v=""/>
    <s v=""/>
    <s v=""/>
    <s v=""/>
    <s v=""/>
    <s v=""/>
  </r>
  <r>
    <n v="270"/>
    <m/>
    <m/>
    <m/>
    <m/>
    <m/>
    <m/>
    <m/>
    <m/>
    <x v="0"/>
    <x v="0"/>
    <m/>
    <m/>
    <m/>
    <m/>
    <x v="0"/>
    <x v="0"/>
    <m/>
    <m/>
    <m/>
    <s v=""/>
    <m/>
    <s v=""/>
    <s v=""/>
    <m/>
    <s v=""/>
    <s v=""/>
    <s v=""/>
    <s v=""/>
    <s v=""/>
    <s v=""/>
    <s v=""/>
    <s v=""/>
    <s v=""/>
    <s v=""/>
    <s v=""/>
  </r>
  <r>
    <n v="271"/>
    <m/>
    <m/>
    <m/>
    <m/>
    <m/>
    <m/>
    <m/>
    <m/>
    <x v="0"/>
    <x v="0"/>
    <m/>
    <m/>
    <m/>
    <m/>
    <x v="0"/>
    <x v="0"/>
    <m/>
    <m/>
    <m/>
    <s v=""/>
    <m/>
    <s v=""/>
    <s v=""/>
    <m/>
    <s v=""/>
    <s v=""/>
    <s v=""/>
    <s v=""/>
    <s v=""/>
    <s v=""/>
    <s v=""/>
    <s v=""/>
    <s v=""/>
    <s v=""/>
    <s v=""/>
  </r>
  <r>
    <n v="272"/>
    <m/>
    <m/>
    <m/>
    <m/>
    <m/>
    <m/>
    <m/>
    <m/>
    <x v="0"/>
    <x v="0"/>
    <m/>
    <m/>
    <m/>
    <m/>
    <x v="0"/>
    <x v="0"/>
    <m/>
    <m/>
    <m/>
    <s v=""/>
    <m/>
    <s v=""/>
    <s v=""/>
    <m/>
    <s v=""/>
    <s v=""/>
    <s v=""/>
    <s v=""/>
    <s v=""/>
    <s v=""/>
    <s v=""/>
    <s v=""/>
    <s v=""/>
    <s v=""/>
    <s v=""/>
  </r>
  <r>
    <n v="273"/>
    <m/>
    <m/>
    <m/>
    <m/>
    <m/>
    <m/>
    <m/>
    <m/>
    <x v="0"/>
    <x v="0"/>
    <m/>
    <m/>
    <m/>
    <m/>
    <x v="0"/>
    <x v="0"/>
    <m/>
    <m/>
    <m/>
    <s v=""/>
    <m/>
    <s v=""/>
    <s v=""/>
    <m/>
    <s v=""/>
    <s v=""/>
    <s v=""/>
    <s v=""/>
    <s v=""/>
    <s v=""/>
    <s v=""/>
    <s v=""/>
    <s v=""/>
    <s v=""/>
    <s v=""/>
  </r>
  <r>
    <n v="274"/>
    <m/>
    <m/>
    <m/>
    <m/>
    <m/>
    <m/>
    <m/>
    <m/>
    <x v="0"/>
    <x v="0"/>
    <m/>
    <m/>
    <m/>
    <m/>
    <x v="0"/>
    <x v="0"/>
    <m/>
    <m/>
    <m/>
    <s v=""/>
    <m/>
    <s v=""/>
    <s v=""/>
    <m/>
    <s v=""/>
    <s v=""/>
    <s v=""/>
    <s v=""/>
    <s v=""/>
    <s v=""/>
    <s v=""/>
    <s v=""/>
    <s v=""/>
    <s v=""/>
    <s v=""/>
  </r>
  <r>
    <n v="275"/>
    <m/>
    <m/>
    <m/>
    <m/>
    <m/>
    <m/>
    <m/>
    <m/>
    <x v="0"/>
    <x v="0"/>
    <m/>
    <m/>
    <m/>
    <m/>
    <x v="0"/>
    <x v="0"/>
    <m/>
    <m/>
    <m/>
    <s v=""/>
    <m/>
    <s v=""/>
    <s v=""/>
    <m/>
    <s v=""/>
    <s v=""/>
    <s v=""/>
    <s v=""/>
    <s v=""/>
    <s v=""/>
    <s v=""/>
    <s v=""/>
    <s v=""/>
    <s v=""/>
    <s v=""/>
  </r>
  <r>
    <n v="276"/>
    <m/>
    <m/>
    <m/>
    <m/>
    <m/>
    <m/>
    <m/>
    <m/>
    <x v="0"/>
    <x v="0"/>
    <m/>
    <m/>
    <m/>
    <m/>
    <x v="0"/>
    <x v="0"/>
    <m/>
    <m/>
    <m/>
    <s v=""/>
    <m/>
    <s v=""/>
    <s v=""/>
    <m/>
    <s v=""/>
    <s v=""/>
    <s v=""/>
    <s v=""/>
    <s v=""/>
    <s v=""/>
    <s v=""/>
    <s v=""/>
    <s v=""/>
    <s v=""/>
    <s v=""/>
  </r>
  <r>
    <n v="277"/>
    <m/>
    <m/>
    <m/>
    <m/>
    <m/>
    <m/>
    <m/>
    <m/>
    <x v="0"/>
    <x v="0"/>
    <m/>
    <m/>
    <m/>
    <m/>
    <x v="0"/>
    <x v="0"/>
    <m/>
    <m/>
    <m/>
    <s v=""/>
    <m/>
    <s v=""/>
    <s v=""/>
    <m/>
    <s v=""/>
    <s v=""/>
    <s v=""/>
    <s v=""/>
    <s v=""/>
    <s v=""/>
    <s v=""/>
    <s v=""/>
    <s v=""/>
    <s v=""/>
    <s v=""/>
  </r>
  <r>
    <n v="278"/>
    <m/>
    <m/>
    <m/>
    <m/>
    <m/>
    <m/>
    <m/>
    <m/>
    <x v="0"/>
    <x v="0"/>
    <m/>
    <m/>
    <m/>
    <m/>
    <x v="0"/>
    <x v="0"/>
    <m/>
    <m/>
    <m/>
    <s v=""/>
    <m/>
    <s v=""/>
    <s v=""/>
    <m/>
    <s v=""/>
    <s v=""/>
    <s v=""/>
    <s v=""/>
    <s v=""/>
    <s v=""/>
    <s v=""/>
    <s v=""/>
    <s v=""/>
    <s v=""/>
    <s v=""/>
  </r>
  <r>
    <n v="279"/>
    <m/>
    <m/>
    <m/>
    <m/>
    <m/>
    <m/>
    <m/>
    <m/>
    <x v="0"/>
    <x v="0"/>
    <m/>
    <m/>
    <m/>
    <m/>
    <x v="0"/>
    <x v="0"/>
    <m/>
    <m/>
    <m/>
    <s v=""/>
    <m/>
    <s v=""/>
    <s v=""/>
    <m/>
    <s v=""/>
    <s v=""/>
    <s v=""/>
    <s v=""/>
    <s v=""/>
    <s v=""/>
    <s v=""/>
    <s v=""/>
    <s v=""/>
    <s v=""/>
    <s v=""/>
  </r>
  <r>
    <n v="280"/>
    <m/>
    <m/>
    <m/>
    <m/>
    <m/>
    <m/>
    <m/>
    <m/>
    <x v="0"/>
    <x v="0"/>
    <m/>
    <m/>
    <m/>
    <m/>
    <x v="0"/>
    <x v="0"/>
    <m/>
    <m/>
    <m/>
    <s v=""/>
    <m/>
    <s v=""/>
    <s v=""/>
    <m/>
    <s v=""/>
    <s v=""/>
    <s v=""/>
    <s v=""/>
    <s v=""/>
    <s v=""/>
    <s v=""/>
    <s v=""/>
    <s v=""/>
    <s v=""/>
    <s v=""/>
  </r>
  <r>
    <n v="281"/>
    <m/>
    <m/>
    <m/>
    <m/>
    <m/>
    <m/>
    <m/>
    <m/>
    <x v="0"/>
    <x v="0"/>
    <m/>
    <m/>
    <m/>
    <m/>
    <x v="0"/>
    <x v="0"/>
    <m/>
    <m/>
    <m/>
    <s v=""/>
    <m/>
    <s v=""/>
    <s v=""/>
    <m/>
    <s v=""/>
    <s v=""/>
    <s v=""/>
    <s v=""/>
    <s v=""/>
    <s v=""/>
    <s v=""/>
    <s v=""/>
    <s v=""/>
    <s v=""/>
    <s v=""/>
  </r>
  <r>
    <n v="282"/>
    <m/>
    <m/>
    <m/>
    <m/>
    <m/>
    <m/>
    <m/>
    <m/>
    <x v="0"/>
    <x v="0"/>
    <m/>
    <m/>
    <m/>
    <m/>
    <x v="0"/>
    <x v="0"/>
    <m/>
    <m/>
    <m/>
    <s v=""/>
    <m/>
    <s v=""/>
    <s v=""/>
    <m/>
    <s v=""/>
    <s v=""/>
    <s v=""/>
    <s v=""/>
    <s v=""/>
    <s v=""/>
    <s v=""/>
    <s v=""/>
    <s v=""/>
    <s v=""/>
    <s v=""/>
  </r>
  <r>
    <n v="283"/>
    <m/>
    <m/>
    <m/>
    <m/>
    <m/>
    <m/>
    <m/>
    <m/>
    <x v="0"/>
    <x v="0"/>
    <m/>
    <m/>
    <m/>
    <m/>
    <x v="0"/>
    <x v="0"/>
    <m/>
    <m/>
    <m/>
    <s v=""/>
    <m/>
    <s v=""/>
    <s v=""/>
    <m/>
    <s v=""/>
    <s v=""/>
    <s v=""/>
    <s v=""/>
    <s v=""/>
    <s v=""/>
    <s v=""/>
    <s v=""/>
    <s v=""/>
    <s v=""/>
    <s v=""/>
  </r>
  <r>
    <n v="284"/>
    <m/>
    <m/>
    <m/>
    <m/>
    <m/>
    <m/>
    <m/>
    <m/>
    <x v="0"/>
    <x v="0"/>
    <m/>
    <m/>
    <m/>
    <m/>
    <x v="0"/>
    <x v="0"/>
    <m/>
    <m/>
    <m/>
    <s v=""/>
    <m/>
    <s v=""/>
    <s v=""/>
    <m/>
    <s v=""/>
    <s v=""/>
    <s v=""/>
    <s v=""/>
    <s v=""/>
    <s v=""/>
    <s v=""/>
    <s v=""/>
    <s v=""/>
    <s v=""/>
    <s v=""/>
  </r>
  <r>
    <n v="285"/>
    <m/>
    <m/>
    <m/>
    <m/>
    <m/>
    <m/>
    <m/>
    <m/>
    <x v="0"/>
    <x v="0"/>
    <m/>
    <m/>
    <m/>
    <m/>
    <x v="0"/>
    <x v="0"/>
    <m/>
    <m/>
    <m/>
    <s v=""/>
    <m/>
    <s v=""/>
    <s v=""/>
    <m/>
    <s v=""/>
    <s v=""/>
    <s v=""/>
    <s v=""/>
    <s v=""/>
    <s v=""/>
    <s v=""/>
    <s v=""/>
    <s v=""/>
    <s v=""/>
    <s v=""/>
  </r>
  <r>
    <n v="286"/>
    <m/>
    <m/>
    <m/>
    <m/>
    <m/>
    <m/>
    <m/>
    <m/>
    <x v="0"/>
    <x v="0"/>
    <m/>
    <m/>
    <m/>
    <m/>
    <x v="0"/>
    <x v="0"/>
    <m/>
    <m/>
    <m/>
    <s v=""/>
    <m/>
    <s v=""/>
    <s v=""/>
    <m/>
    <s v=""/>
    <s v=""/>
    <s v=""/>
    <s v=""/>
    <s v=""/>
    <s v=""/>
    <s v=""/>
    <s v=""/>
    <s v=""/>
    <s v=""/>
    <s v=""/>
  </r>
  <r>
    <n v="287"/>
    <m/>
    <m/>
    <m/>
    <m/>
    <m/>
    <m/>
    <m/>
    <m/>
    <x v="0"/>
    <x v="0"/>
    <m/>
    <m/>
    <m/>
    <m/>
    <x v="0"/>
    <x v="0"/>
    <m/>
    <m/>
    <m/>
    <s v=""/>
    <m/>
    <s v=""/>
    <s v=""/>
    <m/>
    <s v=""/>
    <s v=""/>
    <s v=""/>
    <s v=""/>
    <s v=""/>
    <s v=""/>
    <s v=""/>
    <s v=""/>
    <s v=""/>
    <s v=""/>
    <s v=""/>
  </r>
  <r>
    <n v="288"/>
    <m/>
    <m/>
    <m/>
    <m/>
    <m/>
    <m/>
    <m/>
    <m/>
    <x v="0"/>
    <x v="0"/>
    <m/>
    <m/>
    <m/>
    <m/>
    <x v="0"/>
    <x v="0"/>
    <m/>
    <m/>
    <m/>
    <s v=""/>
    <m/>
    <s v=""/>
    <s v=""/>
    <m/>
    <s v=""/>
    <s v=""/>
    <s v=""/>
    <s v=""/>
    <s v=""/>
    <s v=""/>
    <s v=""/>
    <s v=""/>
    <s v=""/>
    <s v=""/>
    <s v=""/>
  </r>
  <r>
    <n v="289"/>
    <m/>
    <m/>
    <m/>
    <m/>
    <m/>
    <m/>
    <m/>
    <m/>
    <x v="0"/>
    <x v="0"/>
    <m/>
    <m/>
    <m/>
    <m/>
    <x v="0"/>
    <x v="0"/>
    <m/>
    <m/>
    <m/>
    <s v=""/>
    <m/>
    <s v=""/>
    <s v=""/>
    <m/>
    <s v=""/>
    <s v=""/>
    <s v=""/>
    <s v=""/>
    <s v=""/>
    <s v=""/>
    <s v=""/>
    <s v=""/>
    <s v=""/>
    <s v=""/>
    <s v=""/>
  </r>
  <r>
    <n v="290"/>
    <m/>
    <m/>
    <m/>
    <m/>
    <m/>
    <m/>
    <m/>
    <m/>
    <x v="0"/>
    <x v="0"/>
    <m/>
    <m/>
    <m/>
    <m/>
    <x v="0"/>
    <x v="0"/>
    <m/>
    <m/>
    <m/>
    <s v=""/>
    <m/>
    <s v=""/>
    <s v=""/>
    <m/>
    <s v=""/>
    <s v=""/>
    <s v=""/>
    <s v=""/>
    <s v=""/>
    <s v=""/>
    <s v=""/>
    <s v=""/>
    <s v=""/>
    <s v=""/>
    <s v=""/>
  </r>
  <r>
    <n v="291"/>
    <m/>
    <m/>
    <m/>
    <m/>
    <m/>
    <m/>
    <m/>
    <m/>
    <x v="0"/>
    <x v="0"/>
    <m/>
    <m/>
    <m/>
    <m/>
    <x v="0"/>
    <x v="0"/>
    <m/>
    <m/>
    <m/>
    <s v=""/>
    <m/>
    <s v=""/>
    <s v=""/>
    <m/>
    <s v=""/>
    <s v=""/>
    <s v=""/>
    <s v=""/>
    <s v=""/>
    <s v=""/>
    <s v=""/>
    <s v=""/>
    <s v=""/>
    <s v=""/>
    <s v=""/>
  </r>
  <r>
    <n v="292"/>
    <m/>
    <m/>
    <m/>
    <m/>
    <m/>
    <m/>
    <m/>
    <m/>
    <x v="0"/>
    <x v="0"/>
    <m/>
    <m/>
    <m/>
    <m/>
    <x v="0"/>
    <x v="0"/>
    <m/>
    <m/>
    <m/>
    <s v=""/>
    <m/>
    <s v=""/>
    <s v=""/>
    <m/>
    <s v=""/>
    <s v=""/>
    <s v=""/>
    <s v=""/>
    <s v=""/>
    <s v=""/>
    <s v=""/>
    <s v=""/>
    <s v=""/>
    <s v=""/>
    <s v=""/>
  </r>
  <r>
    <n v="293"/>
    <m/>
    <m/>
    <m/>
    <m/>
    <m/>
    <m/>
    <m/>
    <m/>
    <x v="0"/>
    <x v="0"/>
    <m/>
    <m/>
    <m/>
    <m/>
    <x v="0"/>
    <x v="0"/>
    <m/>
    <m/>
    <m/>
    <s v=""/>
    <m/>
    <s v=""/>
    <s v=""/>
    <m/>
    <s v=""/>
    <s v=""/>
    <s v=""/>
    <s v=""/>
    <s v=""/>
    <s v=""/>
    <s v=""/>
    <s v=""/>
    <s v=""/>
    <s v=""/>
    <s v=""/>
  </r>
  <r>
    <n v="294"/>
    <m/>
    <m/>
    <m/>
    <m/>
    <m/>
    <m/>
    <m/>
    <m/>
    <x v="0"/>
    <x v="0"/>
    <m/>
    <m/>
    <m/>
    <m/>
    <x v="0"/>
    <x v="0"/>
    <m/>
    <m/>
    <m/>
    <s v=""/>
    <m/>
    <s v=""/>
    <s v=""/>
    <m/>
    <s v=""/>
    <s v=""/>
    <s v=""/>
    <s v=""/>
    <s v=""/>
    <s v=""/>
    <s v=""/>
    <s v=""/>
    <s v=""/>
    <s v=""/>
    <s v=""/>
  </r>
  <r>
    <n v="295"/>
    <m/>
    <m/>
    <m/>
    <m/>
    <m/>
    <m/>
    <m/>
    <m/>
    <x v="0"/>
    <x v="0"/>
    <m/>
    <m/>
    <m/>
    <m/>
    <x v="0"/>
    <x v="0"/>
    <m/>
    <m/>
    <m/>
    <s v=""/>
    <m/>
    <s v=""/>
    <s v=""/>
    <m/>
    <s v=""/>
    <s v=""/>
    <s v=""/>
    <s v=""/>
    <s v=""/>
    <s v=""/>
    <s v=""/>
    <s v=""/>
    <s v=""/>
    <s v=""/>
    <s v=""/>
  </r>
  <r>
    <n v="296"/>
    <m/>
    <m/>
    <m/>
    <m/>
    <m/>
    <m/>
    <m/>
    <m/>
    <x v="0"/>
    <x v="0"/>
    <m/>
    <m/>
    <m/>
    <m/>
    <x v="0"/>
    <x v="0"/>
    <m/>
    <m/>
    <m/>
    <s v=""/>
    <m/>
    <s v=""/>
    <s v=""/>
    <m/>
    <s v=""/>
    <s v=""/>
    <s v=""/>
    <s v=""/>
    <s v=""/>
    <s v=""/>
    <s v=""/>
    <s v=""/>
    <s v=""/>
    <s v=""/>
    <s v=""/>
  </r>
  <r>
    <n v="297"/>
    <m/>
    <m/>
    <m/>
    <m/>
    <m/>
    <m/>
    <m/>
    <m/>
    <x v="0"/>
    <x v="0"/>
    <m/>
    <m/>
    <m/>
    <m/>
    <x v="0"/>
    <x v="0"/>
    <m/>
    <m/>
    <m/>
    <s v=""/>
    <m/>
    <s v=""/>
    <s v=""/>
    <m/>
    <s v=""/>
    <s v=""/>
    <s v=""/>
    <s v=""/>
    <s v=""/>
    <s v=""/>
    <s v=""/>
    <s v=""/>
    <s v=""/>
    <s v=""/>
    <s v=""/>
  </r>
  <r>
    <n v="298"/>
    <m/>
    <m/>
    <m/>
    <m/>
    <m/>
    <m/>
    <m/>
    <m/>
    <x v="0"/>
    <x v="0"/>
    <m/>
    <m/>
    <m/>
    <m/>
    <x v="0"/>
    <x v="0"/>
    <m/>
    <m/>
    <m/>
    <s v=""/>
    <m/>
    <s v=""/>
    <s v=""/>
    <m/>
    <s v=""/>
    <s v=""/>
    <s v=""/>
    <s v=""/>
    <s v=""/>
    <s v=""/>
    <s v=""/>
    <s v=""/>
    <s v=""/>
    <s v=""/>
    <s v=""/>
  </r>
  <r>
    <n v="299"/>
    <m/>
    <m/>
    <m/>
    <m/>
    <m/>
    <m/>
    <m/>
    <m/>
    <x v="0"/>
    <x v="0"/>
    <m/>
    <m/>
    <m/>
    <m/>
    <x v="0"/>
    <x v="0"/>
    <m/>
    <m/>
    <m/>
    <s v=""/>
    <m/>
    <s v=""/>
    <s v=""/>
    <m/>
    <s v=""/>
    <s v=""/>
    <s v=""/>
    <s v=""/>
    <s v=""/>
    <s v=""/>
    <s v=""/>
    <s v=""/>
    <s v=""/>
    <s v=""/>
    <s v=""/>
  </r>
  <r>
    <n v="300"/>
    <m/>
    <m/>
    <m/>
    <m/>
    <m/>
    <m/>
    <m/>
    <m/>
    <x v="0"/>
    <x v="0"/>
    <m/>
    <m/>
    <m/>
    <m/>
    <x v="0"/>
    <x v="0"/>
    <m/>
    <m/>
    <m/>
    <s v=""/>
    <m/>
    <s v=""/>
    <s v=""/>
    <m/>
    <s v=""/>
    <s v=""/>
    <s v=""/>
    <s v=""/>
    <s v=""/>
    <s v=""/>
    <s v=""/>
    <s v=""/>
    <s v=""/>
    <s v=""/>
    <s v=""/>
  </r>
  <r>
    <n v="301"/>
    <m/>
    <m/>
    <m/>
    <m/>
    <m/>
    <m/>
    <m/>
    <m/>
    <x v="0"/>
    <x v="0"/>
    <m/>
    <m/>
    <m/>
    <m/>
    <x v="0"/>
    <x v="0"/>
    <m/>
    <m/>
    <m/>
    <s v=""/>
    <m/>
    <s v=""/>
    <s v=""/>
    <m/>
    <s v=""/>
    <s v=""/>
    <s v=""/>
    <s v=""/>
    <s v=""/>
    <s v=""/>
    <s v=""/>
    <s v=""/>
    <s v=""/>
    <s v=""/>
    <s v=""/>
  </r>
  <r>
    <n v="302"/>
    <m/>
    <m/>
    <m/>
    <m/>
    <m/>
    <m/>
    <m/>
    <m/>
    <x v="0"/>
    <x v="0"/>
    <m/>
    <m/>
    <m/>
    <m/>
    <x v="0"/>
    <x v="0"/>
    <m/>
    <m/>
    <m/>
    <s v=""/>
    <m/>
    <s v=""/>
    <s v=""/>
    <m/>
    <s v=""/>
    <s v=""/>
    <s v=""/>
    <s v=""/>
    <s v=""/>
    <s v=""/>
    <s v=""/>
    <s v=""/>
    <s v=""/>
    <s v=""/>
    <s v=""/>
  </r>
  <r>
    <n v="303"/>
    <m/>
    <m/>
    <m/>
    <m/>
    <m/>
    <m/>
    <m/>
    <m/>
    <x v="0"/>
    <x v="0"/>
    <m/>
    <m/>
    <m/>
    <m/>
    <x v="0"/>
    <x v="0"/>
    <m/>
    <m/>
    <m/>
    <s v=""/>
    <m/>
    <s v=""/>
    <s v=""/>
    <m/>
    <s v=""/>
    <s v=""/>
    <s v=""/>
    <s v=""/>
    <s v=""/>
    <s v=""/>
    <s v=""/>
    <s v=""/>
    <s v=""/>
    <s v=""/>
    <s v=""/>
  </r>
  <r>
    <n v="304"/>
    <m/>
    <m/>
    <m/>
    <m/>
    <m/>
    <m/>
    <m/>
    <m/>
    <x v="0"/>
    <x v="0"/>
    <m/>
    <m/>
    <m/>
    <m/>
    <x v="0"/>
    <x v="0"/>
    <m/>
    <m/>
    <m/>
    <s v=""/>
    <m/>
    <s v=""/>
    <s v=""/>
    <m/>
    <s v=""/>
    <s v=""/>
    <s v=""/>
    <s v=""/>
    <s v=""/>
    <s v=""/>
    <s v=""/>
    <s v=""/>
    <s v=""/>
    <s v=""/>
    <s v=""/>
  </r>
  <r>
    <n v="305"/>
    <m/>
    <m/>
    <m/>
    <m/>
    <m/>
    <m/>
    <m/>
    <m/>
    <x v="0"/>
    <x v="0"/>
    <m/>
    <m/>
    <m/>
    <m/>
    <x v="0"/>
    <x v="0"/>
    <m/>
    <m/>
    <m/>
    <s v=""/>
    <m/>
    <s v=""/>
    <s v=""/>
    <m/>
    <s v=""/>
    <s v=""/>
    <s v=""/>
    <s v=""/>
    <s v=""/>
    <s v=""/>
    <s v=""/>
    <s v=""/>
    <s v=""/>
    <s v=""/>
    <s v=""/>
  </r>
  <r>
    <n v="306"/>
    <m/>
    <m/>
    <m/>
    <m/>
    <m/>
    <m/>
    <m/>
    <m/>
    <x v="0"/>
    <x v="0"/>
    <m/>
    <m/>
    <m/>
    <m/>
    <x v="0"/>
    <x v="0"/>
    <m/>
    <m/>
    <m/>
    <s v=""/>
    <m/>
    <s v=""/>
    <s v=""/>
    <m/>
    <s v=""/>
    <s v=""/>
    <s v=""/>
    <s v=""/>
    <s v=""/>
    <s v=""/>
    <s v=""/>
    <s v=""/>
    <s v=""/>
    <s v=""/>
    <s v=""/>
  </r>
  <r>
    <n v="307"/>
    <m/>
    <m/>
    <m/>
    <m/>
    <m/>
    <m/>
    <m/>
    <m/>
    <x v="0"/>
    <x v="0"/>
    <m/>
    <m/>
    <m/>
    <m/>
    <x v="0"/>
    <x v="0"/>
    <m/>
    <m/>
    <m/>
    <s v=""/>
    <m/>
    <s v=""/>
    <s v=""/>
    <m/>
    <s v=""/>
    <s v=""/>
    <s v=""/>
    <s v=""/>
    <s v=""/>
    <s v=""/>
    <s v=""/>
    <s v=""/>
    <s v=""/>
    <s v=""/>
    <s v=""/>
  </r>
  <r>
    <n v="308"/>
    <m/>
    <m/>
    <m/>
    <m/>
    <m/>
    <m/>
    <m/>
    <m/>
    <x v="0"/>
    <x v="0"/>
    <m/>
    <m/>
    <m/>
    <m/>
    <x v="0"/>
    <x v="0"/>
    <m/>
    <m/>
    <m/>
    <s v=""/>
    <m/>
    <s v=""/>
    <s v=""/>
    <m/>
    <s v=""/>
    <s v=""/>
    <s v=""/>
    <s v=""/>
    <s v=""/>
    <s v=""/>
    <s v=""/>
    <s v=""/>
    <s v=""/>
    <s v=""/>
    <s v=""/>
  </r>
  <r>
    <n v="309"/>
    <m/>
    <m/>
    <m/>
    <m/>
    <m/>
    <m/>
    <m/>
    <m/>
    <x v="0"/>
    <x v="0"/>
    <m/>
    <m/>
    <m/>
    <m/>
    <x v="0"/>
    <x v="0"/>
    <m/>
    <m/>
    <m/>
    <s v=""/>
    <m/>
    <s v=""/>
    <s v=""/>
    <m/>
    <s v=""/>
    <s v=""/>
    <s v=""/>
    <s v=""/>
    <s v=""/>
    <s v=""/>
    <s v=""/>
    <s v=""/>
    <s v=""/>
    <s v=""/>
    <s v=""/>
  </r>
  <r>
    <n v="310"/>
    <m/>
    <m/>
    <m/>
    <m/>
    <m/>
    <m/>
    <m/>
    <m/>
    <x v="0"/>
    <x v="0"/>
    <m/>
    <m/>
    <m/>
    <m/>
    <x v="0"/>
    <x v="0"/>
    <m/>
    <m/>
    <m/>
    <s v=""/>
    <m/>
    <s v=""/>
    <s v=""/>
    <m/>
    <s v=""/>
    <s v=""/>
    <s v=""/>
    <s v=""/>
    <s v=""/>
    <s v=""/>
    <s v=""/>
    <s v=""/>
    <s v=""/>
    <s v=""/>
    <s v=""/>
  </r>
  <r>
    <n v="311"/>
    <m/>
    <m/>
    <m/>
    <m/>
    <m/>
    <m/>
    <m/>
    <m/>
    <x v="0"/>
    <x v="0"/>
    <m/>
    <m/>
    <m/>
    <m/>
    <x v="0"/>
    <x v="0"/>
    <m/>
    <m/>
    <m/>
    <s v=""/>
    <m/>
    <s v=""/>
    <s v=""/>
    <m/>
    <s v=""/>
    <s v=""/>
    <s v=""/>
    <s v=""/>
    <s v=""/>
    <s v=""/>
    <s v=""/>
    <s v=""/>
    <s v=""/>
    <s v=""/>
    <s v=""/>
  </r>
  <r>
    <n v="312"/>
    <m/>
    <m/>
    <m/>
    <m/>
    <m/>
    <m/>
    <m/>
    <m/>
    <x v="0"/>
    <x v="0"/>
    <m/>
    <m/>
    <m/>
    <m/>
    <x v="0"/>
    <x v="0"/>
    <m/>
    <m/>
    <m/>
    <s v=""/>
    <m/>
    <s v=""/>
    <s v=""/>
    <m/>
    <s v=""/>
    <s v=""/>
    <s v=""/>
    <s v=""/>
    <s v=""/>
    <s v=""/>
    <s v=""/>
    <s v=""/>
    <s v=""/>
    <s v=""/>
    <s v=""/>
  </r>
  <r>
    <n v="313"/>
    <m/>
    <m/>
    <m/>
    <m/>
    <m/>
    <m/>
    <m/>
    <m/>
    <x v="0"/>
    <x v="0"/>
    <m/>
    <m/>
    <m/>
    <m/>
    <x v="0"/>
    <x v="0"/>
    <m/>
    <m/>
    <m/>
    <s v=""/>
    <m/>
    <s v=""/>
    <s v=""/>
    <m/>
    <s v=""/>
    <s v=""/>
    <s v=""/>
    <s v=""/>
    <s v=""/>
    <s v=""/>
    <s v=""/>
    <s v=""/>
    <s v=""/>
    <s v=""/>
    <s v=""/>
  </r>
  <r>
    <n v="314"/>
    <m/>
    <m/>
    <m/>
    <m/>
    <m/>
    <m/>
    <m/>
    <m/>
    <x v="0"/>
    <x v="0"/>
    <m/>
    <m/>
    <m/>
    <m/>
    <x v="0"/>
    <x v="0"/>
    <m/>
    <m/>
    <m/>
    <s v=""/>
    <m/>
    <s v=""/>
    <s v=""/>
    <m/>
    <s v=""/>
    <s v=""/>
    <s v=""/>
    <s v=""/>
    <s v=""/>
    <s v=""/>
    <s v=""/>
    <s v=""/>
    <s v=""/>
    <s v=""/>
    <s v=""/>
  </r>
  <r>
    <n v="315"/>
    <m/>
    <m/>
    <m/>
    <m/>
    <m/>
    <m/>
    <m/>
    <m/>
    <x v="0"/>
    <x v="0"/>
    <m/>
    <m/>
    <m/>
    <m/>
    <x v="0"/>
    <x v="0"/>
    <m/>
    <m/>
    <m/>
    <s v=""/>
    <m/>
    <s v=""/>
    <s v=""/>
    <m/>
    <s v=""/>
    <s v=""/>
    <s v=""/>
    <s v=""/>
    <s v=""/>
    <s v=""/>
    <s v=""/>
    <s v=""/>
    <s v=""/>
    <s v=""/>
    <s v=""/>
  </r>
  <r>
    <n v="316"/>
    <m/>
    <m/>
    <m/>
    <m/>
    <m/>
    <m/>
    <m/>
    <m/>
    <x v="0"/>
    <x v="0"/>
    <m/>
    <m/>
    <m/>
    <m/>
    <x v="0"/>
    <x v="0"/>
    <m/>
    <m/>
    <m/>
    <s v=""/>
    <m/>
    <s v=""/>
    <s v=""/>
    <m/>
    <s v=""/>
    <s v=""/>
    <s v=""/>
    <s v=""/>
    <s v=""/>
    <s v=""/>
    <s v=""/>
    <s v=""/>
    <s v=""/>
    <s v=""/>
    <s v=""/>
  </r>
  <r>
    <n v="317"/>
    <m/>
    <m/>
    <m/>
    <m/>
    <m/>
    <m/>
    <m/>
    <m/>
    <x v="0"/>
    <x v="0"/>
    <m/>
    <m/>
    <m/>
    <m/>
    <x v="0"/>
    <x v="0"/>
    <m/>
    <m/>
    <m/>
    <s v=""/>
    <m/>
    <s v=""/>
    <s v=""/>
    <m/>
    <s v=""/>
    <s v=""/>
    <s v=""/>
    <s v=""/>
    <s v=""/>
    <s v=""/>
    <s v=""/>
    <s v=""/>
    <s v=""/>
    <s v=""/>
    <s v=""/>
  </r>
  <r>
    <n v="318"/>
    <m/>
    <m/>
    <m/>
    <m/>
    <m/>
    <m/>
    <m/>
    <m/>
    <x v="0"/>
    <x v="0"/>
    <m/>
    <m/>
    <m/>
    <m/>
    <x v="0"/>
    <x v="0"/>
    <m/>
    <m/>
    <m/>
    <s v=""/>
    <m/>
    <s v=""/>
    <s v=""/>
    <m/>
    <s v=""/>
    <s v=""/>
    <s v=""/>
    <s v=""/>
    <s v=""/>
    <s v=""/>
    <s v=""/>
    <s v=""/>
    <s v=""/>
    <s v=""/>
    <s v=""/>
  </r>
  <r>
    <n v="319"/>
    <m/>
    <m/>
    <m/>
    <m/>
    <m/>
    <m/>
    <m/>
    <m/>
    <x v="0"/>
    <x v="0"/>
    <m/>
    <m/>
    <m/>
    <m/>
    <x v="0"/>
    <x v="0"/>
    <m/>
    <m/>
    <m/>
    <s v=""/>
    <m/>
    <s v=""/>
    <s v=""/>
    <m/>
    <s v=""/>
    <s v=""/>
    <s v=""/>
    <s v=""/>
    <s v=""/>
    <s v=""/>
    <s v=""/>
    <s v=""/>
    <s v=""/>
    <s v=""/>
    <s v=""/>
  </r>
  <r>
    <n v="320"/>
    <m/>
    <m/>
    <m/>
    <m/>
    <m/>
    <m/>
    <m/>
    <m/>
    <x v="0"/>
    <x v="0"/>
    <m/>
    <m/>
    <m/>
    <m/>
    <x v="0"/>
    <x v="0"/>
    <m/>
    <m/>
    <m/>
    <s v=""/>
    <m/>
    <s v=""/>
    <s v=""/>
    <m/>
    <s v=""/>
    <s v=""/>
    <s v=""/>
    <s v=""/>
    <s v=""/>
    <s v=""/>
    <s v=""/>
    <s v=""/>
    <s v=""/>
    <s v=""/>
    <s v=""/>
  </r>
  <r>
    <n v="321"/>
    <m/>
    <m/>
    <m/>
    <m/>
    <m/>
    <m/>
    <m/>
    <m/>
    <x v="0"/>
    <x v="0"/>
    <m/>
    <m/>
    <m/>
    <m/>
    <x v="0"/>
    <x v="0"/>
    <m/>
    <m/>
    <m/>
    <s v=""/>
    <m/>
    <s v=""/>
    <s v=""/>
    <m/>
    <s v=""/>
    <s v=""/>
    <s v=""/>
    <s v=""/>
    <s v=""/>
    <s v=""/>
    <s v=""/>
    <s v=""/>
    <s v=""/>
    <s v=""/>
    <s v=""/>
  </r>
  <r>
    <n v="322"/>
    <m/>
    <m/>
    <m/>
    <m/>
    <m/>
    <m/>
    <m/>
    <m/>
    <x v="0"/>
    <x v="0"/>
    <m/>
    <m/>
    <m/>
    <m/>
    <x v="0"/>
    <x v="0"/>
    <m/>
    <m/>
    <m/>
    <s v=""/>
    <m/>
    <s v=""/>
    <s v=""/>
    <m/>
    <s v=""/>
    <s v=""/>
    <s v=""/>
    <s v=""/>
    <s v=""/>
    <s v=""/>
    <s v=""/>
    <s v=""/>
    <s v=""/>
    <s v=""/>
    <s v=""/>
  </r>
  <r>
    <n v="323"/>
    <m/>
    <m/>
    <m/>
    <m/>
    <m/>
    <m/>
    <m/>
    <m/>
    <x v="0"/>
    <x v="0"/>
    <m/>
    <m/>
    <m/>
    <m/>
    <x v="0"/>
    <x v="0"/>
    <m/>
    <m/>
    <m/>
    <s v=""/>
    <m/>
    <s v=""/>
    <s v=""/>
    <m/>
    <s v=""/>
    <s v=""/>
    <s v=""/>
    <s v=""/>
    <s v=""/>
    <s v=""/>
    <s v=""/>
    <s v=""/>
    <s v=""/>
    <s v=""/>
    <s v=""/>
  </r>
  <r>
    <n v="324"/>
    <m/>
    <m/>
    <m/>
    <m/>
    <m/>
    <m/>
    <m/>
    <m/>
    <x v="0"/>
    <x v="0"/>
    <m/>
    <m/>
    <m/>
    <m/>
    <x v="0"/>
    <x v="0"/>
    <m/>
    <m/>
    <m/>
    <s v=""/>
    <m/>
    <s v=""/>
    <s v=""/>
    <m/>
    <s v=""/>
    <s v=""/>
    <s v=""/>
    <s v=""/>
    <s v=""/>
    <s v=""/>
    <s v=""/>
    <s v=""/>
    <s v=""/>
    <s v=""/>
    <s v=""/>
  </r>
  <r>
    <n v="325"/>
    <m/>
    <m/>
    <m/>
    <m/>
    <m/>
    <m/>
    <m/>
    <m/>
    <x v="0"/>
    <x v="0"/>
    <m/>
    <m/>
    <m/>
    <m/>
    <x v="0"/>
    <x v="0"/>
    <m/>
    <m/>
    <m/>
    <s v=""/>
    <m/>
    <s v=""/>
    <s v=""/>
    <m/>
    <s v=""/>
    <s v=""/>
    <s v=""/>
    <s v=""/>
    <s v=""/>
    <s v=""/>
    <s v=""/>
    <s v=""/>
    <s v=""/>
    <s v=""/>
    <s v=""/>
  </r>
  <r>
    <n v="326"/>
    <m/>
    <m/>
    <m/>
    <m/>
    <m/>
    <m/>
    <m/>
    <m/>
    <x v="0"/>
    <x v="0"/>
    <m/>
    <m/>
    <m/>
    <m/>
    <x v="0"/>
    <x v="0"/>
    <m/>
    <m/>
    <m/>
    <s v=""/>
    <m/>
    <s v=""/>
    <s v=""/>
    <m/>
    <s v=""/>
    <s v=""/>
    <s v=""/>
    <s v=""/>
    <s v=""/>
    <s v=""/>
    <s v=""/>
    <s v=""/>
    <s v=""/>
    <s v=""/>
    <s v=""/>
  </r>
  <r>
    <n v="327"/>
    <m/>
    <m/>
    <m/>
    <m/>
    <m/>
    <m/>
    <m/>
    <m/>
    <x v="0"/>
    <x v="0"/>
    <m/>
    <m/>
    <m/>
    <m/>
    <x v="0"/>
    <x v="0"/>
    <m/>
    <m/>
    <m/>
    <s v=""/>
    <m/>
    <s v=""/>
    <s v=""/>
    <m/>
    <s v=""/>
    <s v=""/>
    <s v=""/>
    <s v=""/>
    <s v=""/>
    <s v=""/>
    <s v=""/>
    <s v=""/>
    <s v=""/>
    <s v=""/>
    <s v=""/>
  </r>
  <r>
    <n v="328"/>
    <m/>
    <m/>
    <m/>
    <m/>
    <m/>
    <m/>
    <m/>
    <m/>
    <x v="0"/>
    <x v="0"/>
    <m/>
    <m/>
    <m/>
    <m/>
    <x v="0"/>
    <x v="0"/>
    <m/>
    <m/>
    <m/>
    <s v=""/>
    <m/>
    <s v=""/>
    <s v=""/>
    <m/>
    <s v=""/>
    <s v=""/>
    <s v=""/>
    <s v=""/>
    <s v=""/>
    <s v=""/>
    <s v=""/>
    <s v=""/>
    <s v=""/>
    <s v=""/>
    <s v=""/>
  </r>
  <r>
    <n v="329"/>
    <m/>
    <m/>
    <m/>
    <m/>
    <m/>
    <m/>
    <m/>
    <m/>
    <x v="0"/>
    <x v="0"/>
    <m/>
    <m/>
    <m/>
    <m/>
    <x v="0"/>
    <x v="0"/>
    <m/>
    <m/>
    <m/>
    <s v=""/>
    <m/>
    <s v=""/>
    <s v=""/>
    <m/>
    <s v=""/>
    <s v=""/>
    <s v=""/>
    <s v=""/>
    <s v=""/>
    <s v=""/>
    <s v=""/>
    <s v=""/>
    <s v=""/>
    <s v=""/>
    <s v=""/>
  </r>
  <r>
    <n v="330"/>
    <m/>
    <m/>
    <m/>
    <m/>
    <m/>
    <m/>
    <m/>
    <m/>
    <x v="0"/>
    <x v="0"/>
    <m/>
    <m/>
    <m/>
    <m/>
    <x v="0"/>
    <x v="0"/>
    <m/>
    <m/>
    <m/>
    <s v=""/>
    <m/>
    <s v=""/>
    <s v=""/>
    <m/>
    <s v=""/>
    <s v=""/>
    <s v=""/>
    <s v=""/>
    <s v=""/>
    <s v=""/>
    <s v=""/>
    <s v=""/>
    <s v=""/>
    <s v=""/>
    <s v=""/>
  </r>
  <r>
    <n v="331"/>
    <m/>
    <m/>
    <m/>
    <m/>
    <m/>
    <m/>
    <m/>
    <m/>
    <x v="0"/>
    <x v="0"/>
    <m/>
    <m/>
    <m/>
    <m/>
    <x v="0"/>
    <x v="0"/>
    <m/>
    <m/>
    <m/>
    <s v=""/>
    <m/>
    <s v=""/>
    <s v=""/>
    <m/>
    <s v=""/>
    <s v=""/>
    <s v=""/>
    <s v=""/>
    <s v=""/>
    <s v=""/>
    <s v=""/>
    <s v=""/>
    <s v=""/>
    <s v=""/>
    <s v=""/>
  </r>
  <r>
    <n v="332"/>
    <m/>
    <m/>
    <m/>
    <m/>
    <m/>
    <m/>
    <m/>
    <m/>
    <x v="0"/>
    <x v="0"/>
    <m/>
    <m/>
    <m/>
    <m/>
    <x v="0"/>
    <x v="0"/>
    <m/>
    <m/>
    <m/>
    <s v=""/>
    <m/>
    <s v=""/>
    <s v=""/>
    <m/>
    <s v=""/>
    <s v=""/>
    <s v=""/>
    <s v=""/>
    <s v=""/>
    <s v=""/>
    <s v=""/>
    <s v=""/>
    <s v=""/>
    <s v=""/>
    <s v=""/>
  </r>
  <r>
    <n v="333"/>
    <m/>
    <m/>
    <m/>
    <m/>
    <m/>
    <m/>
    <m/>
    <m/>
    <x v="0"/>
    <x v="0"/>
    <m/>
    <m/>
    <m/>
    <m/>
    <x v="0"/>
    <x v="0"/>
    <m/>
    <m/>
    <m/>
    <s v=""/>
    <m/>
    <s v=""/>
    <s v=""/>
    <m/>
    <s v=""/>
    <s v=""/>
    <s v=""/>
    <s v=""/>
    <s v=""/>
    <s v=""/>
    <s v=""/>
    <s v=""/>
    <s v=""/>
    <s v=""/>
    <s v=""/>
  </r>
  <r>
    <n v="334"/>
    <m/>
    <m/>
    <m/>
    <m/>
    <m/>
    <m/>
    <m/>
    <m/>
    <x v="0"/>
    <x v="0"/>
    <m/>
    <m/>
    <m/>
    <m/>
    <x v="0"/>
    <x v="0"/>
    <m/>
    <m/>
    <m/>
    <s v=""/>
    <m/>
    <s v=""/>
    <s v=""/>
    <m/>
    <s v=""/>
    <s v=""/>
    <s v=""/>
    <s v=""/>
    <s v=""/>
    <s v=""/>
    <s v=""/>
    <s v=""/>
    <s v=""/>
    <s v=""/>
    <s v=""/>
  </r>
  <r>
    <n v="335"/>
    <m/>
    <m/>
    <m/>
    <m/>
    <m/>
    <m/>
    <m/>
    <m/>
    <x v="0"/>
    <x v="0"/>
    <m/>
    <m/>
    <m/>
    <m/>
    <x v="0"/>
    <x v="0"/>
    <m/>
    <m/>
    <m/>
    <s v=""/>
    <m/>
    <s v=""/>
    <s v=""/>
    <m/>
    <s v=""/>
    <s v=""/>
    <s v=""/>
    <s v=""/>
    <s v=""/>
    <s v=""/>
    <s v=""/>
    <s v=""/>
    <s v=""/>
    <s v=""/>
    <s v=""/>
  </r>
  <r>
    <n v="336"/>
    <m/>
    <m/>
    <m/>
    <m/>
    <m/>
    <m/>
    <m/>
    <m/>
    <x v="0"/>
    <x v="0"/>
    <m/>
    <m/>
    <m/>
    <m/>
    <x v="0"/>
    <x v="0"/>
    <m/>
    <m/>
    <m/>
    <s v=""/>
    <m/>
    <s v=""/>
    <s v=""/>
    <m/>
    <s v=""/>
    <s v=""/>
    <s v=""/>
    <s v=""/>
    <s v=""/>
    <s v=""/>
    <s v=""/>
    <s v=""/>
    <s v=""/>
    <s v=""/>
    <s v=""/>
  </r>
  <r>
    <n v="337"/>
    <m/>
    <m/>
    <m/>
    <m/>
    <m/>
    <m/>
    <m/>
    <m/>
    <x v="0"/>
    <x v="0"/>
    <m/>
    <m/>
    <m/>
    <m/>
    <x v="0"/>
    <x v="0"/>
    <m/>
    <m/>
    <m/>
    <s v=""/>
    <m/>
    <s v=""/>
    <s v=""/>
    <m/>
    <s v=""/>
    <s v=""/>
    <s v=""/>
    <s v=""/>
    <s v=""/>
    <s v=""/>
    <s v=""/>
    <s v=""/>
    <s v=""/>
    <s v=""/>
    <s v=""/>
  </r>
  <r>
    <n v="338"/>
    <m/>
    <m/>
    <m/>
    <m/>
    <m/>
    <m/>
    <m/>
    <m/>
    <x v="0"/>
    <x v="0"/>
    <m/>
    <m/>
    <m/>
    <m/>
    <x v="0"/>
    <x v="0"/>
    <m/>
    <m/>
    <m/>
    <s v=""/>
    <m/>
    <s v=""/>
    <s v=""/>
    <m/>
    <s v=""/>
    <s v=""/>
    <s v=""/>
    <s v=""/>
    <s v=""/>
    <s v=""/>
    <s v=""/>
    <s v=""/>
    <s v=""/>
    <s v=""/>
    <s v=""/>
  </r>
  <r>
    <n v="339"/>
    <m/>
    <m/>
    <m/>
    <m/>
    <m/>
    <m/>
    <m/>
    <m/>
    <x v="0"/>
    <x v="0"/>
    <m/>
    <m/>
    <m/>
    <m/>
    <x v="0"/>
    <x v="0"/>
    <m/>
    <m/>
    <m/>
    <s v=""/>
    <m/>
    <s v=""/>
    <s v=""/>
    <m/>
    <s v=""/>
    <s v=""/>
    <s v=""/>
    <s v=""/>
    <s v=""/>
    <s v=""/>
    <s v=""/>
    <s v=""/>
    <s v=""/>
    <s v=""/>
    <s v=""/>
  </r>
  <r>
    <n v="340"/>
    <m/>
    <m/>
    <m/>
    <m/>
    <m/>
    <m/>
    <m/>
    <m/>
    <x v="0"/>
    <x v="0"/>
    <m/>
    <m/>
    <m/>
    <m/>
    <x v="0"/>
    <x v="0"/>
    <m/>
    <m/>
    <m/>
    <s v=""/>
    <m/>
    <s v=""/>
    <s v=""/>
    <m/>
    <s v=""/>
    <s v=""/>
    <s v=""/>
    <s v=""/>
    <s v=""/>
    <s v=""/>
    <s v=""/>
    <s v=""/>
    <s v=""/>
    <s v=""/>
    <s v=""/>
  </r>
  <r>
    <n v="341"/>
    <m/>
    <m/>
    <m/>
    <m/>
    <m/>
    <m/>
    <m/>
    <m/>
    <x v="0"/>
    <x v="0"/>
    <m/>
    <m/>
    <m/>
    <m/>
    <x v="0"/>
    <x v="0"/>
    <m/>
    <m/>
    <m/>
    <s v=""/>
    <m/>
    <s v=""/>
    <s v=""/>
    <m/>
    <s v=""/>
    <s v=""/>
    <s v=""/>
    <s v=""/>
    <s v=""/>
    <s v=""/>
    <s v=""/>
    <s v=""/>
    <s v=""/>
    <s v=""/>
    <s v=""/>
  </r>
  <r>
    <n v="342"/>
    <m/>
    <m/>
    <m/>
    <m/>
    <m/>
    <m/>
    <m/>
    <m/>
    <x v="0"/>
    <x v="0"/>
    <m/>
    <m/>
    <m/>
    <m/>
    <x v="0"/>
    <x v="0"/>
    <m/>
    <m/>
    <m/>
    <s v=""/>
    <m/>
    <s v=""/>
    <s v=""/>
    <m/>
    <s v=""/>
    <s v=""/>
    <s v=""/>
    <s v=""/>
    <s v=""/>
    <s v=""/>
    <s v=""/>
    <s v=""/>
    <s v=""/>
    <s v=""/>
    <s v=""/>
  </r>
  <r>
    <n v="343"/>
    <m/>
    <m/>
    <m/>
    <m/>
    <m/>
    <m/>
    <m/>
    <m/>
    <x v="0"/>
    <x v="0"/>
    <m/>
    <m/>
    <m/>
    <m/>
    <x v="0"/>
    <x v="0"/>
    <m/>
    <m/>
    <m/>
    <s v=""/>
    <m/>
    <s v=""/>
    <s v=""/>
    <m/>
    <s v=""/>
    <s v=""/>
    <s v=""/>
    <s v=""/>
    <s v=""/>
    <s v=""/>
    <s v=""/>
    <s v=""/>
    <s v=""/>
    <s v=""/>
    <s v=""/>
  </r>
  <r>
    <n v="344"/>
    <m/>
    <m/>
    <m/>
    <m/>
    <m/>
    <m/>
    <m/>
    <m/>
    <x v="0"/>
    <x v="0"/>
    <m/>
    <m/>
    <m/>
    <m/>
    <x v="0"/>
    <x v="0"/>
    <m/>
    <m/>
    <m/>
    <s v=""/>
    <m/>
    <s v=""/>
    <s v=""/>
    <m/>
    <s v=""/>
    <s v=""/>
    <s v=""/>
    <s v=""/>
    <s v=""/>
    <s v=""/>
    <s v=""/>
    <s v=""/>
    <s v=""/>
    <s v=""/>
    <s v=""/>
  </r>
  <r>
    <n v="345"/>
    <m/>
    <m/>
    <m/>
    <m/>
    <m/>
    <m/>
    <m/>
    <m/>
    <x v="0"/>
    <x v="0"/>
    <m/>
    <m/>
    <m/>
    <m/>
    <x v="0"/>
    <x v="0"/>
    <m/>
    <m/>
    <m/>
    <s v=""/>
    <m/>
    <s v=""/>
    <s v=""/>
    <m/>
    <s v=""/>
    <s v=""/>
    <s v=""/>
    <s v=""/>
    <s v=""/>
    <s v=""/>
    <s v=""/>
    <s v=""/>
    <s v=""/>
    <s v=""/>
    <s v=""/>
  </r>
  <r>
    <n v="346"/>
    <m/>
    <m/>
    <m/>
    <m/>
    <m/>
    <m/>
    <m/>
    <m/>
    <x v="0"/>
    <x v="0"/>
    <m/>
    <m/>
    <m/>
    <m/>
    <x v="0"/>
    <x v="0"/>
    <m/>
    <m/>
    <m/>
    <s v=""/>
    <m/>
    <s v=""/>
    <s v=""/>
    <m/>
    <s v=""/>
    <s v=""/>
    <s v=""/>
    <s v=""/>
    <s v=""/>
    <s v=""/>
    <s v=""/>
    <s v=""/>
    <s v=""/>
    <s v=""/>
    <s v=""/>
  </r>
  <r>
    <n v="347"/>
    <m/>
    <m/>
    <m/>
    <m/>
    <m/>
    <m/>
    <m/>
    <m/>
    <x v="0"/>
    <x v="0"/>
    <m/>
    <m/>
    <m/>
    <m/>
    <x v="0"/>
    <x v="0"/>
    <m/>
    <m/>
    <m/>
    <s v=""/>
    <m/>
    <s v=""/>
    <s v=""/>
    <m/>
    <s v=""/>
    <s v=""/>
    <s v=""/>
    <s v=""/>
    <s v=""/>
    <s v=""/>
    <s v=""/>
    <s v=""/>
    <s v=""/>
    <s v=""/>
    <s v=""/>
  </r>
  <r>
    <n v="348"/>
    <m/>
    <m/>
    <m/>
    <m/>
    <m/>
    <m/>
    <m/>
    <m/>
    <x v="0"/>
    <x v="0"/>
    <m/>
    <m/>
    <m/>
    <m/>
    <x v="0"/>
    <x v="0"/>
    <m/>
    <m/>
    <m/>
    <s v=""/>
    <m/>
    <s v=""/>
    <s v=""/>
    <m/>
    <s v=""/>
    <s v=""/>
    <s v=""/>
    <s v=""/>
    <s v=""/>
    <s v=""/>
    <s v=""/>
    <s v=""/>
    <s v=""/>
    <s v=""/>
    <s v=""/>
  </r>
  <r>
    <n v="349"/>
    <m/>
    <m/>
    <m/>
    <m/>
    <m/>
    <m/>
    <m/>
    <m/>
    <x v="0"/>
    <x v="0"/>
    <m/>
    <m/>
    <m/>
    <m/>
    <x v="0"/>
    <x v="0"/>
    <m/>
    <m/>
    <m/>
    <s v=""/>
    <m/>
    <s v=""/>
    <s v=""/>
    <m/>
    <s v=""/>
    <s v=""/>
    <s v=""/>
    <s v=""/>
    <s v=""/>
    <s v=""/>
    <s v=""/>
    <s v=""/>
    <s v=""/>
    <s v=""/>
    <s v=""/>
  </r>
  <r>
    <n v="350"/>
    <m/>
    <m/>
    <m/>
    <m/>
    <m/>
    <m/>
    <m/>
    <m/>
    <x v="0"/>
    <x v="0"/>
    <m/>
    <m/>
    <m/>
    <m/>
    <x v="0"/>
    <x v="0"/>
    <m/>
    <m/>
    <m/>
    <s v=""/>
    <m/>
    <s v=""/>
    <s v=""/>
    <m/>
    <s v=""/>
    <s v=""/>
    <s v=""/>
    <s v=""/>
    <s v=""/>
    <s v=""/>
    <s v=""/>
    <s v=""/>
    <s v=""/>
    <s v=""/>
    <s v=""/>
  </r>
  <r>
    <n v="351"/>
    <m/>
    <m/>
    <m/>
    <m/>
    <m/>
    <m/>
    <m/>
    <m/>
    <x v="0"/>
    <x v="0"/>
    <m/>
    <m/>
    <m/>
    <m/>
    <x v="0"/>
    <x v="0"/>
    <m/>
    <m/>
    <m/>
    <s v=""/>
    <m/>
    <s v=""/>
    <s v=""/>
    <m/>
    <s v=""/>
    <s v=""/>
    <s v=""/>
    <s v=""/>
    <s v=""/>
    <s v=""/>
    <s v=""/>
    <s v=""/>
    <s v=""/>
    <s v=""/>
    <s v=""/>
  </r>
  <r>
    <n v="352"/>
    <m/>
    <m/>
    <m/>
    <m/>
    <m/>
    <m/>
    <m/>
    <m/>
    <x v="0"/>
    <x v="0"/>
    <m/>
    <m/>
    <m/>
    <m/>
    <x v="0"/>
    <x v="0"/>
    <m/>
    <m/>
    <m/>
    <s v=""/>
    <m/>
    <s v=""/>
    <s v=""/>
    <m/>
    <s v=""/>
    <s v=""/>
    <s v=""/>
    <s v=""/>
    <s v=""/>
    <s v=""/>
    <s v=""/>
    <s v=""/>
    <s v=""/>
    <s v=""/>
    <s v=""/>
  </r>
  <r>
    <n v="353"/>
    <m/>
    <m/>
    <m/>
    <m/>
    <m/>
    <m/>
    <m/>
    <m/>
    <x v="0"/>
    <x v="0"/>
    <m/>
    <m/>
    <m/>
    <m/>
    <x v="0"/>
    <x v="0"/>
    <m/>
    <m/>
    <m/>
    <s v=""/>
    <m/>
    <s v=""/>
    <s v=""/>
    <m/>
    <s v=""/>
    <s v=""/>
    <s v=""/>
    <s v=""/>
    <s v=""/>
    <s v=""/>
    <s v=""/>
    <s v=""/>
    <s v=""/>
    <s v=""/>
    <s v=""/>
  </r>
  <r>
    <n v="354"/>
    <m/>
    <m/>
    <m/>
    <m/>
    <m/>
    <m/>
    <m/>
    <m/>
    <x v="0"/>
    <x v="0"/>
    <m/>
    <m/>
    <m/>
    <m/>
    <x v="0"/>
    <x v="0"/>
    <m/>
    <m/>
    <m/>
    <s v=""/>
    <m/>
    <s v=""/>
    <s v=""/>
    <m/>
    <s v=""/>
    <s v=""/>
    <s v=""/>
    <s v=""/>
    <s v=""/>
    <s v=""/>
    <s v=""/>
    <s v=""/>
    <s v=""/>
    <s v=""/>
    <s v=""/>
  </r>
  <r>
    <n v="355"/>
    <m/>
    <m/>
    <m/>
    <m/>
    <m/>
    <m/>
    <m/>
    <m/>
    <x v="0"/>
    <x v="0"/>
    <m/>
    <m/>
    <m/>
    <m/>
    <x v="0"/>
    <x v="0"/>
    <m/>
    <m/>
    <m/>
    <s v=""/>
    <m/>
    <s v=""/>
    <s v=""/>
    <m/>
    <s v=""/>
    <s v=""/>
    <s v=""/>
    <s v=""/>
    <s v=""/>
    <s v=""/>
    <s v=""/>
    <s v=""/>
    <s v=""/>
    <s v=""/>
    <s v=""/>
  </r>
  <r>
    <n v="356"/>
    <m/>
    <m/>
    <m/>
    <m/>
    <m/>
    <m/>
    <m/>
    <m/>
    <x v="0"/>
    <x v="0"/>
    <m/>
    <m/>
    <m/>
    <m/>
    <x v="0"/>
    <x v="0"/>
    <m/>
    <m/>
    <m/>
    <s v=""/>
    <m/>
    <s v=""/>
    <s v=""/>
    <m/>
    <s v=""/>
    <s v=""/>
    <s v=""/>
    <s v=""/>
    <s v=""/>
    <s v=""/>
    <s v=""/>
    <s v=""/>
    <s v=""/>
    <s v=""/>
    <s v=""/>
  </r>
  <r>
    <n v="357"/>
    <m/>
    <m/>
    <m/>
    <m/>
    <m/>
    <m/>
    <m/>
    <m/>
    <x v="0"/>
    <x v="0"/>
    <m/>
    <m/>
    <m/>
    <m/>
    <x v="0"/>
    <x v="0"/>
    <m/>
    <m/>
    <m/>
    <s v=""/>
    <m/>
    <s v=""/>
    <s v=""/>
    <m/>
    <s v=""/>
    <s v=""/>
    <s v=""/>
    <s v=""/>
    <s v=""/>
    <s v=""/>
    <s v=""/>
    <s v=""/>
    <s v=""/>
    <s v=""/>
    <s v=""/>
  </r>
  <r>
    <n v="358"/>
    <m/>
    <m/>
    <m/>
    <m/>
    <m/>
    <m/>
    <m/>
    <m/>
    <x v="0"/>
    <x v="0"/>
    <m/>
    <m/>
    <m/>
    <m/>
    <x v="0"/>
    <x v="0"/>
    <m/>
    <m/>
    <m/>
    <s v=""/>
    <m/>
    <s v=""/>
    <s v=""/>
    <m/>
    <s v=""/>
    <s v=""/>
    <s v=""/>
    <s v=""/>
    <s v=""/>
    <s v=""/>
    <s v=""/>
    <s v=""/>
    <s v=""/>
    <s v=""/>
    <s v=""/>
  </r>
  <r>
    <n v="359"/>
    <m/>
    <m/>
    <m/>
    <m/>
    <m/>
    <m/>
    <m/>
    <m/>
    <x v="0"/>
    <x v="0"/>
    <m/>
    <m/>
    <m/>
    <m/>
    <x v="0"/>
    <x v="0"/>
    <m/>
    <m/>
    <m/>
    <s v=""/>
    <m/>
    <s v=""/>
    <s v=""/>
    <m/>
    <s v=""/>
    <s v=""/>
    <s v=""/>
    <s v=""/>
    <s v=""/>
    <s v=""/>
    <s v=""/>
    <s v=""/>
    <s v=""/>
    <s v=""/>
    <s v=""/>
  </r>
  <r>
    <n v="360"/>
    <m/>
    <m/>
    <m/>
    <m/>
    <m/>
    <m/>
    <m/>
    <m/>
    <x v="0"/>
    <x v="0"/>
    <m/>
    <m/>
    <m/>
    <m/>
    <x v="0"/>
    <x v="0"/>
    <m/>
    <m/>
    <m/>
    <s v=""/>
    <m/>
    <s v=""/>
    <s v=""/>
    <m/>
    <s v=""/>
    <s v=""/>
    <s v=""/>
    <s v=""/>
    <s v=""/>
    <s v=""/>
    <s v=""/>
    <s v=""/>
    <s v=""/>
    <s v=""/>
    <s v=""/>
  </r>
  <r>
    <n v="361"/>
    <m/>
    <m/>
    <m/>
    <m/>
    <m/>
    <m/>
    <m/>
    <m/>
    <x v="0"/>
    <x v="0"/>
    <m/>
    <m/>
    <m/>
    <m/>
    <x v="0"/>
    <x v="0"/>
    <m/>
    <m/>
    <m/>
    <s v=""/>
    <m/>
    <s v=""/>
    <s v=""/>
    <m/>
    <s v=""/>
    <s v=""/>
    <s v=""/>
    <s v=""/>
    <s v=""/>
    <s v=""/>
    <s v=""/>
    <s v=""/>
    <s v=""/>
    <s v=""/>
    <s v=""/>
  </r>
  <r>
    <n v="362"/>
    <m/>
    <m/>
    <m/>
    <m/>
    <m/>
    <m/>
    <m/>
    <m/>
    <x v="0"/>
    <x v="0"/>
    <m/>
    <m/>
    <m/>
    <m/>
    <x v="0"/>
    <x v="0"/>
    <m/>
    <m/>
    <m/>
    <s v=""/>
    <m/>
    <s v=""/>
    <s v=""/>
    <m/>
    <s v=""/>
    <s v=""/>
    <s v=""/>
    <s v=""/>
    <s v=""/>
    <s v=""/>
    <s v=""/>
    <s v=""/>
    <s v=""/>
    <s v=""/>
    <s v=""/>
  </r>
  <r>
    <n v="363"/>
    <m/>
    <m/>
    <m/>
    <m/>
    <m/>
    <m/>
    <m/>
    <m/>
    <x v="0"/>
    <x v="0"/>
    <m/>
    <m/>
    <m/>
    <m/>
    <x v="0"/>
    <x v="0"/>
    <m/>
    <m/>
    <m/>
    <s v=""/>
    <m/>
    <s v=""/>
    <s v=""/>
    <m/>
    <s v=""/>
    <s v=""/>
    <s v=""/>
    <s v=""/>
    <s v=""/>
    <s v=""/>
    <s v=""/>
    <s v=""/>
    <s v=""/>
    <s v=""/>
    <s v=""/>
  </r>
  <r>
    <n v="364"/>
    <m/>
    <m/>
    <m/>
    <m/>
    <m/>
    <m/>
    <m/>
    <m/>
    <x v="0"/>
    <x v="0"/>
    <m/>
    <m/>
    <m/>
    <m/>
    <x v="0"/>
    <x v="0"/>
    <m/>
    <m/>
    <m/>
    <s v=""/>
    <m/>
    <s v=""/>
    <s v=""/>
    <m/>
    <s v=""/>
    <s v=""/>
    <s v=""/>
    <s v=""/>
    <s v=""/>
    <s v=""/>
    <s v=""/>
    <s v=""/>
    <s v=""/>
    <s v=""/>
    <s v=""/>
  </r>
  <r>
    <n v="365"/>
    <m/>
    <m/>
    <m/>
    <m/>
    <m/>
    <m/>
    <m/>
    <m/>
    <x v="0"/>
    <x v="0"/>
    <m/>
    <m/>
    <m/>
    <m/>
    <x v="0"/>
    <x v="0"/>
    <m/>
    <m/>
    <m/>
    <s v=""/>
    <m/>
    <s v=""/>
    <s v=""/>
    <m/>
    <s v=""/>
    <s v=""/>
    <s v=""/>
    <s v=""/>
    <s v=""/>
    <s v=""/>
    <s v=""/>
    <s v=""/>
    <s v=""/>
    <s v=""/>
    <s v=""/>
  </r>
  <r>
    <n v="366"/>
    <m/>
    <m/>
    <m/>
    <m/>
    <m/>
    <m/>
    <m/>
    <m/>
    <x v="0"/>
    <x v="0"/>
    <m/>
    <m/>
    <m/>
    <m/>
    <x v="0"/>
    <x v="0"/>
    <m/>
    <m/>
    <m/>
    <s v=""/>
    <m/>
    <s v=""/>
    <s v=""/>
    <m/>
    <s v=""/>
    <s v=""/>
    <s v=""/>
    <s v=""/>
    <s v=""/>
    <s v=""/>
    <s v=""/>
    <s v=""/>
    <s v=""/>
    <s v=""/>
    <s v=""/>
  </r>
  <r>
    <n v="367"/>
    <m/>
    <m/>
    <m/>
    <m/>
    <m/>
    <m/>
    <m/>
    <m/>
    <x v="0"/>
    <x v="0"/>
    <m/>
    <m/>
    <m/>
    <m/>
    <x v="0"/>
    <x v="0"/>
    <m/>
    <m/>
    <m/>
    <s v=""/>
    <m/>
    <s v=""/>
    <s v=""/>
    <m/>
    <s v=""/>
    <s v=""/>
    <s v=""/>
    <s v=""/>
    <s v=""/>
    <s v=""/>
    <s v=""/>
    <s v=""/>
    <s v=""/>
    <s v=""/>
    <s v=""/>
  </r>
  <r>
    <n v="368"/>
    <m/>
    <m/>
    <m/>
    <m/>
    <m/>
    <m/>
    <m/>
    <m/>
    <x v="0"/>
    <x v="0"/>
    <m/>
    <m/>
    <m/>
    <m/>
    <x v="0"/>
    <x v="0"/>
    <m/>
    <m/>
    <m/>
    <s v=""/>
    <m/>
    <s v=""/>
    <s v=""/>
    <m/>
    <s v=""/>
    <s v=""/>
    <s v=""/>
    <s v=""/>
    <s v=""/>
    <s v=""/>
    <s v=""/>
    <s v=""/>
    <s v=""/>
    <s v=""/>
    <s v=""/>
  </r>
  <r>
    <n v="369"/>
    <m/>
    <m/>
    <m/>
    <m/>
    <m/>
    <m/>
    <m/>
    <m/>
    <x v="0"/>
    <x v="0"/>
    <m/>
    <m/>
    <m/>
    <m/>
    <x v="0"/>
    <x v="0"/>
    <m/>
    <m/>
    <m/>
    <s v=""/>
    <m/>
    <s v=""/>
    <s v=""/>
    <m/>
    <s v=""/>
    <s v=""/>
    <s v=""/>
    <s v=""/>
    <s v=""/>
    <s v=""/>
    <s v=""/>
    <s v=""/>
    <s v=""/>
    <s v=""/>
    <s v=""/>
  </r>
  <r>
    <n v="370"/>
    <m/>
    <m/>
    <m/>
    <m/>
    <m/>
    <m/>
    <m/>
    <m/>
    <x v="0"/>
    <x v="0"/>
    <m/>
    <m/>
    <m/>
    <m/>
    <x v="0"/>
    <x v="0"/>
    <m/>
    <m/>
    <m/>
    <s v=""/>
    <m/>
    <s v=""/>
    <s v=""/>
    <m/>
    <s v=""/>
    <s v=""/>
    <s v=""/>
    <s v=""/>
    <s v=""/>
    <s v=""/>
    <s v=""/>
    <s v=""/>
    <s v=""/>
    <s v=""/>
    <s v=""/>
  </r>
  <r>
    <n v="371"/>
    <m/>
    <m/>
    <m/>
    <m/>
    <m/>
    <m/>
    <m/>
    <m/>
    <x v="0"/>
    <x v="0"/>
    <m/>
    <m/>
    <m/>
    <m/>
    <x v="0"/>
    <x v="0"/>
    <m/>
    <m/>
    <m/>
    <s v=""/>
    <m/>
    <s v=""/>
    <s v=""/>
    <m/>
    <s v=""/>
    <s v=""/>
    <s v=""/>
    <s v=""/>
    <s v=""/>
    <s v=""/>
    <s v=""/>
    <s v=""/>
    <s v=""/>
    <s v=""/>
    <s v=""/>
  </r>
  <r>
    <n v="372"/>
    <m/>
    <m/>
    <m/>
    <m/>
    <m/>
    <m/>
    <m/>
    <m/>
    <x v="0"/>
    <x v="0"/>
    <m/>
    <m/>
    <m/>
    <m/>
    <x v="0"/>
    <x v="0"/>
    <m/>
    <m/>
    <m/>
    <s v=""/>
    <m/>
    <s v=""/>
    <s v=""/>
    <m/>
    <s v=""/>
    <s v=""/>
    <s v=""/>
    <s v=""/>
    <s v=""/>
    <s v=""/>
    <s v=""/>
    <s v=""/>
    <s v=""/>
    <s v=""/>
    <s v=""/>
  </r>
  <r>
    <n v="373"/>
    <m/>
    <m/>
    <m/>
    <m/>
    <m/>
    <m/>
    <m/>
    <m/>
    <x v="0"/>
    <x v="0"/>
    <m/>
    <m/>
    <m/>
    <m/>
    <x v="0"/>
    <x v="0"/>
    <m/>
    <m/>
    <m/>
    <s v=""/>
    <m/>
    <s v=""/>
    <s v=""/>
    <m/>
    <s v=""/>
    <s v=""/>
    <s v=""/>
    <s v=""/>
    <s v=""/>
    <s v=""/>
    <s v=""/>
    <s v=""/>
    <s v=""/>
    <s v=""/>
    <s v=""/>
  </r>
  <r>
    <n v="374"/>
    <m/>
    <m/>
    <m/>
    <m/>
    <m/>
    <m/>
    <m/>
    <m/>
    <x v="0"/>
    <x v="0"/>
    <m/>
    <m/>
    <m/>
    <m/>
    <x v="0"/>
    <x v="0"/>
    <m/>
    <m/>
    <m/>
    <s v=""/>
    <m/>
    <s v=""/>
    <s v=""/>
    <m/>
    <s v=""/>
    <s v=""/>
    <s v=""/>
    <s v=""/>
    <s v=""/>
    <s v=""/>
    <s v=""/>
    <s v=""/>
    <s v=""/>
    <s v=""/>
    <s v=""/>
  </r>
  <r>
    <n v="375"/>
    <m/>
    <m/>
    <m/>
    <m/>
    <m/>
    <m/>
    <m/>
    <m/>
    <x v="0"/>
    <x v="0"/>
    <m/>
    <m/>
    <m/>
    <m/>
    <x v="0"/>
    <x v="0"/>
    <m/>
    <m/>
    <m/>
    <s v=""/>
    <m/>
    <s v=""/>
    <s v=""/>
    <m/>
    <s v=""/>
    <s v=""/>
    <s v=""/>
    <s v=""/>
    <s v=""/>
    <s v=""/>
    <s v=""/>
    <s v=""/>
    <s v=""/>
    <s v=""/>
    <s v=""/>
  </r>
  <r>
    <n v="376"/>
    <m/>
    <m/>
    <m/>
    <m/>
    <m/>
    <m/>
    <m/>
    <m/>
    <x v="0"/>
    <x v="0"/>
    <m/>
    <m/>
    <m/>
    <m/>
    <x v="0"/>
    <x v="0"/>
    <m/>
    <m/>
    <m/>
    <s v=""/>
    <m/>
    <s v=""/>
    <s v=""/>
    <m/>
    <s v=""/>
    <s v=""/>
    <s v=""/>
    <s v=""/>
    <s v=""/>
    <s v=""/>
    <s v=""/>
    <s v=""/>
    <s v=""/>
    <s v=""/>
    <s v=""/>
  </r>
  <r>
    <n v="377"/>
    <m/>
    <m/>
    <m/>
    <m/>
    <m/>
    <m/>
    <m/>
    <m/>
    <x v="0"/>
    <x v="0"/>
    <m/>
    <m/>
    <m/>
    <m/>
    <x v="0"/>
    <x v="0"/>
    <m/>
    <m/>
    <m/>
    <s v=""/>
    <m/>
    <s v=""/>
    <s v=""/>
    <m/>
    <s v=""/>
    <s v=""/>
    <s v=""/>
    <s v=""/>
    <s v=""/>
    <s v=""/>
    <s v=""/>
    <s v=""/>
    <s v=""/>
    <s v=""/>
    <s v=""/>
  </r>
  <r>
    <n v="378"/>
    <m/>
    <m/>
    <m/>
    <m/>
    <m/>
    <m/>
    <m/>
    <m/>
    <x v="0"/>
    <x v="0"/>
    <m/>
    <m/>
    <m/>
    <m/>
    <x v="0"/>
    <x v="0"/>
    <m/>
    <m/>
    <m/>
    <s v=""/>
    <m/>
    <s v=""/>
    <s v=""/>
    <m/>
    <s v=""/>
    <s v=""/>
    <s v=""/>
    <s v=""/>
    <s v=""/>
    <s v=""/>
    <s v=""/>
    <s v=""/>
    <s v=""/>
    <s v=""/>
    <s v=""/>
  </r>
  <r>
    <n v="379"/>
    <m/>
    <m/>
    <m/>
    <m/>
    <m/>
    <m/>
    <m/>
    <m/>
    <x v="0"/>
    <x v="0"/>
    <m/>
    <m/>
    <m/>
    <m/>
    <x v="0"/>
    <x v="0"/>
    <m/>
    <m/>
    <m/>
    <s v=""/>
    <m/>
    <s v=""/>
    <s v=""/>
    <m/>
    <s v=""/>
    <s v=""/>
    <s v=""/>
    <s v=""/>
    <s v=""/>
    <s v=""/>
    <s v=""/>
    <s v=""/>
    <s v=""/>
    <s v=""/>
    <s v=""/>
  </r>
  <r>
    <n v="380"/>
    <m/>
    <m/>
    <m/>
    <m/>
    <m/>
    <m/>
    <m/>
    <m/>
    <x v="0"/>
    <x v="0"/>
    <m/>
    <m/>
    <m/>
    <m/>
    <x v="0"/>
    <x v="0"/>
    <m/>
    <m/>
    <m/>
    <s v=""/>
    <m/>
    <s v=""/>
    <s v=""/>
    <m/>
    <s v=""/>
    <s v=""/>
    <s v=""/>
    <s v=""/>
    <s v=""/>
    <s v=""/>
    <s v=""/>
    <s v=""/>
    <s v=""/>
    <s v=""/>
    <s v=""/>
  </r>
  <r>
    <n v="381"/>
    <m/>
    <m/>
    <m/>
    <m/>
    <m/>
    <m/>
    <m/>
    <m/>
    <x v="0"/>
    <x v="0"/>
    <m/>
    <m/>
    <m/>
    <m/>
    <x v="0"/>
    <x v="0"/>
    <m/>
    <m/>
    <m/>
    <s v=""/>
    <m/>
    <s v=""/>
    <s v=""/>
    <m/>
    <s v=""/>
    <s v=""/>
    <s v=""/>
    <s v=""/>
    <s v=""/>
    <s v=""/>
    <s v=""/>
    <s v=""/>
    <s v=""/>
    <s v=""/>
    <s v=""/>
  </r>
  <r>
    <n v="382"/>
    <m/>
    <m/>
    <m/>
    <m/>
    <m/>
    <m/>
    <m/>
    <m/>
    <x v="0"/>
    <x v="0"/>
    <m/>
    <m/>
    <m/>
    <m/>
    <x v="0"/>
    <x v="0"/>
    <m/>
    <m/>
    <m/>
    <s v=""/>
    <m/>
    <s v=""/>
    <s v=""/>
    <m/>
    <s v=""/>
    <s v=""/>
    <s v=""/>
    <s v=""/>
    <s v=""/>
    <s v=""/>
    <s v=""/>
    <s v=""/>
    <s v=""/>
    <s v=""/>
    <s v=""/>
  </r>
  <r>
    <n v="383"/>
    <m/>
    <m/>
    <m/>
    <m/>
    <m/>
    <m/>
    <m/>
    <m/>
    <x v="0"/>
    <x v="0"/>
    <m/>
    <m/>
    <m/>
    <m/>
    <x v="0"/>
    <x v="0"/>
    <m/>
    <m/>
    <m/>
    <s v=""/>
    <m/>
    <s v=""/>
    <s v=""/>
    <m/>
    <s v=""/>
    <s v=""/>
    <s v=""/>
    <s v=""/>
    <s v=""/>
    <s v=""/>
    <s v=""/>
    <s v=""/>
    <s v=""/>
    <s v=""/>
    <s v=""/>
  </r>
  <r>
    <n v="384"/>
    <m/>
    <m/>
    <m/>
    <m/>
    <m/>
    <m/>
    <m/>
    <m/>
    <x v="0"/>
    <x v="0"/>
    <m/>
    <m/>
    <m/>
    <m/>
    <x v="0"/>
    <x v="0"/>
    <m/>
    <m/>
    <m/>
    <s v=""/>
    <m/>
    <s v=""/>
    <s v=""/>
    <m/>
    <s v=""/>
    <s v=""/>
    <s v=""/>
    <s v=""/>
    <s v=""/>
    <s v=""/>
    <s v=""/>
    <s v=""/>
    <s v=""/>
    <s v=""/>
    <s v=""/>
  </r>
  <r>
    <n v="385"/>
    <m/>
    <m/>
    <m/>
    <m/>
    <m/>
    <m/>
    <m/>
    <m/>
    <x v="0"/>
    <x v="0"/>
    <m/>
    <m/>
    <m/>
    <m/>
    <x v="0"/>
    <x v="0"/>
    <m/>
    <m/>
    <m/>
    <s v=""/>
    <m/>
    <s v=""/>
    <s v=""/>
    <m/>
    <s v=""/>
    <s v=""/>
    <s v=""/>
    <s v=""/>
    <s v=""/>
    <s v=""/>
    <s v=""/>
    <s v=""/>
    <s v=""/>
    <s v=""/>
    <s v=""/>
  </r>
  <r>
    <n v="386"/>
    <m/>
    <m/>
    <m/>
    <m/>
    <m/>
    <m/>
    <m/>
    <m/>
    <x v="0"/>
    <x v="0"/>
    <m/>
    <m/>
    <m/>
    <m/>
    <x v="0"/>
    <x v="0"/>
    <m/>
    <m/>
    <m/>
    <s v=""/>
    <m/>
    <s v=""/>
    <s v=""/>
    <m/>
    <s v=""/>
    <s v=""/>
    <s v=""/>
    <s v=""/>
    <s v=""/>
    <s v=""/>
    <s v=""/>
    <s v=""/>
    <s v=""/>
    <s v=""/>
    <s v=""/>
  </r>
  <r>
    <n v="387"/>
    <m/>
    <m/>
    <m/>
    <m/>
    <m/>
    <m/>
    <m/>
    <m/>
    <x v="0"/>
    <x v="0"/>
    <m/>
    <m/>
    <m/>
    <m/>
    <x v="0"/>
    <x v="0"/>
    <m/>
    <m/>
    <m/>
    <s v=""/>
    <m/>
    <s v=""/>
    <s v=""/>
    <m/>
    <s v=""/>
    <s v=""/>
    <s v=""/>
    <s v=""/>
    <s v=""/>
    <s v=""/>
    <s v=""/>
    <s v=""/>
    <s v=""/>
    <s v=""/>
    <s v=""/>
  </r>
  <r>
    <n v="388"/>
    <m/>
    <m/>
    <m/>
    <m/>
    <m/>
    <m/>
    <m/>
    <m/>
    <x v="0"/>
    <x v="0"/>
    <m/>
    <m/>
    <m/>
    <m/>
    <x v="0"/>
    <x v="0"/>
    <m/>
    <m/>
    <m/>
    <s v=""/>
    <m/>
    <s v=""/>
    <s v=""/>
    <m/>
    <s v=""/>
    <s v=""/>
    <s v=""/>
    <s v=""/>
    <s v=""/>
    <s v=""/>
    <s v=""/>
    <s v=""/>
    <s v=""/>
    <s v=""/>
    <s v=""/>
  </r>
  <r>
    <n v="389"/>
    <m/>
    <m/>
    <m/>
    <m/>
    <m/>
    <m/>
    <m/>
    <m/>
    <x v="0"/>
    <x v="0"/>
    <m/>
    <m/>
    <m/>
    <m/>
    <x v="0"/>
    <x v="0"/>
    <m/>
    <m/>
    <m/>
    <s v=""/>
    <m/>
    <s v=""/>
    <s v=""/>
    <m/>
    <s v=""/>
    <s v=""/>
    <s v=""/>
    <s v=""/>
    <s v=""/>
    <s v=""/>
    <s v=""/>
    <s v=""/>
    <s v=""/>
    <s v=""/>
    <s v=""/>
  </r>
  <r>
    <n v="390"/>
    <m/>
    <m/>
    <m/>
    <m/>
    <m/>
    <m/>
    <m/>
    <m/>
    <x v="0"/>
    <x v="0"/>
    <m/>
    <m/>
    <m/>
    <m/>
    <x v="0"/>
    <x v="0"/>
    <m/>
    <m/>
    <m/>
    <s v=""/>
    <m/>
    <s v=""/>
    <s v=""/>
    <m/>
    <s v=""/>
    <s v=""/>
    <s v=""/>
    <s v=""/>
    <s v=""/>
    <s v=""/>
    <s v=""/>
    <s v=""/>
    <s v=""/>
    <s v=""/>
    <s v=""/>
  </r>
  <r>
    <n v="391"/>
    <m/>
    <m/>
    <m/>
    <m/>
    <m/>
    <m/>
    <m/>
    <m/>
    <x v="0"/>
    <x v="0"/>
    <m/>
    <m/>
    <m/>
    <m/>
    <x v="0"/>
    <x v="0"/>
    <m/>
    <m/>
    <m/>
    <s v=""/>
    <m/>
    <s v=""/>
    <s v=""/>
    <m/>
    <s v=""/>
    <s v=""/>
    <s v=""/>
    <s v=""/>
    <s v=""/>
    <s v=""/>
    <s v=""/>
    <s v=""/>
    <s v=""/>
    <s v=""/>
    <s v=""/>
  </r>
  <r>
    <n v="392"/>
    <m/>
    <m/>
    <m/>
    <m/>
    <m/>
    <m/>
    <m/>
    <m/>
    <x v="0"/>
    <x v="0"/>
    <m/>
    <m/>
    <m/>
    <m/>
    <x v="0"/>
    <x v="0"/>
    <m/>
    <m/>
    <m/>
    <s v=""/>
    <m/>
    <s v=""/>
    <s v=""/>
    <m/>
    <s v=""/>
    <s v=""/>
    <s v=""/>
    <s v=""/>
    <s v=""/>
    <s v=""/>
    <s v=""/>
    <s v=""/>
    <s v=""/>
    <s v=""/>
    <s v=""/>
  </r>
  <r>
    <n v="393"/>
    <m/>
    <m/>
    <m/>
    <m/>
    <m/>
    <m/>
    <m/>
    <m/>
    <x v="0"/>
    <x v="0"/>
    <m/>
    <m/>
    <m/>
    <m/>
    <x v="0"/>
    <x v="0"/>
    <m/>
    <m/>
    <m/>
    <s v=""/>
    <m/>
    <s v=""/>
    <s v=""/>
    <m/>
    <s v=""/>
    <s v=""/>
    <s v=""/>
    <s v=""/>
    <s v=""/>
    <s v=""/>
    <s v=""/>
    <s v=""/>
    <s v=""/>
    <s v=""/>
    <s v=""/>
  </r>
  <r>
    <n v="394"/>
    <m/>
    <m/>
    <m/>
    <m/>
    <m/>
    <m/>
    <m/>
    <m/>
    <x v="0"/>
    <x v="0"/>
    <m/>
    <m/>
    <m/>
    <m/>
    <x v="0"/>
    <x v="0"/>
    <m/>
    <m/>
    <m/>
    <s v=""/>
    <m/>
    <s v=""/>
    <s v=""/>
    <m/>
    <s v=""/>
    <s v=""/>
    <s v=""/>
    <s v=""/>
    <s v=""/>
    <s v=""/>
    <s v=""/>
    <s v=""/>
    <s v=""/>
    <s v=""/>
    <s v=""/>
  </r>
  <r>
    <n v="395"/>
    <m/>
    <m/>
    <m/>
    <m/>
    <m/>
    <m/>
    <m/>
    <m/>
    <x v="0"/>
    <x v="0"/>
    <m/>
    <m/>
    <m/>
    <m/>
    <x v="0"/>
    <x v="0"/>
    <m/>
    <m/>
    <m/>
    <s v=""/>
    <m/>
    <s v=""/>
    <s v=""/>
    <m/>
    <s v=""/>
    <s v=""/>
    <s v=""/>
    <s v=""/>
    <s v=""/>
    <s v=""/>
    <s v=""/>
    <s v=""/>
    <s v=""/>
    <s v=""/>
    <s v=""/>
  </r>
  <r>
    <n v="396"/>
    <m/>
    <m/>
    <m/>
    <m/>
    <m/>
    <m/>
    <m/>
    <m/>
    <x v="0"/>
    <x v="0"/>
    <m/>
    <m/>
    <m/>
    <m/>
    <x v="0"/>
    <x v="0"/>
    <m/>
    <m/>
    <m/>
    <s v=""/>
    <m/>
    <s v=""/>
    <s v=""/>
    <m/>
    <s v=""/>
    <s v=""/>
    <s v=""/>
    <s v=""/>
    <s v=""/>
    <s v=""/>
    <s v=""/>
    <s v=""/>
    <s v=""/>
    <s v=""/>
    <s v=""/>
  </r>
  <r>
    <n v="397"/>
    <m/>
    <m/>
    <m/>
    <m/>
    <m/>
    <m/>
    <m/>
    <m/>
    <x v="0"/>
    <x v="0"/>
    <m/>
    <m/>
    <m/>
    <m/>
    <x v="0"/>
    <x v="0"/>
    <m/>
    <m/>
    <m/>
    <s v=""/>
    <m/>
    <s v=""/>
    <s v=""/>
    <m/>
    <s v=""/>
    <s v=""/>
    <s v=""/>
    <s v=""/>
    <s v=""/>
    <s v=""/>
    <s v=""/>
    <s v=""/>
    <s v=""/>
    <s v=""/>
    <s v=""/>
  </r>
  <r>
    <n v="398"/>
    <m/>
    <m/>
    <m/>
    <m/>
    <m/>
    <m/>
    <m/>
    <m/>
    <x v="0"/>
    <x v="0"/>
    <m/>
    <m/>
    <m/>
    <m/>
    <x v="0"/>
    <x v="0"/>
    <m/>
    <m/>
    <m/>
    <s v=""/>
    <m/>
    <s v=""/>
    <s v=""/>
    <m/>
    <s v=""/>
    <s v=""/>
    <s v=""/>
    <s v=""/>
    <s v=""/>
    <s v=""/>
    <s v=""/>
    <s v=""/>
    <s v=""/>
    <s v=""/>
    <s v=""/>
  </r>
  <r>
    <n v="399"/>
    <m/>
    <m/>
    <m/>
    <m/>
    <m/>
    <m/>
    <m/>
    <m/>
    <x v="0"/>
    <x v="0"/>
    <m/>
    <m/>
    <m/>
    <m/>
    <x v="0"/>
    <x v="0"/>
    <m/>
    <m/>
    <m/>
    <s v=""/>
    <m/>
    <s v=""/>
    <s v=""/>
    <m/>
    <s v=""/>
    <s v=""/>
    <s v=""/>
    <s v=""/>
    <s v=""/>
    <s v=""/>
    <s v=""/>
    <s v=""/>
    <s v=""/>
    <s v=""/>
    <s v=""/>
  </r>
  <r>
    <n v="400"/>
    <m/>
    <m/>
    <m/>
    <m/>
    <m/>
    <m/>
    <m/>
    <m/>
    <x v="0"/>
    <x v="0"/>
    <m/>
    <m/>
    <m/>
    <m/>
    <x v="0"/>
    <x v="0"/>
    <m/>
    <m/>
    <m/>
    <s v=""/>
    <m/>
    <s v=""/>
    <s v=""/>
    <m/>
    <s v=""/>
    <s v=""/>
    <s v=""/>
    <s v=""/>
    <s v=""/>
    <s v=""/>
    <s v=""/>
    <s v=""/>
    <s v=""/>
    <s v=""/>
    <s v=""/>
  </r>
  <r>
    <n v="401"/>
    <m/>
    <m/>
    <m/>
    <m/>
    <m/>
    <m/>
    <m/>
    <m/>
    <x v="0"/>
    <x v="0"/>
    <m/>
    <m/>
    <m/>
    <m/>
    <x v="0"/>
    <x v="0"/>
    <m/>
    <m/>
    <m/>
    <s v=""/>
    <m/>
    <s v=""/>
    <s v=""/>
    <m/>
    <s v=""/>
    <s v=""/>
    <s v=""/>
    <s v=""/>
    <s v=""/>
    <s v=""/>
    <s v=""/>
    <s v=""/>
    <s v=""/>
    <s v=""/>
    <s v=""/>
  </r>
  <r>
    <n v="402"/>
    <m/>
    <m/>
    <m/>
    <m/>
    <m/>
    <m/>
    <m/>
    <m/>
    <x v="0"/>
    <x v="0"/>
    <m/>
    <m/>
    <m/>
    <m/>
    <x v="0"/>
    <x v="0"/>
    <m/>
    <m/>
    <m/>
    <s v=""/>
    <m/>
    <s v=""/>
    <s v=""/>
    <m/>
    <s v=""/>
    <s v=""/>
    <s v=""/>
    <s v=""/>
    <s v=""/>
    <s v=""/>
    <s v=""/>
    <s v=""/>
    <s v=""/>
    <s v=""/>
    <s v=""/>
  </r>
  <r>
    <n v="403"/>
    <m/>
    <m/>
    <m/>
    <m/>
    <m/>
    <m/>
    <m/>
    <m/>
    <x v="0"/>
    <x v="0"/>
    <m/>
    <m/>
    <m/>
    <m/>
    <x v="0"/>
    <x v="0"/>
    <m/>
    <m/>
    <m/>
    <s v=""/>
    <m/>
    <s v=""/>
    <s v=""/>
    <m/>
    <s v=""/>
    <s v=""/>
    <s v=""/>
    <s v=""/>
    <s v=""/>
    <s v=""/>
    <s v=""/>
    <s v=""/>
    <s v=""/>
    <s v=""/>
    <s v=""/>
  </r>
  <r>
    <n v="404"/>
    <m/>
    <m/>
    <m/>
    <m/>
    <m/>
    <m/>
    <m/>
    <m/>
    <x v="0"/>
    <x v="0"/>
    <m/>
    <m/>
    <m/>
    <m/>
    <x v="0"/>
    <x v="0"/>
    <m/>
    <m/>
    <m/>
    <s v=""/>
    <m/>
    <s v=""/>
    <s v=""/>
    <m/>
    <s v=""/>
    <s v=""/>
    <s v=""/>
    <s v=""/>
    <s v=""/>
    <s v=""/>
    <s v=""/>
    <s v=""/>
    <s v=""/>
    <s v=""/>
    <s v=""/>
  </r>
  <r>
    <n v="405"/>
    <m/>
    <m/>
    <m/>
    <m/>
    <m/>
    <m/>
    <m/>
    <m/>
    <x v="0"/>
    <x v="0"/>
    <m/>
    <m/>
    <m/>
    <m/>
    <x v="0"/>
    <x v="0"/>
    <m/>
    <m/>
    <m/>
    <s v=""/>
    <m/>
    <s v=""/>
    <s v=""/>
    <m/>
    <s v=""/>
    <s v=""/>
    <s v=""/>
    <s v=""/>
    <s v=""/>
    <s v=""/>
    <s v=""/>
    <s v=""/>
    <s v=""/>
    <s v=""/>
    <s v=""/>
  </r>
  <r>
    <n v="406"/>
    <m/>
    <m/>
    <m/>
    <m/>
    <m/>
    <m/>
    <m/>
    <m/>
    <x v="0"/>
    <x v="0"/>
    <m/>
    <m/>
    <m/>
    <m/>
    <x v="0"/>
    <x v="0"/>
    <m/>
    <m/>
    <m/>
    <s v=""/>
    <m/>
    <s v=""/>
    <s v=""/>
    <m/>
    <s v=""/>
    <s v=""/>
    <s v=""/>
    <s v=""/>
    <s v=""/>
    <s v=""/>
    <s v=""/>
    <s v=""/>
    <s v=""/>
    <s v=""/>
    <s v=""/>
  </r>
  <r>
    <n v="407"/>
    <m/>
    <m/>
    <m/>
    <m/>
    <m/>
    <m/>
    <m/>
    <m/>
    <x v="0"/>
    <x v="0"/>
    <m/>
    <m/>
    <m/>
    <m/>
    <x v="0"/>
    <x v="0"/>
    <m/>
    <m/>
    <m/>
    <s v=""/>
    <m/>
    <s v=""/>
    <s v=""/>
    <m/>
    <s v=""/>
    <s v=""/>
    <s v=""/>
    <s v=""/>
    <s v=""/>
    <s v=""/>
    <s v=""/>
    <s v=""/>
    <s v=""/>
    <s v=""/>
    <s v=""/>
  </r>
  <r>
    <n v="408"/>
    <m/>
    <m/>
    <m/>
    <m/>
    <m/>
    <m/>
    <m/>
    <m/>
    <x v="0"/>
    <x v="0"/>
    <m/>
    <m/>
    <m/>
    <m/>
    <x v="0"/>
    <x v="0"/>
    <m/>
    <m/>
    <m/>
    <s v=""/>
    <m/>
    <s v=""/>
    <s v=""/>
    <m/>
    <s v=""/>
    <s v=""/>
    <s v=""/>
    <s v=""/>
    <s v=""/>
    <s v=""/>
    <s v=""/>
    <s v=""/>
    <s v=""/>
    <s v=""/>
    <s v=""/>
  </r>
  <r>
    <n v="409"/>
    <m/>
    <m/>
    <m/>
    <m/>
    <m/>
    <m/>
    <m/>
    <m/>
    <x v="0"/>
    <x v="0"/>
    <m/>
    <m/>
    <m/>
    <m/>
    <x v="0"/>
    <x v="0"/>
    <m/>
    <m/>
    <m/>
    <s v=""/>
    <m/>
    <s v=""/>
    <s v=""/>
    <m/>
    <s v=""/>
    <s v=""/>
    <s v=""/>
    <s v=""/>
    <s v=""/>
    <s v=""/>
    <s v=""/>
    <s v=""/>
    <s v=""/>
    <s v=""/>
    <s v=""/>
  </r>
  <r>
    <n v="410"/>
    <m/>
    <m/>
    <m/>
    <m/>
    <m/>
    <m/>
    <m/>
    <m/>
    <x v="0"/>
    <x v="0"/>
    <m/>
    <m/>
    <m/>
    <m/>
    <x v="0"/>
    <x v="0"/>
    <m/>
    <m/>
    <m/>
    <s v=""/>
    <m/>
    <s v=""/>
    <s v=""/>
    <m/>
    <s v=""/>
    <s v=""/>
    <s v=""/>
    <s v=""/>
    <s v=""/>
    <s v=""/>
    <s v=""/>
    <s v=""/>
    <s v=""/>
    <s v=""/>
    <s v=""/>
  </r>
  <r>
    <n v="411"/>
    <m/>
    <m/>
    <m/>
    <m/>
    <m/>
    <m/>
    <m/>
    <m/>
    <x v="0"/>
    <x v="0"/>
    <m/>
    <m/>
    <m/>
    <m/>
    <x v="0"/>
    <x v="0"/>
    <m/>
    <m/>
    <m/>
    <s v=""/>
    <m/>
    <s v=""/>
    <s v=""/>
    <m/>
    <s v=""/>
    <s v=""/>
    <s v=""/>
    <s v=""/>
    <s v=""/>
    <s v=""/>
    <s v=""/>
    <s v=""/>
    <s v=""/>
    <s v=""/>
    <s v=""/>
  </r>
  <r>
    <n v="412"/>
    <m/>
    <m/>
    <m/>
    <m/>
    <m/>
    <m/>
    <m/>
    <m/>
    <x v="0"/>
    <x v="0"/>
    <m/>
    <m/>
    <m/>
    <m/>
    <x v="0"/>
    <x v="0"/>
    <m/>
    <m/>
    <m/>
    <s v=""/>
    <m/>
    <s v=""/>
    <s v=""/>
    <m/>
    <s v=""/>
    <s v=""/>
    <s v=""/>
    <s v=""/>
    <s v=""/>
    <s v=""/>
    <s v=""/>
    <s v=""/>
    <s v=""/>
    <s v=""/>
    <s v=""/>
  </r>
  <r>
    <n v="413"/>
    <m/>
    <m/>
    <m/>
    <m/>
    <m/>
    <m/>
    <m/>
    <m/>
    <x v="0"/>
    <x v="0"/>
    <m/>
    <m/>
    <m/>
    <m/>
    <x v="0"/>
    <x v="0"/>
    <m/>
    <m/>
    <m/>
    <s v=""/>
    <m/>
    <s v=""/>
    <s v=""/>
    <m/>
    <s v=""/>
    <s v=""/>
    <s v=""/>
    <s v=""/>
    <s v=""/>
    <s v=""/>
    <s v=""/>
    <s v=""/>
    <s v=""/>
    <s v=""/>
    <s v=""/>
  </r>
  <r>
    <n v="414"/>
    <m/>
    <m/>
    <m/>
    <m/>
    <m/>
    <m/>
    <m/>
    <m/>
    <x v="0"/>
    <x v="0"/>
    <m/>
    <m/>
    <m/>
    <m/>
    <x v="0"/>
    <x v="0"/>
    <m/>
    <m/>
    <m/>
    <s v=""/>
    <m/>
    <s v=""/>
    <s v=""/>
    <m/>
    <s v=""/>
    <s v=""/>
    <s v=""/>
    <s v=""/>
    <s v=""/>
    <s v=""/>
    <s v=""/>
    <s v=""/>
    <s v=""/>
    <s v=""/>
    <s v=""/>
  </r>
  <r>
    <n v="415"/>
    <m/>
    <m/>
    <m/>
    <m/>
    <m/>
    <m/>
    <m/>
    <m/>
    <x v="0"/>
    <x v="0"/>
    <m/>
    <m/>
    <m/>
    <m/>
    <x v="0"/>
    <x v="0"/>
    <m/>
    <m/>
    <m/>
    <s v=""/>
    <m/>
    <s v=""/>
    <s v=""/>
    <m/>
    <s v=""/>
    <s v=""/>
    <s v=""/>
    <s v=""/>
    <s v=""/>
    <s v=""/>
    <s v=""/>
    <s v=""/>
    <s v=""/>
    <s v=""/>
    <s v=""/>
  </r>
  <r>
    <n v="416"/>
    <m/>
    <m/>
    <m/>
    <m/>
    <m/>
    <m/>
    <m/>
    <m/>
    <x v="0"/>
    <x v="0"/>
    <m/>
    <m/>
    <m/>
    <m/>
    <x v="0"/>
    <x v="0"/>
    <m/>
    <m/>
    <m/>
    <s v=""/>
    <m/>
    <s v=""/>
    <s v=""/>
    <m/>
    <s v=""/>
    <s v=""/>
    <s v=""/>
    <s v=""/>
    <s v=""/>
    <s v=""/>
    <s v=""/>
    <s v=""/>
    <s v=""/>
    <s v=""/>
    <s v=""/>
  </r>
  <r>
    <n v="417"/>
    <m/>
    <m/>
    <m/>
    <m/>
    <m/>
    <m/>
    <m/>
    <m/>
    <x v="0"/>
    <x v="0"/>
    <m/>
    <m/>
    <m/>
    <m/>
    <x v="0"/>
    <x v="0"/>
    <m/>
    <m/>
    <m/>
    <s v=""/>
    <m/>
    <s v=""/>
    <s v=""/>
    <m/>
    <s v=""/>
    <s v=""/>
    <s v=""/>
    <s v=""/>
    <s v=""/>
    <s v=""/>
    <s v=""/>
    <s v=""/>
    <s v=""/>
    <s v=""/>
    <s v=""/>
  </r>
  <r>
    <n v="418"/>
    <m/>
    <m/>
    <m/>
    <m/>
    <m/>
    <m/>
    <m/>
    <m/>
    <x v="0"/>
    <x v="0"/>
    <m/>
    <m/>
    <m/>
    <m/>
    <x v="0"/>
    <x v="0"/>
    <m/>
    <m/>
    <m/>
    <s v=""/>
    <m/>
    <s v=""/>
    <s v=""/>
    <m/>
    <s v=""/>
    <s v=""/>
    <s v=""/>
    <s v=""/>
    <s v=""/>
    <s v=""/>
    <s v=""/>
    <s v=""/>
    <s v=""/>
    <s v=""/>
    <s v=""/>
  </r>
  <r>
    <n v="419"/>
    <m/>
    <m/>
    <m/>
    <m/>
    <m/>
    <m/>
    <m/>
    <m/>
    <x v="0"/>
    <x v="0"/>
    <m/>
    <m/>
    <m/>
    <m/>
    <x v="0"/>
    <x v="0"/>
    <m/>
    <m/>
    <m/>
    <s v=""/>
    <m/>
    <s v=""/>
    <s v=""/>
    <m/>
    <s v=""/>
    <s v=""/>
    <s v=""/>
    <s v=""/>
    <s v=""/>
    <s v=""/>
    <s v=""/>
    <s v=""/>
    <s v=""/>
    <s v=""/>
    <s v=""/>
  </r>
  <r>
    <n v="420"/>
    <m/>
    <m/>
    <m/>
    <m/>
    <m/>
    <m/>
    <m/>
    <m/>
    <x v="0"/>
    <x v="0"/>
    <m/>
    <m/>
    <m/>
    <m/>
    <x v="0"/>
    <x v="0"/>
    <m/>
    <m/>
    <m/>
    <s v=""/>
    <m/>
    <s v=""/>
    <s v=""/>
    <m/>
    <s v=""/>
    <s v=""/>
    <s v=""/>
    <s v=""/>
    <s v=""/>
    <s v=""/>
    <s v=""/>
    <s v=""/>
    <s v=""/>
    <s v=""/>
    <s v=""/>
  </r>
  <r>
    <n v="421"/>
    <m/>
    <m/>
    <m/>
    <m/>
    <m/>
    <m/>
    <m/>
    <m/>
    <x v="0"/>
    <x v="0"/>
    <m/>
    <m/>
    <m/>
    <m/>
    <x v="0"/>
    <x v="0"/>
    <m/>
    <m/>
    <m/>
    <s v=""/>
    <m/>
    <s v=""/>
    <s v=""/>
    <m/>
    <s v=""/>
    <s v=""/>
    <s v=""/>
    <s v=""/>
    <s v=""/>
    <s v=""/>
    <s v=""/>
    <s v=""/>
    <s v=""/>
    <s v=""/>
    <s v=""/>
  </r>
  <r>
    <n v="422"/>
    <m/>
    <m/>
    <m/>
    <m/>
    <m/>
    <m/>
    <m/>
    <m/>
    <x v="0"/>
    <x v="0"/>
    <m/>
    <m/>
    <m/>
    <m/>
    <x v="0"/>
    <x v="0"/>
    <m/>
    <m/>
    <m/>
    <s v=""/>
    <m/>
    <s v=""/>
    <s v=""/>
    <m/>
    <s v=""/>
    <s v=""/>
    <s v=""/>
    <s v=""/>
    <s v=""/>
    <s v=""/>
    <s v=""/>
    <s v=""/>
    <s v=""/>
    <s v=""/>
    <s v=""/>
  </r>
  <r>
    <n v="423"/>
    <m/>
    <m/>
    <m/>
    <m/>
    <m/>
    <m/>
    <m/>
    <m/>
    <x v="0"/>
    <x v="0"/>
    <m/>
    <m/>
    <m/>
    <m/>
    <x v="0"/>
    <x v="0"/>
    <m/>
    <m/>
    <m/>
    <s v=""/>
    <m/>
    <s v=""/>
    <s v=""/>
    <m/>
    <s v=""/>
    <s v=""/>
    <s v=""/>
    <s v=""/>
    <s v=""/>
    <s v=""/>
    <s v=""/>
    <s v=""/>
    <s v=""/>
    <s v=""/>
    <s v=""/>
  </r>
  <r>
    <n v="424"/>
    <m/>
    <m/>
    <m/>
    <m/>
    <m/>
    <m/>
    <m/>
    <m/>
    <x v="0"/>
    <x v="0"/>
    <m/>
    <m/>
    <m/>
    <m/>
    <x v="0"/>
    <x v="0"/>
    <m/>
    <m/>
    <m/>
    <s v=""/>
    <m/>
    <s v=""/>
    <s v=""/>
    <m/>
    <s v=""/>
    <s v=""/>
    <s v=""/>
    <s v=""/>
    <s v=""/>
    <s v=""/>
    <s v=""/>
    <s v=""/>
    <s v=""/>
    <s v=""/>
    <s v=""/>
  </r>
  <r>
    <n v="425"/>
    <m/>
    <m/>
    <m/>
    <m/>
    <m/>
    <m/>
    <m/>
    <m/>
    <x v="0"/>
    <x v="0"/>
    <m/>
    <m/>
    <m/>
    <m/>
    <x v="0"/>
    <x v="0"/>
    <m/>
    <m/>
    <m/>
    <s v=""/>
    <m/>
    <s v=""/>
    <s v=""/>
    <m/>
    <s v=""/>
    <s v=""/>
    <s v=""/>
    <s v=""/>
    <s v=""/>
    <s v=""/>
    <s v=""/>
    <s v=""/>
    <s v=""/>
    <s v=""/>
    <s v=""/>
  </r>
  <r>
    <n v="426"/>
    <m/>
    <m/>
    <m/>
    <m/>
    <m/>
    <m/>
    <m/>
    <m/>
    <x v="0"/>
    <x v="0"/>
    <m/>
    <m/>
    <m/>
    <m/>
    <x v="0"/>
    <x v="0"/>
    <m/>
    <m/>
    <m/>
    <s v=""/>
    <m/>
    <s v=""/>
    <s v=""/>
    <m/>
    <s v=""/>
    <s v=""/>
    <s v=""/>
    <s v=""/>
    <s v=""/>
    <s v=""/>
    <s v=""/>
    <s v=""/>
    <s v=""/>
    <s v=""/>
    <s v=""/>
  </r>
  <r>
    <n v="427"/>
    <m/>
    <m/>
    <m/>
    <m/>
    <m/>
    <m/>
    <m/>
    <m/>
    <x v="0"/>
    <x v="0"/>
    <m/>
    <m/>
    <m/>
    <m/>
    <x v="0"/>
    <x v="0"/>
    <m/>
    <m/>
    <m/>
    <s v=""/>
    <m/>
    <s v=""/>
    <s v=""/>
    <m/>
    <s v=""/>
    <s v=""/>
    <s v=""/>
    <s v=""/>
    <s v=""/>
    <s v=""/>
    <s v=""/>
    <s v=""/>
    <s v=""/>
    <s v=""/>
    <s v=""/>
  </r>
  <r>
    <n v="428"/>
    <m/>
    <m/>
    <m/>
    <m/>
    <m/>
    <m/>
    <m/>
    <m/>
    <x v="0"/>
    <x v="0"/>
    <m/>
    <m/>
    <m/>
    <m/>
    <x v="0"/>
    <x v="0"/>
    <m/>
    <m/>
    <m/>
    <s v=""/>
    <m/>
    <s v=""/>
    <s v=""/>
    <m/>
    <s v=""/>
    <s v=""/>
    <s v=""/>
    <s v=""/>
    <s v=""/>
    <s v=""/>
    <s v=""/>
    <s v=""/>
    <s v=""/>
    <s v=""/>
    <s v=""/>
  </r>
  <r>
    <n v="429"/>
    <m/>
    <m/>
    <m/>
    <m/>
    <m/>
    <m/>
    <m/>
    <m/>
    <x v="0"/>
    <x v="0"/>
    <m/>
    <m/>
    <m/>
    <m/>
    <x v="0"/>
    <x v="0"/>
    <m/>
    <m/>
    <m/>
    <s v=""/>
    <m/>
    <s v=""/>
    <s v=""/>
    <m/>
    <s v=""/>
    <s v=""/>
    <s v=""/>
    <s v=""/>
    <s v=""/>
    <s v=""/>
    <s v=""/>
    <s v=""/>
    <s v=""/>
    <s v=""/>
    <s v=""/>
  </r>
  <r>
    <n v="430"/>
    <m/>
    <m/>
    <m/>
    <m/>
    <m/>
    <m/>
    <m/>
    <m/>
    <x v="0"/>
    <x v="0"/>
    <m/>
    <m/>
    <m/>
    <m/>
    <x v="0"/>
    <x v="0"/>
    <m/>
    <m/>
    <m/>
    <s v=""/>
    <m/>
    <s v=""/>
    <s v=""/>
    <m/>
    <s v=""/>
    <s v=""/>
    <s v=""/>
    <s v=""/>
    <s v=""/>
    <s v=""/>
    <s v=""/>
    <s v=""/>
    <s v=""/>
    <s v=""/>
    <s v=""/>
  </r>
  <r>
    <n v="431"/>
    <m/>
    <m/>
    <m/>
    <m/>
    <m/>
    <m/>
    <m/>
    <m/>
    <x v="0"/>
    <x v="0"/>
    <m/>
    <m/>
    <m/>
    <m/>
    <x v="0"/>
    <x v="0"/>
    <m/>
    <m/>
    <m/>
    <s v=""/>
    <m/>
    <s v=""/>
    <s v=""/>
    <m/>
    <s v=""/>
    <s v=""/>
    <s v=""/>
    <s v=""/>
    <s v=""/>
    <s v=""/>
    <s v=""/>
    <s v=""/>
    <s v=""/>
    <s v=""/>
    <s v=""/>
  </r>
  <r>
    <n v="432"/>
    <m/>
    <m/>
    <m/>
    <m/>
    <m/>
    <m/>
    <m/>
    <m/>
    <x v="0"/>
    <x v="0"/>
    <m/>
    <m/>
    <m/>
    <m/>
    <x v="0"/>
    <x v="0"/>
    <m/>
    <m/>
    <m/>
    <s v=""/>
    <m/>
    <s v=""/>
    <s v=""/>
    <m/>
    <s v=""/>
    <s v=""/>
    <s v=""/>
    <s v=""/>
    <s v=""/>
    <s v=""/>
    <s v=""/>
    <s v=""/>
    <s v=""/>
    <s v=""/>
    <s v=""/>
  </r>
  <r>
    <n v="433"/>
    <m/>
    <m/>
    <m/>
    <m/>
    <m/>
    <m/>
    <m/>
    <m/>
    <x v="0"/>
    <x v="0"/>
    <m/>
    <m/>
    <m/>
    <m/>
    <x v="0"/>
    <x v="0"/>
    <m/>
    <m/>
    <m/>
    <s v=""/>
    <m/>
    <s v=""/>
    <s v=""/>
    <m/>
    <s v=""/>
    <s v=""/>
    <s v=""/>
    <s v=""/>
    <s v=""/>
    <s v=""/>
    <s v=""/>
    <s v=""/>
    <s v=""/>
    <s v=""/>
    <s v=""/>
  </r>
  <r>
    <n v="434"/>
    <m/>
    <m/>
    <m/>
    <m/>
    <m/>
    <m/>
    <m/>
    <m/>
    <x v="0"/>
    <x v="0"/>
    <m/>
    <m/>
    <m/>
    <m/>
    <x v="0"/>
    <x v="0"/>
    <m/>
    <m/>
    <m/>
    <s v=""/>
    <m/>
    <s v=""/>
    <s v=""/>
    <m/>
    <s v=""/>
    <s v=""/>
    <s v=""/>
    <s v=""/>
    <s v=""/>
    <s v=""/>
    <s v=""/>
    <s v=""/>
    <s v=""/>
    <s v=""/>
    <s v=""/>
  </r>
  <r>
    <n v="435"/>
    <m/>
    <m/>
    <m/>
    <m/>
    <m/>
    <m/>
    <m/>
    <m/>
    <x v="0"/>
    <x v="0"/>
    <m/>
    <m/>
    <m/>
    <m/>
    <x v="0"/>
    <x v="0"/>
    <m/>
    <m/>
    <m/>
    <s v=""/>
    <m/>
    <s v=""/>
    <s v=""/>
    <m/>
    <s v=""/>
    <s v=""/>
    <s v=""/>
    <s v=""/>
    <s v=""/>
    <s v=""/>
    <s v=""/>
    <s v=""/>
    <s v=""/>
    <s v=""/>
    <s v=""/>
  </r>
  <r>
    <n v="436"/>
    <m/>
    <m/>
    <m/>
    <m/>
    <m/>
    <m/>
    <m/>
    <m/>
    <x v="0"/>
    <x v="0"/>
    <m/>
    <m/>
    <m/>
    <m/>
    <x v="0"/>
    <x v="0"/>
    <m/>
    <m/>
    <m/>
    <s v=""/>
    <m/>
    <s v=""/>
    <s v=""/>
    <m/>
    <s v=""/>
    <s v=""/>
    <s v=""/>
    <s v=""/>
    <s v=""/>
    <s v=""/>
    <s v=""/>
    <s v=""/>
    <s v=""/>
    <s v=""/>
    <s v=""/>
  </r>
  <r>
    <n v="437"/>
    <m/>
    <m/>
    <m/>
    <m/>
    <m/>
    <m/>
    <m/>
    <m/>
    <x v="0"/>
    <x v="0"/>
    <m/>
    <m/>
    <m/>
    <m/>
    <x v="0"/>
    <x v="0"/>
    <m/>
    <m/>
    <m/>
    <s v=""/>
    <m/>
    <s v=""/>
    <s v=""/>
    <m/>
    <s v=""/>
    <s v=""/>
    <s v=""/>
    <s v=""/>
    <s v=""/>
    <s v=""/>
    <s v=""/>
    <s v=""/>
    <s v=""/>
    <s v=""/>
    <s v=""/>
  </r>
  <r>
    <n v="438"/>
    <m/>
    <m/>
    <m/>
    <m/>
    <m/>
    <m/>
    <m/>
    <m/>
    <x v="0"/>
    <x v="0"/>
    <m/>
    <m/>
    <m/>
    <m/>
    <x v="0"/>
    <x v="0"/>
    <m/>
    <m/>
    <m/>
    <s v=""/>
    <m/>
    <s v=""/>
    <s v=""/>
    <m/>
    <s v=""/>
    <s v=""/>
    <s v=""/>
    <s v=""/>
    <s v=""/>
    <s v=""/>
    <s v=""/>
    <s v=""/>
    <s v=""/>
    <s v=""/>
    <s v=""/>
  </r>
  <r>
    <n v="439"/>
    <m/>
    <m/>
    <m/>
    <m/>
    <m/>
    <m/>
    <m/>
    <m/>
    <x v="0"/>
    <x v="0"/>
    <m/>
    <m/>
    <m/>
    <m/>
    <x v="0"/>
    <x v="0"/>
    <m/>
    <m/>
    <m/>
    <s v=""/>
    <m/>
    <s v=""/>
    <s v=""/>
    <m/>
    <s v=""/>
    <s v=""/>
    <s v=""/>
    <s v=""/>
    <s v=""/>
    <s v=""/>
    <s v=""/>
    <s v=""/>
    <s v=""/>
    <s v=""/>
    <s v=""/>
  </r>
  <r>
    <n v="440"/>
    <m/>
    <m/>
    <m/>
    <m/>
    <m/>
    <m/>
    <m/>
    <m/>
    <x v="0"/>
    <x v="0"/>
    <m/>
    <m/>
    <m/>
    <m/>
    <x v="0"/>
    <x v="0"/>
    <m/>
    <m/>
    <m/>
    <s v=""/>
    <m/>
    <s v=""/>
    <s v=""/>
    <m/>
    <s v=""/>
    <s v=""/>
    <s v=""/>
    <s v=""/>
    <s v=""/>
    <s v=""/>
    <s v=""/>
    <s v=""/>
    <s v=""/>
    <s v=""/>
    <s v=""/>
  </r>
  <r>
    <n v="441"/>
    <m/>
    <m/>
    <m/>
    <m/>
    <m/>
    <m/>
    <m/>
    <m/>
    <x v="0"/>
    <x v="0"/>
    <m/>
    <m/>
    <m/>
    <m/>
    <x v="0"/>
    <x v="0"/>
    <m/>
    <m/>
    <m/>
    <s v=""/>
    <m/>
    <s v=""/>
    <s v=""/>
    <m/>
    <s v=""/>
    <s v=""/>
    <s v=""/>
    <s v=""/>
    <s v=""/>
    <s v=""/>
    <s v=""/>
    <s v=""/>
    <s v=""/>
    <s v=""/>
    <s v=""/>
  </r>
  <r>
    <n v="442"/>
    <m/>
    <m/>
    <m/>
    <m/>
    <m/>
    <m/>
    <m/>
    <m/>
    <x v="0"/>
    <x v="0"/>
    <m/>
    <m/>
    <m/>
    <m/>
    <x v="0"/>
    <x v="0"/>
    <m/>
    <m/>
    <m/>
    <s v=""/>
    <m/>
    <s v=""/>
    <s v=""/>
    <m/>
    <s v=""/>
    <s v=""/>
    <s v=""/>
    <s v=""/>
    <s v=""/>
    <s v=""/>
    <s v=""/>
    <s v=""/>
    <s v=""/>
    <s v=""/>
    <s v=""/>
  </r>
  <r>
    <n v="443"/>
    <m/>
    <m/>
    <m/>
    <m/>
    <m/>
    <m/>
    <m/>
    <m/>
    <x v="0"/>
    <x v="0"/>
    <m/>
    <m/>
    <m/>
    <m/>
    <x v="0"/>
    <x v="0"/>
    <m/>
    <m/>
    <m/>
    <s v=""/>
    <m/>
    <s v=""/>
    <s v=""/>
    <m/>
    <s v=""/>
    <s v=""/>
    <s v=""/>
    <s v=""/>
    <s v=""/>
    <s v=""/>
    <s v=""/>
    <s v=""/>
    <s v=""/>
    <s v=""/>
    <s v=""/>
  </r>
  <r>
    <n v="444"/>
    <m/>
    <m/>
    <m/>
    <m/>
    <m/>
    <m/>
    <m/>
    <m/>
    <x v="0"/>
    <x v="0"/>
    <m/>
    <m/>
    <m/>
    <m/>
    <x v="0"/>
    <x v="0"/>
    <m/>
    <m/>
    <m/>
    <s v=""/>
    <m/>
    <s v=""/>
    <s v=""/>
    <m/>
    <s v=""/>
    <s v=""/>
    <s v=""/>
    <s v=""/>
    <s v=""/>
    <s v=""/>
    <s v=""/>
    <s v=""/>
    <s v=""/>
    <s v=""/>
    <s v=""/>
  </r>
  <r>
    <n v="445"/>
    <m/>
    <m/>
    <m/>
    <m/>
    <m/>
    <m/>
    <m/>
    <m/>
    <x v="0"/>
    <x v="0"/>
    <m/>
    <m/>
    <m/>
    <m/>
    <x v="0"/>
    <x v="0"/>
    <m/>
    <m/>
    <m/>
    <s v=""/>
    <m/>
    <s v=""/>
    <s v=""/>
    <m/>
    <s v=""/>
    <s v=""/>
    <s v=""/>
    <s v=""/>
    <s v=""/>
    <s v=""/>
    <s v=""/>
    <s v=""/>
    <s v=""/>
    <s v=""/>
    <s v=""/>
  </r>
  <r>
    <n v="446"/>
    <m/>
    <m/>
    <m/>
    <m/>
    <m/>
    <m/>
    <m/>
    <m/>
    <x v="0"/>
    <x v="0"/>
    <m/>
    <m/>
    <m/>
    <m/>
    <x v="0"/>
    <x v="0"/>
    <m/>
    <m/>
    <m/>
    <s v=""/>
    <m/>
    <s v=""/>
    <s v=""/>
    <m/>
    <s v=""/>
    <s v=""/>
    <s v=""/>
    <s v=""/>
    <s v=""/>
    <s v=""/>
    <s v=""/>
    <s v=""/>
    <s v=""/>
    <s v=""/>
    <s v=""/>
  </r>
  <r>
    <n v="447"/>
    <m/>
    <m/>
    <m/>
    <m/>
    <m/>
    <m/>
    <m/>
    <m/>
    <x v="0"/>
    <x v="0"/>
    <m/>
    <m/>
    <m/>
    <m/>
    <x v="0"/>
    <x v="0"/>
    <m/>
    <m/>
    <m/>
    <s v=""/>
    <m/>
    <s v=""/>
    <s v=""/>
    <m/>
    <s v=""/>
    <s v=""/>
    <s v=""/>
    <s v=""/>
    <s v=""/>
    <s v=""/>
    <s v=""/>
    <s v=""/>
    <s v=""/>
    <s v=""/>
    <s v=""/>
  </r>
  <r>
    <n v="448"/>
    <m/>
    <m/>
    <m/>
    <m/>
    <m/>
    <m/>
    <m/>
    <m/>
    <x v="0"/>
    <x v="0"/>
    <m/>
    <m/>
    <m/>
    <m/>
    <x v="0"/>
    <x v="0"/>
    <m/>
    <m/>
    <m/>
    <s v=""/>
    <m/>
    <s v=""/>
    <s v=""/>
    <m/>
    <s v=""/>
    <s v=""/>
    <s v=""/>
    <s v=""/>
    <s v=""/>
    <s v=""/>
    <s v=""/>
    <s v=""/>
    <s v=""/>
    <s v=""/>
    <s v=""/>
  </r>
  <r>
    <n v="449"/>
    <m/>
    <m/>
    <m/>
    <m/>
    <m/>
    <m/>
    <m/>
    <m/>
    <x v="0"/>
    <x v="0"/>
    <m/>
    <m/>
    <m/>
    <m/>
    <x v="0"/>
    <x v="0"/>
    <m/>
    <m/>
    <m/>
    <s v=""/>
    <m/>
    <s v=""/>
    <s v=""/>
    <m/>
    <s v=""/>
    <s v=""/>
    <s v=""/>
    <s v=""/>
    <s v=""/>
    <s v=""/>
    <s v=""/>
    <s v=""/>
    <s v=""/>
    <s v=""/>
    <s v=""/>
  </r>
  <r>
    <n v="450"/>
    <m/>
    <m/>
    <m/>
    <m/>
    <m/>
    <m/>
    <m/>
    <m/>
    <x v="0"/>
    <x v="0"/>
    <m/>
    <m/>
    <m/>
    <m/>
    <x v="0"/>
    <x v="0"/>
    <m/>
    <m/>
    <m/>
    <s v=""/>
    <m/>
    <s v=""/>
    <s v=""/>
    <m/>
    <s v=""/>
    <s v=""/>
    <s v=""/>
    <s v=""/>
    <s v=""/>
    <s v=""/>
    <s v=""/>
    <s v=""/>
    <s v=""/>
    <s v=""/>
    <s v=""/>
  </r>
  <r>
    <n v="451"/>
    <m/>
    <m/>
    <m/>
    <m/>
    <m/>
    <m/>
    <m/>
    <m/>
    <x v="0"/>
    <x v="0"/>
    <m/>
    <m/>
    <m/>
    <m/>
    <x v="0"/>
    <x v="0"/>
    <m/>
    <m/>
    <m/>
    <s v=""/>
    <m/>
    <s v=""/>
    <s v=""/>
    <m/>
    <s v=""/>
    <s v=""/>
    <s v=""/>
    <s v=""/>
    <s v=""/>
    <s v=""/>
    <s v=""/>
    <s v=""/>
    <s v=""/>
    <s v=""/>
    <s v=""/>
  </r>
  <r>
    <n v="452"/>
    <m/>
    <m/>
    <m/>
    <m/>
    <m/>
    <m/>
    <m/>
    <m/>
    <x v="0"/>
    <x v="0"/>
    <m/>
    <m/>
    <m/>
    <m/>
    <x v="0"/>
    <x v="0"/>
    <m/>
    <m/>
    <m/>
    <s v=""/>
    <m/>
    <s v=""/>
    <s v=""/>
    <m/>
    <s v=""/>
    <s v=""/>
    <s v=""/>
    <s v=""/>
    <s v=""/>
    <s v=""/>
    <s v=""/>
    <s v=""/>
    <s v=""/>
    <s v=""/>
    <s v=""/>
  </r>
  <r>
    <n v="453"/>
    <m/>
    <m/>
    <m/>
    <m/>
    <m/>
    <m/>
    <m/>
    <m/>
    <x v="0"/>
    <x v="0"/>
    <m/>
    <m/>
    <m/>
    <m/>
    <x v="0"/>
    <x v="0"/>
    <m/>
    <m/>
    <m/>
    <s v=""/>
    <m/>
    <s v=""/>
    <s v=""/>
    <m/>
    <s v=""/>
    <s v=""/>
    <s v=""/>
    <s v=""/>
    <s v=""/>
    <s v=""/>
    <s v=""/>
    <s v=""/>
    <s v=""/>
    <s v=""/>
    <s v=""/>
  </r>
  <r>
    <n v="454"/>
    <m/>
    <m/>
    <m/>
    <m/>
    <m/>
    <m/>
    <m/>
    <m/>
    <x v="0"/>
    <x v="0"/>
    <m/>
    <m/>
    <m/>
    <m/>
    <x v="0"/>
    <x v="0"/>
    <m/>
    <m/>
    <m/>
    <s v=""/>
    <m/>
    <s v=""/>
    <s v=""/>
    <m/>
    <s v=""/>
    <s v=""/>
    <s v=""/>
    <s v=""/>
    <s v=""/>
    <s v=""/>
    <s v=""/>
    <s v=""/>
    <s v=""/>
    <s v=""/>
    <s v=""/>
  </r>
  <r>
    <n v="455"/>
    <m/>
    <m/>
    <m/>
    <m/>
    <m/>
    <m/>
    <m/>
    <m/>
    <x v="0"/>
    <x v="0"/>
    <m/>
    <m/>
    <m/>
    <m/>
    <x v="0"/>
    <x v="0"/>
    <m/>
    <m/>
    <m/>
    <s v=""/>
    <m/>
    <s v=""/>
    <s v=""/>
    <m/>
    <s v=""/>
    <s v=""/>
    <s v=""/>
    <s v=""/>
    <s v=""/>
    <s v=""/>
    <s v=""/>
    <s v=""/>
    <s v=""/>
    <s v=""/>
    <s v=""/>
  </r>
  <r>
    <n v="456"/>
    <m/>
    <m/>
    <m/>
    <m/>
    <m/>
    <m/>
    <m/>
    <m/>
    <x v="0"/>
    <x v="0"/>
    <m/>
    <m/>
    <m/>
    <m/>
    <x v="0"/>
    <x v="0"/>
    <m/>
    <m/>
    <m/>
    <s v=""/>
    <m/>
    <s v=""/>
    <s v=""/>
    <m/>
    <s v=""/>
    <s v=""/>
    <s v=""/>
    <s v=""/>
    <s v=""/>
    <s v=""/>
    <s v=""/>
    <s v=""/>
    <s v=""/>
    <s v=""/>
    <s v=""/>
  </r>
  <r>
    <n v="457"/>
    <m/>
    <m/>
    <m/>
    <m/>
    <m/>
    <m/>
    <m/>
    <m/>
    <x v="0"/>
    <x v="0"/>
    <m/>
    <m/>
    <m/>
    <m/>
    <x v="0"/>
    <x v="0"/>
    <m/>
    <m/>
    <m/>
    <s v=""/>
    <m/>
    <s v=""/>
    <s v=""/>
    <m/>
    <s v=""/>
    <s v=""/>
    <s v=""/>
    <s v=""/>
    <s v=""/>
    <s v=""/>
    <s v=""/>
    <s v=""/>
    <s v=""/>
    <s v=""/>
    <s v=""/>
  </r>
  <r>
    <n v="458"/>
    <m/>
    <m/>
    <m/>
    <m/>
    <m/>
    <m/>
    <m/>
    <m/>
    <x v="0"/>
    <x v="0"/>
    <m/>
    <m/>
    <m/>
    <m/>
    <x v="0"/>
    <x v="0"/>
    <m/>
    <m/>
    <m/>
    <s v=""/>
    <m/>
    <s v=""/>
    <s v=""/>
    <m/>
    <s v=""/>
    <s v=""/>
    <s v=""/>
    <s v=""/>
    <s v=""/>
    <s v=""/>
    <s v=""/>
    <s v=""/>
    <s v=""/>
    <s v=""/>
    <s v=""/>
  </r>
  <r>
    <n v="459"/>
    <m/>
    <m/>
    <m/>
    <m/>
    <m/>
    <m/>
    <m/>
    <m/>
    <x v="0"/>
    <x v="0"/>
    <m/>
    <m/>
    <m/>
    <m/>
    <x v="0"/>
    <x v="0"/>
    <m/>
    <m/>
    <m/>
    <s v=""/>
    <m/>
    <s v=""/>
    <s v=""/>
    <m/>
    <s v=""/>
    <s v=""/>
    <s v=""/>
    <s v=""/>
    <s v=""/>
    <s v=""/>
    <s v=""/>
    <s v=""/>
    <s v=""/>
    <s v=""/>
    <s v=""/>
  </r>
  <r>
    <n v="460"/>
    <m/>
    <m/>
    <m/>
    <m/>
    <m/>
    <m/>
    <m/>
    <m/>
    <x v="0"/>
    <x v="0"/>
    <m/>
    <m/>
    <m/>
    <m/>
    <x v="0"/>
    <x v="0"/>
    <m/>
    <m/>
    <m/>
    <s v=""/>
    <m/>
    <s v=""/>
    <s v=""/>
    <m/>
    <s v=""/>
    <s v=""/>
    <s v=""/>
    <s v=""/>
    <s v=""/>
    <s v=""/>
    <s v=""/>
    <s v=""/>
    <s v=""/>
    <s v=""/>
    <s v=""/>
  </r>
  <r>
    <n v="461"/>
    <m/>
    <m/>
    <m/>
    <m/>
    <m/>
    <m/>
    <m/>
    <m/>
    <x v="0"/>
    <x v="0"/>
    <m/>
    <m/>
    <m/>
    <m/>
    <x v="0"/>
    <x v="0"/>
    <m/>
    <m/>
    <m/>
    <s v=""/>
    <m/>
    <s v=""/>
    <s v=""/>
    <m/>
    <s v=""/>
    <s v=""/>
    <s v=""/>
    <s v=""/>
    <s v=""/>
    <s v=""/>
    <s v=""/>
    <s v=""/>
    <s v=""/>
    <s v=""/>
    <s v=""/>
  </r>
  <r>
    <n v="462"/>
    <m/>
    <m/>
    <m/>
    <m/>
    <m/>
    <m/>
    <m/>
    <m/>
    <x v="0"/>
    <x v="0"/>
    <m/>
    <m/>
    <m/>
    <m/>
    <x v="0"/>
    <x v="0"/>
    <m/>
    <m/>
    <m/>
    <s v=""/>
    <m/>
    <s v=""/>
    <s v=""/>
    <m/>
    <s v=""/>
    <s v=""/>
    <s v=""/>
    <s v=""/>
    <s v=""/>
    <s v=""/>
    <s v=""/>
    <s v=""/>
    <s v=""/>
    <s v=""/>
    <s v=""/>
  </r>
  <r>
    <n v="463"/>
    <m/>
    <m/>
    <m/>
    <m/>
    <m/>
    <m/>
    <m/>
    <m/>
    <x v="0"/>
    <x v="0"/>
    <m/>
    <m/>
    <m/>
    <m/>
    <x v="0"/>
    <x v="0"/>
    <m/>
    <m/>
    <m/>
    <s v=""/>
    <m/>
    <s v=""/>
    <s v=""/>
    <m/>
    <s v=""/>
    <s v=""/>
    <s v=""/>
    <s v=""/>
    <s v=""/>
    <s v=""/>
    <s v=""/>
    <s v=""/>
    <s v=""/>
    <s v=""/>
    <s v=""/>
  </r>
  <r>
    <n v="464"/>
    <m/>
    <m/>
    <m/>
    <m/>
    <m/>
    <m/>
    <m/>
    <m/>
    <x v="0"/>
    <x v="0"/>
    <m/>
    <m/>
    <m/>
    <m/>
    <x v="0"/>
    <x v="0"/>
    <m/>
    <m/>
    <m/>
    <s v=""/>
    <m/>
    <s v=""/>
    <s v=""/>
    <m/>
    <s v=""/>
    <s v=""/>
    <s v=""/>
    <s v=""/>
    <s v=""/>
    <s v=""/>
    <s v=""/>
    <s v=""/>
    <s v=""/>
    <s v=""/>
    <s v=""/>
  </r>
  <r>
    <n v="465"/>
    <m/>
    <m/>
    <m/>
    <m/>
    <m/>
    <m/>
    <m/>
    <m/>
    <x v="0"/>
    <x v="0"/>
    <m/>
    <m/>
    <m/>
    <m/>
    <x v="0"/>
    <x v="0"/>
    <m/>
    <m/>
    <m/>
    <s v=""/>
    <m/>
    <s v=""/>
    <s v=""/>
    <m/>
    <s v=""/>
    <s v=""/>
    <s v=""/>
    <s v=""/>
    <s v=""/>
    <s v=""/>
    <s v=""/>
    <s v=""/>
    <s v=""/>
    <s v=""/>
    <s v=""/>
  </r>
  <r>
    <n v="466"/>
    <m/>
    <m/>
    <m/>
    <m/>
    <m/>
    <m/>
    <m/>
    <m/>
    <x v="0"/>
    <x v="0"/>
    <m/>
    <m/>
    <m/>
    <m/>
    <x v="0"/>
    <x v="0"/>
    <m/>
    <m/>
    <m/>
    <s v=""/>
    <m/>
    <s v=""/>
    <s v=""/>
    <m/>
    <s v=""/>
    <s v=""/>
    <s v=""/>
    <s v=""/>
    <s v=""/>
    <s v=""/>
    <s v=""/>
    <s v=""/>
    <s v=""/>
    <s v=""/>
    <s v=""/>
  </r>
  <r>
    <n v="467"/>
    <m/>
    <m/>
    <m/>
    <m/>
    <m/>
    <m/>
    <m/>
    <m/>
    <x v="0"/>
    <x v="0"/>
    <m/>
    <m/>
    <m/>
    <m/>
    <x v="0"/>
    <x v="0"/>
    <m/>
    <m/>
    <m/>
    <s v=""/>
    <m/>
    <s v=""/>
    <s v=""/>
    <m/>
    <s v=""/>
    <s v=""/>
    <s v=""/>
    <s v=""/>
    <s v=""/>
    <s v=""/>
    <s v=""/>
    <s v=""/>
    <s v=""/>
    <s v=""/>
    <s v=""/>
  </r>
  <r>
    <n v="468"/>
    <m/>
    <m/>
    <m/>
    <m/>
    <m/>
    <m/>
    <m/>
    <m/>
    <x v="0"/>
    <x v="0"/>
    <m/>
    <m/>
    <m/>
    <m/>
    <x v="0"/>
    <x v="0"/>
    <m/>
    <m/>
    <m/>
    <s v=""/>
    <m/>
    <s v=""/>
    <s v=""/>
    <m/>
    <s v=""/>
    <s v=""/>
    <s v=""/>
    <s v=""/>
    <s v=""/>
    <s v=""/>
    <s v=""/>
    <s v=""/>
    <s v=""/>
    <s v=""/>
    <s v=""/>
  </r>
  <r>
    <n v="469"/>
    <m/>
    <m/>
    <m/>
    <m/>
    <m/>
    <m/>
    <m/>
    <m/>
    <x v="0"/>
    <x v="0"/>
    <m/>
    <m/>
    <m/>
    <m/>
    <x v="0"/>
    <x v="0"/>
    <m/>
    <m/>
    <m/>
    <s v=""/>
    <m/>
    <s v=""/>
    <s v=""/>
    <m/>
    <s v=""/>
    <s v=""/>
    <s v=""/>
    <s v=""/>
    <s v=""/>
    <s v=""/>
    <s v=""/>
    <s v=""/>
    <s v=""/>
    <s v=""/>
    <s v=""/>
  </r>
  <r>
    <n v="470"/>
    <m/>
    <m/>
    <m/>
    <m/>
    <m/>
    <m/>
    <m/>
    <m/>
    <x v="0"/>
    <x v="0"/>
    <m/>
    <m/>
    <m/>
    <m/>
    <x v="0"/>
    <x v="0"/>
    <m/>
    <m/>
    <m/>
    <s v=""/>
    <m/>
    <s v=""/>
    <s v=""/>
    <m/>
    <s v=""/>
    <s v=""/>
    <s v=""/>
    <s v=""/>
    <s v=""/>
    <s v=""/>
    <s v=""/>
    <s v=""/>
    <s v=""/>
    <s v=""/>
    <s v=""/>
  </r>
  <r>
    <n v="471"/>
    <m/>
    <m/>
    <m/>
    <m/>
    <m/>
    <m/>
    <m/>
    <m/>
    <x v="0"/>
    <x v="0"/>
    <m/>
    <m/>
    <m/>
    <m/>
    <x v="0"/>
    <x v="0"/>
    <m/>
    <m/>
    <m/>
    <s v=""/>
    <m/>
    <s v=""/>
    <s v=""/>
    <m/>
    <s v=""/>
    <s v=""/>
    <s v=""/>
    <s v=""/>
    <s v=""/>
    <s v=""/>
    <s v=""/>
    <s v=""/>
    <s v=""/>
    <s v=""/>
    <s v=""/>
  </r>
  <r>
    <n v="472"/>
    <m/>
    <m/>
    <m/>
    <m/>
    <m/>
    <m/>
    <m/>
    <m/>
    <x v="0"/>
    <x v="0"/>
    <m/>
    <m/>
    <m/>
    <m/>
    <x v="0"/>
    <x v="0"/>
    <m/>
    <m/>
    <m/>
    <s v=""/>
    <m/>
    <s v=""/>
    <s v=""/>
    <m/>
    <s v=""/>
    <s v=""/>
    <s v=""/>
    <s v=""/>
    <s v=""/>
    <s v=""/>
    <s v=""/>
    <s v=""/>
    <s v=""/>
    <s v=""/>
    <s v=""/>
  </r>
  <r>
    <n v="473"/>
    <m/>
    <m/>
    <m/>
    <m/>
    <m/>
    <m/>
    <m/>
    <m/>
    <x v="0"/>
    <x v="0"/>
    <m/>
    <m/>
    <m/>
    <m/>
    <x v="0"/>
    <x v="0"/>
    <m/>
    <m/>
    <m/>
    <s v=""/>
    <m/>
    <s v=""/>
    <s v=""/>
    <m/>
    <s v=""/>
    <s v=""/>
    <s v=""/>
    <s v=""/>
    <s v=""/>
    <s v=""/>
    <s v=""/>
    <s v=""/>
    <s v=""/>
    <s v=""/>
    <s v=""/>
  </r>
  <r>
    <n v="474"/>
    <m/>
    <m/>
    <m/>
    <m/>
    <m/>
    <m/>
    <m/>
    <m/>
    <x v="0"/>
    <x v="0"/>
    <m/>
    <m/>
    <m/>
    <m/>
    <x v="0"/>
    <x v="0"/>
    <m/>
    <m/>
    <m/>
    <s v=""/>
    <m/>
    <s v=""/>
    <s v=""/>
    <m/>
    <s v=""/>
    <s v=""/>
    <s v=""/>
    <s v=""/>
    <s v=""/>
    <s v=""/>
    <s v=""/>
    <s v=""/>
    <s v=""/>
    <s v=""/>
    <s v=""/>
  </r>
  <r>
    <n v="475"/>
    <m/>
    <m/>
    <m/>
    <m/>
    <m/>
    <m/>
    <m/>
    <m/>
    <x v="0"/>
    <x v="0"/>
    <m/>
    <m/>
    <m/>
    <m/>
    <x v="0"/>
    <x v="0"/>
    <m/>
    <m/>
    <m/>
    <s v=""/>
    <m/>
    <s v=""/>
    <s v=""/>
    <m/>
    <s v=""/>
    <s v=""/>
    <s v=""/>
    <s v=""/>
    <s v=""/>
    <s v=""/>
    <s v=""/>
    <s v=""/>
    <s v=""/>
    <s v=""/>
    <s v=""/>
  </r>
  <r>
    <n v="476"/>
    <m/>
    <m/>
    <m/>
    <m/>
    <m/>
    <m/>
    <m/>
    <m/>
    <x v="0"/>
    <x v="0"/>
    <m/>
    <m/>
    <m/>
    <m/>
    <x v="0"/>
    <x v="0"/>
    <m/>
    <m/>
    <m/>
    <s v=""/>
    <m/>
    <s v=""/>
    <s v=""/>
    <m/>
    <s v=""/>
    <s v=""/>
    <s v=""/>
    <s v=""/>
    <s v=""/>
    <s v=""/>
    <s v=""/>
    <s v=""/>
    <s v=""/>
    <s v=""/>
    <s v=""/>
  </r>
  <r>
    <n v="477"/>
    <m/>
    <m/>
    <m/>
    <m/>
    <m/>
    <m/>
    <m/>
    <m/>
    <x v="0"/>
    <x v="0"/>
    <m/>
    <m/>
    <m/>
    <m/>
    <x v="0"/>
    <x v="0"/>
    <m/>
    <m/>
    <m/>
    <s v=""/>
    <m/>
    <s v=""/>
    <s v=""/>
    <m/>
    <s v=""/>
    <s v=""/>
    <s v=""/>
    <s v=""/>
    <s v=""/>
    <s v=""/>
    <s v=""/>
    <s v=""/>
    <s v=""/>
    <s v=""/>
    <s v=""/>
  </r>
  <r>
    <n v="478"/>
    <m/>
    <m/>
    <m/>
    <m/>
    <m/>
    <m/>
    <m/>
    <m/>
    <x v="0"/>
    <x v="0"/>
    <m/>
    <m/>
    <m/>
    <m/>
    <x v="0"/>
    <x v="0"/>
    <m/>
    <m/>
    <m/>
    <s v=""/>
    <m/>
    <s v=""/>
    <s v=""/>
    <m/>
    <s v=""/>
    <s v=""/>
    <s v=""/>
    <s v=""/>
    <s v=""/>
    <s v=""/>
    <s v=""/>
    <s v=""/>
    <s v=""/>
    <s v=""/>
    <s v=""/>
  </r>
  <r>
    <n v="479"/>
    <m/>
    <m/>
    <m/>
    <m/>
    <m/>
    <m/>
    <m/>
    <m/>
    <x v="0"/>
    <x v="0"/>
    <m/>
    <m/>
    <m/>
    <m/>
    <x v="0"/>
    <x v="0"/>
    <m/>
    <m/>
    <m/>
    <s v=""/>
    <m/>
    <s v=""/>
    <s v=""/>
    <m/>
    <s v=""/>
    <s v=""/>
    <s v=""/>
    <s v=""/>
    <s v=""/>
    <s v=""/>
    <s v=""/>
    <s v=""/>
    <s v=""/>
    <s v=""/>
    <s v=""/>
  </r>
  <r>
    <n v="480"/>
    <m/>
    <m/>
    <m/>
    <m/>
    <m/>
    <m/>
    <m/>
    <m/>
    <x v="0"/>
    <x v="0"/>
    <m/>
    <m/>
    <m/>
    <m/>
    <x v="0"/>
    <x v="0"/>
    <m/>
    <m/>
    <m/>
    <s v=""/>
    <m/>
    <s v=""/>
    <s v=""/>
    <m/>
    <s v=""/>
    <s v=""/>
    <s v=""/>
    <s v=""/>
    <s v=""/>
    <s v=""/>
    <s v=""/>
    <s v=""/>
    <s v=""/>
    <s v=""/>
    <s v=""/>
  </r>
  <r>
    <n v="481"/>
    <m/>
    <m/>
    <m/>
    <m/>
    <m/>
    <m/>
    <m/>
    <m/>
    <x v="0"/>
    <x v="0"/>
    <m/>
    <m/>
    <m/>
    <m/>
    <x v="0"/>
    <x v="0"/>
    <m/>
    <m/>
    <m/>
    <s v=""/>
    <m/>
    <s v=""/>
    <s v=""/>
    <m/>
    <s v=""/>
    <s v=""/>
    <s v=""/>
    <s v=""/>
    <s v=""/>
    <s v=""/>
    <s v=""/>
    <s v=""/>
    <s v=""/>
    <s v=""/>
    <s v=""/>
  </r>
  <r>
    <n v="482"/>
    <m/>
    <m/>
    <m/>
    <m/>
    <m/>
    <m/>
    <m/>
    <m/>
    <x v="0"/>
    <x v="0"/>
    <m/>
    <m/>
    <m/>
    <m/>
    <x v="0"/>
    <x v="0"/>
    <m/>
    <m/>
    <m/>
    <s v=""/>
    <m/>
    <s v=""/>
    <s v=""/>
    <m/>
    <s v=""/>
    <s v=""/>
    <s v=""/>
    <s v=""/>
    <s v=""/>
    <s v=""/>
    <s v=""/>
    <s v=""/>
    <s v=""/>
    <s v=""/>
    <s v=""/>
  </r>
  <r>
    <n v="483"/>
    <m/>
    <m/>
    <m/>
    <m/>
    <m/>
    <m/>
    <m/>
    <m/>
    <x v="0"/>
    <x v="0"/>
    <m/>
    <m/>
    <m/>
    <m/>
    <x v="0"/>
    <x v="0"/>
    <m/>
    <m/>
    <m/>
    <s v=""/>
    <m/>
    <s v=""/>
    <s v=""/>
    <m/>
    <s v=""/>
    <s v=""/>
    <s v=""/>
    <s v=""/>
    <s v=""/>
    <s v=""/>
    <s v=""/>
    <s v=""/>
    <s v=""/>
    <s v=""/>
    <s v=""/>
  </r>
  <r>
    <n v="484"/>
    <m/>
    <m/>
    <m/>
    <m/>
    <m/>
    <m/>
    <m/>
    <m/>
    <x v="0"/>
    <x v="0"/>
    <m/>
    <m/>
    <m/>
    <m/>
    <x v="0"/>
    <x v="0"/>
    <m/>
    <m/>
    <m/>
    <s v=""/>
    <m/>
    <s v=""/>
    <s v=""/>
    <m/>
    <s v=""/>
    <s v=""/>
    <s v=""/>
    <s v=""/>
    <s v=""/>
    <s v=""/>
    <s v=""/>
    <s v=""/>
    <s v=""/>
    <s v=""/>
    <s v=""/>
  </r>
  <r>
    <n v="485"/>
    <m/>
    <m/>
    <m/>
    <m/>
    <m/>
    <m/>
    <m/>
    <m/>
    <x v="0"/>
    <x v="0"/>
    <m/>
    <m/>
    <m/>
    <m/>
    <x v="0"/>
    <x v="0"/>
    <m/>
    <m/>
    <m/>
    <s v=""/>
    <m/>
    <s v=""/>
    <s v=""/>
    <m/>
    <s v=""/>
    <s v=""/>
    <s v=""/>
    <s v=""/>
    <s v=""/>
    <s v=""/>
    <s v=""/>
    <s v=""/>
    <s v=""/>
    <s v=""/>
    <s v=""/>
  </r>
  <r>
    <n v="486"/>
    <m/>
    <m/>
    <m/>
    <m/>
    <m/>
    <m/>
    <m/>
    <m/>
    <x v="0"/>
    <x v="0"/>
    <m/>
    <m/>
    <m/>
    <m/>
    <x v="0"/>
    <x v="0"/>
    <m/>
    <m/>
    <m/>
    <s v=""/>
    <m/>
    <s v=""/>
    <s v=""/>
    <m/>
    <s v=""/>
    <s v=""/>
    <s v=""/>
    <s v=""/>
    <s v=""/>
    <s v=""/>
    <s v=""/>
    <s v=""/>
    <s v=""/>
    <s v=""/>
    <s v=""/>
  </r>
  <r>
    <n v="487"/>
    <m/>
    <m/>
    <m/>
    <m/>
    <m/>
    <m/>
    <m/>
    <m/>
    <x v="0"/>
    <x v="0"/>
    <m/>
    <m/>
    <m/>
    <m/>
    <x v="0"/>
    <x v="0"/>
    <m/>
    <m/>
    <m/>
    <s v=""/>
    <m/>
    <s v=""/>
    <s v=""/>
    <m/>
    <s v=""/>
    <s v=""/>
    <s v=""/>
    <s v=""/>
    <s v=""/>
    <s v=""/>
    <s v=""/>
    <s v=""/>
    <s v=""/>
    <s v=""/>
    <s v=""/>
  </r>
  <r>
    <n v="488"/>
    <m/>
    <m/>
    <m/>
    <m/>
    <m/>
    <m/>
    <m/>
    <m/>
    <x v="0"/>
    <x v="0"/>
    <m/>
    <m/>
    <m/>
    <m/>
    <x v="0"/>
    <x v="0"/>
    <m/>
    <m/>
    <m/>
    <s v=""/>
    <m/>
    <s v=""/>
    <s v=""/>
    <m/>
    <s v=""/>
    <s v=""/>
    <s v=""/>
    <s v=""/>
    <s v=""/>
    <s v=""/>
    <s v=""/>
    <s v=""/>
    <s v=""/>
    <s v=""/>
    <s v=""/>
  </r>
  <r>
    <n v="489"/>
    <m/>
    <m/>
    <m/>
    <m/>
    <m/>
    <m/>
    <m/>
    <m/>
    <x v="0"/>
    <x v="0"/>
    <m/>
    <m/>
    <m/>
    <m/>
    <x v="0"/>
    <x v="0"/>
    <m/>
    <m/>
    <m/>
    <s v=""/>
    <m/>
    <s v=""/>
    <s v=""/>
    <m/>
    <s v=""/>
    <s v=""/>
    <s v=""/>
    <s v=""/>
    <s v=""/>
    <s v=""/>
    <s v=""/>
    <s v=""/>
    <s v=""/>
    <s v=""/>
    <s v=""/>
  </r>
  <r>
    <n v="490"/>
    <m/>
    <m/>
    <m/>
    <m/>
    <m/>
    <m/>
    <m/>
    <m/>
    <x v="0"/>
    <x v="0"/>
    <m/>
    <m/>
    <m/>
    <m/>
    <x v="0"/>
    <x v="0"/>
    <m/>
    <m/>
    <m/>
    <s v=""/>
    <m/>
    <s v=""/>
    <s v=""/>
    <m/>
    <s v=""/>
    <s v=""/>
    <s v=""/>
    <s v=""/>
    <s v=""/>
    <s v=""/>
    <s v=""/>
    <s v=""/>
    <s v=""/>
    <s v=""/>
    <s v=""/>
  </r>
  <r>
    <n v="491"/>
    <m/>
    <m/>
    <m/>
    <m/>
    <m/>
    <m/>
    <m/>
    <m/>
    <x v="0"/>
    <x v="0"/>
    <m/>
    <m/>
    <m/>
    <m/>
    <x v="0"/>
    <x v="0"/>
    <m/>
    <m/>
    <m/>
    <s v=""/>
    <m/>
    <s v=""/>
    <s v=""/>
    <m/>
    <s v=""/>
    <s v=""/>
    <s v=""/>
    <s v=""/>
    <s v=""/>
    <s v=""/>
    <s v=""/>
    <s v=""/>
    <s v=""/>
    <s v=""/>
    <s v=""/>
  </r>
  <r>
    <n v="492"/>
    <m/>
    <m/>
    <m/>
    <m/>
    <m/>
    <m/>
    <m/>
    <m/>
    <x v="0"/>
    <x v="0"/>
    <m/>
    <m/>
    <m/>
    <m/>
    <x v="0"/>
    <x v="0"/>
    <m/>
    <m/>
    <m/>
    <s v=""/>
    <m/>
    <s v=""/>
    <s v=""/>
    <m/>
    <s v=""/>
    <s v=""/>
    <s v=""/>
    <s v=""/>
    <s v=""/>
    <s v=""/>
    <s v=""/>
    <s v=""/>
    <s v=""/>
    <s v=""/>
    <s v=""/>
  </r>
  <r>
    <n v="493"/>
    <m/>
    <m/>
    <m/>
    <m/>
    <m/>
    <m/>
    <m/>
    <m/>
    <x v="0"/>
    <x v="0"/>
    <m/>
    <m/>
    <m/>
    <m/>
    <x v="0"/>
    <x v="0"/>
    <m/>
    <m/>
    <m/>
    <s v=""/>
    <m/>
    <s v=""/>
    <s v=""/>
    <m/>
    <s v=""/>
    <s v=""/>
    <s v=""/>
    <s v=""/>
    <s v=""/>
    <s v=""/>
    <s v=""/>
    <s v=""/>
    <s v=""/>
    <s v=""/>
    <s v=""/>
  </r>
  <r>
    <n v="494"/>
    <m/>
    <m/>
    <m/>
    <m/>
    <m/>
    <m/>
    <m/>
    <m/>
    <x v="0"/>
    <x v="0"/>
    <m/>
    <m/>
    <m/>
    <m/>
    <x v="0"/>
    <x v="0"/>
    <m/>
    <m/>
    <m/>
    <s v=""/>
    <m/>
    <s v=""/>
    <s v=""/>
    <m/>
    <s v=""/>
    <s v=""/>
    <s v=""/>
    <s v=""/>
    <s v=""/>
    <s v=""/>
    <s v=""/>
    <s v=""/>
    <s v=""/>
    <s v=""/>
    <s v=""/>
  </r>
  <r>
    <n v="495"/>
    <m/>
    <m/>
    <m/>
    <m/>
    <m/>
    <m/>
    <m/>
    <m/>
    <x v="0"/>
    <x v="0"/>
    <m/>
    <m/>
    <m/>
    <m/>
    <x v="0"/>
    <x v="0"/>
    <m/>
    <m/>
    <m/>
    <s v=""/>
    <m/>
    <s v=""/>
    <s v=""/>
    <m/>
    <s v=""/>
    <s v=""/>
    <s v=""/>
    <s v=""/>
    <s v=""/>
    <s v=""/>
    <s v=""/>
    <s v=""/>
    <s v=""/>
    <s v=""/>
    <s v=""/>
  </r>
  <r>
    <n v="496"/>
    <m/>
    <m/>
    <m/>
    <m/>
    <m/>
    <m/>
    <m/>
    <m/>
    <x v="0"/>
    <x v="0"/>
    <m/>
    <m/>
    <m/>
    <m/>
    <x v="0"/>
    <x v="0"/>
    <m/>
    <m/>
    <m/>
    <s v=""/>
    <m/>
    <s v=""/>
    <s v=""/>
    <m/>
    <s v=""/>
    <s v=""/>
    <s v=""/>
    <s v=""/>
    <s v=""/>
    <s v=""/>
    <s v=""/>
    <s v=""/>
    <s v=""/>
    <s v=""/>
    <s v=""/>
  </r>
  <r>
    <n v="497"/>
    <m/>
    <m/>
    <m/>
    <m/>
    <m/>
    <m/>
    <m/>
    <m/>
    <x v="0"/>
    <x v="0"/>
    <m/>
    <m/>
    <m/>
    <m/>
    <x v="0"/>
    <x v="0"/>
    <m/>
    <m/>
    <m/>
    <s v=""/>
    <m/>
    <s v=""/>
    <s v=""/>
    <m/>
    <s v=""/>
    <s v=""/>
    <s v=""/>
    <s v=""/>
    <s v=""/>
    <s v=""/>
    <s v=""/>
    <s v=""/>
    <s v=""/>
    <s v=""/>
    <s v=""/>
  </r>
  <r>
    <n v="498"/>
    <m/>
    <m/>
    <m/>
    <m/>
    <m/>
    <m/>
    <m/>
    <m/>
    <x v="0"/>
    <x v="0"/>
    <m/>
    <m/>
    <m/>
    <m/>
    <x v="0"/>
    <x v="0"/>
    <m/>
    <m/>
    <m/>
    <s v=""/>
    <m/>
    <s v=""/>
    <s v=""/>
    <m/>
    <s v=""/>
    <s v=""/>
    <s v=""/>
    <s v=""/>
    <s v=""/>
    <s v=""/>
    <s v=""/>
    <s v=""/>
    <s v=""/>
    <s v=""/>
    <s v=""/>
  </r>
  <r>
    <n v="499"/>
    <m/>
    <m/>
    <m/>
    <m/>
    <m/>
    <m/>
    <m/>
    <m/>
    <x v="0"/>
    <x v="0"/>
    <m/>
    <m/>
    <m/>
    <m/>
    <x v="0"/>
    <x v="0"/>
    <m/>
    <m/>
    <m/>
    <s v=""/>
    <m/>
    <s v=""/>
    <s v=""/>
    <m/>
    <s v=""/>
    <s v=""/>
    <s v=""/>
    <s v=""/>
    <s v=""/>
    <s v=""/>
    <s v=""/>
    <s v=""/>
    <s v=""/>
    <s v=""/>
    <s v=""/>
  </r>
  <r>
    <n v="500"/>
    <m/>
    <m/>
    <m/>
    <m/>
    <m/>
    <m/>
    <m/>
    <m/>
    <x v="0"/>
    <x v="0"/>
    <m/>
    <m/>
    <m/>
    <m/>
    <x v="0"/>
    <x v="0"/>
    <m/>
    <m/>
    <m/>
    <s v=""/>
    <m/>
    <s v=""/>
    <s v=""/>
    <m/>
    <s v=""/>
    <s v=""/>
    <s v=""/>
    <s v=""/>
    <s v=""/>
    <s v=""/>
    <s v=""/>
    <s v=""/>
    <s v=""/>
    <s v=""/>
    <s v=""/>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948E539-6238-45DB-9B1A-A64CD9483569}" name="PivotTable1" cacheId="7"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B10" firstHeaderRow="1" firstDataRow="1" firstDataCol="1"/>
  <pivotFields count="36">
    <pivotField showAll="0"/>
    <pivotField showAll="0"/>
    <pivotField multipleItemSelectionAllowed="1" showAll="0"/>
    <pivotField showAll="0"/>
    <pivotField showAll="0"/>
    <pivotField showAll="0"/>
    <pivotField showAll="0"/>
    <pivotField showAll="0"/>
    <pivotField showAll="0"/>
    <pivotField axis="axisRow" showAll="0">
      <items count="3">
        <item m="1" x="1"/>
        <item sd="0" x="0"/>
        <item t="default"/>
      </items>
    </pivotField>
    <pivotField axis="axisRow" showAll="0">
      <items count="9">
        <item m="1" x="6"/>
        <item m="1" x="5"/>
        <item m="1" x="1"/>
        <item m="1" x="4"/>
        <item m="1" x="7"/>
        <item m="1" x="3"/>
        <item m="1" x="2"/>
        <item x="0"/>
        <item t="default"/>
      </items>
    </pivotField>
    <pivotField showAll="0"/>
    <pivotField showAll="0"/>
    <pivotField showAll="0"/>
    <pivotField dataField="1" showAll="0"/>
    <pivotField axis="axisRow" showAll="0">
      <items count="18">
        <item m="1" x="16"/>
        <item m="1" x="4"/>
        <item m="1" x="2"/>
        <item m="1" x="5"/>
        <item m="1" x="6"/>
        <item m="1" x="3"/>
        <item m="1" x="1"/>
        <item x="0"/>
        <item m="1" x="7"/>
        <item m="1" x="9"/>
        <item m="1" x="10"/>
        <item m="1" x="11"/>
        <item m="1" x="12"/>
        <item m="1" x="13"/>
        <item m="1" x="14"/>
        <item m="1" x="15"/>
        <item m="1" x="8"/>
        <item t="default"/>
      </items>
    </pivotField>
    <pivotField axis="axisRow" showAll="0">
      <items count="33">
        <item m="1" x="31"/>
        <item m="1" x="12"/>
        <item m="1" x="11"/>
        <item m="1" x="13"/>
        <item m="1" x="4"/>
        <item m="1" x="1"/>
        <item m="1" x="2"/>
        <item m="1" x="3"/>
        <item m="1" x="8"/>
        <item m="1" x="5"/>
        <item m="1" x="6"/>
        <item m="1" x="7"/>
        <item m="1" x="10"/>
        <item m="1" x="9"/>
        <item x="0"/>
        <item m="1" x="14"/>
        <item m="1" x="16"/>
        <item m="1" x="17"/>
        <item m="1" x="18"/>
        <item m="1" x="19"/>
        <item m="1" x="20"/>
        <item m="1" x="21"/>
        <item m="1" x="22"/>
        <item m="1" x="23"/>
        <item m="1" x="24"/>
        <item m="1" x="25"/>
        <item m="1" x="26"/>
        <item m="1" x="27"/>
        <item m="1" x="28"/>
        <item m="1" x="29"/>
        <item m="1" x="30"/>
        <item m="1" x="1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4">
    <field x="9"/>
    <field x="10"/>
    <field x="15"/>
    <field x="16"/>
  </rowFields>
  <rowItems count="2">
    <i>
      <x v="1"/>
    </i>
    <i t="grand">
      <x/>
    </i>
  </rowItems>
  <colItems count="1">
    <i/>
  </colItems>
  <dataFields count="1">
    <dataField name="Sum of PROPOSED_FIXTURE_QUANTITY" fld="14" baseField="0" baseItem="0"/>
  </dataFields>
  <formats count="2">
    <format dxfId="96">
      <pivotArea outline="0" collapsedLevelsAreSubtotals="1" fieldPosition="0"/>
    </format>
    <format dxfId="95">
      <pivotArea dataOnly="0" labelOnly="1" outline="0" axis="axisValues"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41DA8E3-5AC5-4B0D-87A0-199995055AD4}" name="SpaceTable" displayName="SpaceTable" ref="A6:U57" totalsRowShown="0" headerRowDxfId="119" dataDxfId="118">
  <tableColumns count="21">
    <tableColumn id="1" xr3:uid="{2E45C1E8-39D7-46C8-843D-2A5C3F64245A}" name="Row" dataDxfId="117"/>
    <tableColumn id="3" xr3:uid="{6F7DA4AB-9CAC-4A33-BC4D-97DF8A33890D}" name="Space Type" dataDxfId="116"/>
    <tableColumn id="2" xr3:uid="{6252C11E-C02F-42A2-B90D-E13D8DBE4B0C}" name="Space Description" dataDxfId="115"/>
    <tableColumn id="5" xr3:uid="{E3D7CB43-081D-4A9F-A08A-182EA763F5A0}" name="Heating Type" dataDxfId="114"/>
    <tableColumn id="6" xr3:uid="{5016E82B-7384-4DFC-82B2-D2B562BD570A}" name="Cooling Type" dataDxfId="113"/>
    <tableColumn id="9" xr3:uid="{DD498BC2-1B10-4832-87D3-5C25ABC9F79A}" name="Sunday" dataDxfId="112"/>
    <tableColumn id="10" xr3:uid="{BFACF46E-6230-4DB1-9F03-2E9301503EA1}" name="Monday" dataDxfId="111"/>
    <tableColumn id="11" xr3:uid="{636D93E2-04AF-4D14-BDB6-A30BAD52F4BA}" name="Tuesday" dataDxfId="110"/>
    <tableColumn id="12" xr3:uid="{D92CD1F8-7FDA-4002-938F-A7C97ABF2148}" name="Wednesday" dataDxfId="109"/>
    <tableColumn id="13" xr3:uid="{B55414E5-D59E-4B47-B281-5EB2DF37EDCE}" name="Thursday" dataDxfId="108"/>
    <tableColumn id="14" xr3:uid="{6B1C5F9E-12FB-42E9-9E95-26B3B6250CE5}" name="Friday" dataDxfId="107"/>
    <tableColumn id="15" xr3:uid="{EEB83015-EA12-4BD7-8F39-8E1409E2B34B}" name="Saturday" dataDxfId="106"/>
    <tableColumn id="16" xr3:uid="{A061CB3B-A065-4B4C-88FC-75812A6F4951}" name="Weeks per Year" dataDxfId="105"/>
    <tableColumn id="17" xr3:uid="{7BFD244B-AE4A-4D7E-9846-D121B90CBF88}" name="Weekly Hours" dataDxfId="104">
      <calculatedColumnFormula>SUM(F7:L7)</calculatedColumnFormula>
    </tableColumn>
    <tableColumn id="18" xr3:uid="{0BD42CA3-0D53-49DA-8335-8F78E200C13B}" name="Annual Hours" dataDxfId="103">
      <calculatedColumnFormula>ROUND(N7*M7*(DaysInYear/(DaysInWeek*WeeksInYear)),0)</calculatedColumnFormula>
    </tableColumn>
    <tableColumn id="19" xr3:uid="{5162F5C4-5609-4DD4-8CEB-A03CF4F525CE}" name="Additional Space Information (optional)" dataDxfId="102"/>
    <tableColumn id="8" xr3:uid="{803E11B5-AADF-4F67-98A9-4A465FF9148E}" name="HVAC Factor" dataDxfId="101">
      <calculatedColumnFormula>IF(ISBLANK(SpaceTable[[#This Row],[Space Type]]),"",IF(ISERROR(SpaceTable[[#This Row],[HVAC Factor Lookup Helper]]),0,SpaceTable[[#This Row],[HVAC Factor Lookup Helper]]))</calculatedColumnFormula>
    </tableColumn>
    <tableColumn id="7" xr3:uid="{F51785EB-71CC-49AF-971F-36625A224C7D}" name="Space Conditioning Type Lookup Helper" dataDxfId="100">
      <calculatedColumnFormula array="1">INDEX(SpaceConditionTable[Space Conditioning Type],MATCH(1,(SpaceConditionTable[Heating Type]=D7)*(SpaceConditionTable[Cooling Type]=E7),0))</calculatedColumnFormula>
    </tableColumn>
    <tableColumn id="20" xr3:uid="{432E3535-78AE-4629-B049-472ABC7F89F7}" name="HVAC Factor Lookup Helper" dataDxfId="99">
      <calculatedColumnFormula>INDEX(HVACFactorTable[#Data],MATCH(#REF!,HVACFactorTable[Building Type],0),MATCH(R7,HVACFactorTable[#Headers],0))</calculatedColumnFormula>
    </tableColumn>
    <tableColumn id="4" xr3:uid="{2616809D-397D-4DC9-B2DA-F56BDD6F85C2}" name="Space Name Concatenated Helper" dataDxfId="98">
      <calculatedColumnFormula>IF(AND(ISBLANK(SpaceTable[[#This Row],[Space Type]]),ISBLANK(SpaceTable[[#This Row],[Space Description]])),"",IF(ISBLANK(SpaceTable[[#This Row],[Space Description]]),SpaceTable[[#This Row],[Space Type]],_xlfn.CONCAT(SpaceTable[[#This Row],[Space Type]]," - ",SpaceTable[[#This Row],[Space Description]])))</calculatedColumnFormula>
    </tableColumn>
    <tableColumn id="21" xr3:uid="{D7325293-4238-4B87-B278-3DA601482243}" name="Unique Space Helper" dataDxfId="97">
      <calculatedColumnFormula>COUNTIF($T$8:$T$57,SpaceTable[[#This Row],[Space Name Concatenated Helper]])=1</calculatedColumnFormula>
    </tableColumn>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36B721F-3E1A-4BCA-A899-E756CC804B3B}" name="ExitSignTable" displayName="ExitSignTable" ref="A27:D30" totalsRowShown="0" headerRowBorderDxfId="22">
  <autoFilter ref="A27:D30" xr:uid="{036B721F-3E1A-4BCA-A899-E756CC804B3B}"/>
  <tableColumns count="4">
    <tableColumn id="1" xr3:uid="{AAE4950F-448D-4773-89A2-365627C73BF7}" name="CFL"/>
    <tableColumn id="2" xr3:uid="{F2500C7B-311D-44F9-81E8-F11BA3BA2CED}" name="Incandescent"/>
    <tableColumn id="3" xr3:uid="{8C20DD06-2EC3-4F24-B529-FBDDDC39EE37}" name="LED"/>
    <tableColumn id="4" xr3:uid="{8095A78E-F944-4DFE-89A4-73776E146377}" name="Linear Fluorescent"/>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34AE02A-94E4-4B43-87AA-C71A67EEB867}" name="HIDTable" displayName="HIDTable" ref="A33:C36" totalsRowShown="0" headerRowBorderDxfId="21">
  <autoFilter ref="A33:C36" xr:uid="{934AE02A-94E4-4B43-87AA-C71A67EEB867}"/>
  <tableColumns count="3">
    <tableColumn id="1" xr3:uid="{CF46350A-1BE2-4F98-A556-2603CCF8D83D}" name="HPS"/>
    <tableColumn id="2" xr3:uid="{EEFBF2FD-9BDF-4AF8-BF36-B5B102090819}" name="MH"/>
    <tableColumn id="3" xr3:uid="{DB7B7AC1-E972-4ED8-857C-31C196C3A3F7}" name="MV"/>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E65D8CC-5AFB-419A-B428-F25F0E4D5180}" name="InductionTable" displayName="InductionTable" ref="A39:A40" totalsRowShown="0" headerRowBorderDxfId="20">
  <autoFilter ref="A39:A40" xr:uid="{6E65D8CC-5AFB-419A-B428-F25F0E4D5180}"/>
  <tableColumns count="1">
    <tableColumn id="1" xr3:uid="{B7A6E5CB-2116-4EE0-87F0-AEB52D898000}" name="Any Type"/>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5D1EE13C-CE15-4BAA-A572-FF10299F78CF}" name="T10Table" displayName="T10Table" ref="A63:A64" totalsRowShown="0" headerRowBorderDxfId="19">
  <autoFilter ref="A63:A64" xr:uid="{5D1EE13C-CE15-4BAA-A572-FF10299F78CF}"/>
  <tableColumns count="1">
    <tableColumn id="1" xr3:uid="{419537EF-454D-4110-BD98-6DAE0767DD98}" name="6 ft"/>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0549448-6881-411D-90F5-4DBBA63C9C11}" name="T12Table" displayName="T12Table" ref="A67:K72" totalsRowShown="0" headerRowBorderDxfId="18">
  <autoFilter ref="A67:K72" xr:uid="{10549448-6881-411D-90F5-4DBBA63C9C11}"/>
  <tableColumns count="11">
    <tableColumn id="1" xr3:uid="{3AB8AA98-926A-40CC-9786-AA71C7D87E95}" name="2 ft"/>
    <tableColumn id="2" xr3:uid="{8AB9A3ED-08ED-41BB-8C0E-5A0FA4D1E755}" name="3 ft"/>
    <tableColumn id="3" xr3:uid="{6752663D-6948-457E-A446-988431BA2924}" name="4 ft"/>
    <tableColumn id="4" xr3:uid="{6245DFD5-1971-47D5-A73A-E7CBBA6FCC75}" name="5 ft"/>
    <tableColumn id="5" xr3:uid="{370018D3-4D79-43CA-AC9F-EA084DEF206A}" name="5 ft 4 in"/>
    <tableColumn id="6" xr3:uid="{3121EF3E-51C0-473A-9230-008127F87A6D}" name="6 ft"/>
    <tableColumn id="7" xr3:uid="{FB5B4735-C5A2-436A-8C87-8AF116854C0E}" name="7 ft"/>
    <tableColumn id="8" xr3:uid="{5FEB4E54-EFDD-441B-9632-CA261F6E43EC}" name="8 ft"/>
    <tableColumn id="10" xr3:uid="{C6126EA2-F83B-4035-9E56-1AC191ACC213}" name="9 ft"/>
    <tableColumn id="14" xr3:uid="{BA9746EF-CCD9-47EA-AD11-732973AC5E30}" name="Ft 10"/>
    <tableColumn id="9" xr3:uid="{D2C83FD6-00E6-4349-B8F0-CDE84A2526BD}" name="U-Lamp"/>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8FE3FABC-C99C-4E03-BE00-DF26643EC9ED}" name="T5Table" displayName="T5Table" ref="A75:C76" totalsRowShown="0" headerRowBorderDxfId="17">
  <autoFilter ref="A75:C76" xr:uid="{8FE3FABC-C99C-4E03-BE00-DF26643EC9ED}"/>
  <tableColumns count="3">
    <tableColumn id="1" xr3:uid="{6F4E9CDF-6C3B-4F90-8555-4F727B1D0F59}" name="2 ft"/>
    <tableColumn id="2" xr3:uid="{F7A1EA07-68BC-492B-8C2E-9A2120344AFE}" name="4 ft "/>
    <tableColumn id="3" xr3:uid="{42D6E5B0-77D9-465E-9F57-21ED47AE2A7C}" name="4 ft High Bay"/>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1980FC6-29FE-475D-817C-FCD271CA130D}" name="T8Table" displayName="T8Table" ref="A79:D84" totalsRowShown="0" headerRowBorderDxfId="16">
  <autoFilter ref="A79:D84" xr:uid="{D1980FC6-29FE-475D-817C-FCD271CA130D}"/>
  <tableColumns count="4">
    <tableColumn id="1" xr3:uid="{6B805F85-A20E-401D-92BA-5E4DD056A7C7}" name="4 ft"/>
    <tableColumn id="2" xr3:uid="{543B26BD-FF6D-4F76-9277-D5464EB6F09D}" name="8 ft"/>
    <tableColumn id="3" xr3:uid="{8E701AE0-0E26-4B2F-81F8-A3E9E77B3552}" name="Irregular Size"/>
    <tableColumn id="4" xr3:uid="{9883893B-3C87-48FC-BD21-AA317869E8B2}" name="U-Lamp"/>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A72A915-21D9-4F5C-AC00-C0A787D82E79}" name="T8HPTable" displayName="T8HPTable" ref="A87:B91" totalsRowShown="0" headerRowBorderDxfId="15">
  <autoFilter ref="A87:B91" xr:uid="{4A72A915-21D9-4F5C-AC00-C0A787D82E79}"/>
  <tableColumns count="2">
    <tableColumn id="1" xr3:uid="{E4D6694D-0645-43E8-BABC-93969BF02A38}" name="4 ft"/>
    <tableColumn id="2" xr3:uid="{49D4ADC2-92B5-41BF-9762-54209F7CF372}" name="8 ft"/>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98B0F89-0394-4F6C-8A2F-53E43F2B132B}" name="SignageTable" displayName="SignageTable" ref="A59:C60" totalsRowShown="0" headerRowBorderDxfId="14">
  <autoFilter ref="A59:C60" xr:uid="{898B0F89-0394-4F6C-8A2F-53E43F2B132B}"/>
  <tableColumns count="3">
    <tableColumn id="1" xr3:uid="{6FE82EC9-1660-46F2-8B66-041573548108}" name="LED Tube - Sign"/>
    <tableColumn id="2" xr3:uid="{00EB3165-20B5-4269-9C6A-7010DC1C8716}" name="Linear Strip - Sign"/>
    <tableColumn id="3" xr3:uid="{449A7B45-9374-4226-9A90-D983C7574D03}" name="Other - Sign"/>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EE32945-0FC0-4977-9CB2-553E32AA1B5D}" name="QuartzTable" displayName="QuartzTable" ref="A55:A56" totalsRowShown="0">
  <autoFilter ref="A55:A56" xr:uid="{CEE32945-0FC0-4977-9CB2-553E32AA1B5D}"/>
  <tableColumns count="1">
    <tableColumn id="1" xr3:uid="{35C5F541-E8BA-499E-8049-28A8B406644E}" name="Bi-Pi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99B79100-AAAC-45AB-9582-25ABBC56D8F1}" name="IncentiveRateTable" displayName="IncentiveRateTable" ref="A4:F9" totalsRowShown="0">
  <autoFilter ref="A4:F9" xr:uid="{99B79100-AAAC-45AB-9582-25ABBC56D8F1}"/>
  <tableColumns count="6">
    <tableColumn id="4" xr3:uid="{A9790C3A-5C4D-4D67-ABE9-1CC712B796C0}" name="Utility Rate Class"/>
    <tableColumn id="1" xr3:uid="{8E13101B-9DE2-45F7-855E-7A6BF826C808}" name="Incentive Type"/>
    <tableColumn id="5" xr3:uid="{AE669207-2F62-404A-B927-CEB39112565F}" name="Incentive Name"/>
    <tableColumn id="2" xr3:uid="{DA884DD0-F0D9-4D81-B498-73473E630242}" name="Incentive Rate" dataDxfId="94"/>
    <tableColumn id="3" xr3:uid="{1D549DFC-0498-411C-9EEA-7AE244E29134}" name="Incentive Unit"/>
    <tableColumn id="6" xr3:uid="{3F2C90F1-CC60-4D1B-B770-7CE7AD2461B2}" name="Percent of Project Cost that Total Project Incentive Cannot Exceed" dataDxfId="93"/>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5F184E9-0C18-4ECF-AB1F-61AE015D5690}" name="TPStaffTable" displayName="TPStaffTable" ref="A5:C7" totalsRowShown="0" headerRowDxfId="13">
  <autoFilter ref="A5:C7" xr:uid="{B5F184E9-0C18-4ECF-AB1F-61AE015D5690}"/>
  <tableColumns count="3">
    <tableColumn id="1" xr3:uid="{A1083D57-085D-4E4B-ACBE-85179076EAC7}" name="Tacoma Power Staff"/>
    <tableColumn id="2" xr3:uid="{36D1EFF2-2A98-4740-9DE3-58BBC0CBAC14}" name="Email"/>
    <tableColumn id="3" xr3:uid="{AFF791E7-BB86-455F-9E1B-7B2653F049F3}" name="Phone"/>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A8D1C1B-20AE-4FE1-B5FD-31C2F529D049}" name="ElectricityCostTable" displayName="ElectricityCostTable" ref="A4:D7" totalsRowShown="0">
  <tableColumns count="4">
    <tableColumn id="1" xr3:uid="{BFF05820-F8EE-4780-8279-0CE405CCC0F8}" name="Rate Class"/>
    <tableColumn id="2" xr3:uid="{AD67B8F5-AF38-4A2E-9B0B-613CE41A6DB4}" name="Energy Rate" dataDxfId="92"/>
    <tableColumn id="4" xr3:uid="{29AD6B43-BAD6-48B4-9C4B-340EE7C3CC8D}" name="Unit" dataDxfId="91"/>
    <tableColumn id="3" xr3:uid="{C63ADF32-4D26-4F77-B850-CF3AF927612E}" name="Comments" dataDxfId="9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3609515B-3FB4-4A3B-B77B-999FDA8506E1}" name="SpaceConditionTable" displayName="SpaceConditionTable" ref="A36:C48" totalsRowShown="0" headerRowDxfId="89" dataDxfId="88">
  <tableColumns count="3">
    <tableColumn id="1" xr3:uid="{EA7AE82D-A979-40AB-9200-93881AB32AC3}" name="Heating Type" dataDxfId="87"/>
    <tableColumn id="2" xr3:uid="{B9B7A789-CB5E-4D06-A317-A08AF3B7A69D}" name="Cooling Type" dataDxfId="86"/>
    <tableColumn id="3" xr3:uid="{CA3B35BD-74B5-428D-B097-8CA1AC1D4067}" name="Space Conditioning Type" dataDxfId="85"/>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B443258-052F-455C-AB2B-7FCC61FEF01A}" name="HVACFactorTable" displayName="HVACFactorTable" ref="A4:J31" totalsRowShown="0" headerRowDxfId="84" dataDxfId="83" headerRowCellStyle="Normal 2" dataCellStyle="Normal 2">
  <tableColumns count="10">
    <tableColumn id="1" xr3:uid="{AF8EE5EF-35E3-4877-A60D-B4BEDB67F293}" name="Building Type" dataDxfId="82" dataCellStyle="Normal 2"/>
    <tableColumn id="2" xr3:uid="{9D4E7FC1-00EE-466D-B2D9-44F30898FD87}" name="Electric Resistance w/ Cooling" dataDxfId="81" dataCellStyle="Normal 2"/>
    <tableColumn id="3" xr3:uid="{B982EA6F-507C-4185-84AE-27A114EF24A5}" name="Electric Resistance w/o Cooling" dataDxfId="80" dataCellStyle="Normal 2"/>
    <tableColumn id="4" xr3:uid="{1D1C99D8-1D8B-4207-B08D-E985186B1A5A}" name="Electric Heat Pump w/ Cooling" dataDxfId="79" dataCellStyle="Normal 2"/>
    <tableColumn id="5" xr3:uid="{165D348C-47C5-479A-BC3C-41D76AC631DA}" name="Electric Heat Pump w/o Cooling" dataDxfId="78" dataCellStyle="Normal 2"/>
    <tableColumn id="6" xr3:uid="{4E8C1D77-7F11-4BBB-B5CD-7AA4B74DB75F}" name="Gas, Oil, or Biomass w/ Cooling" dataDxfId="77" dataCellStyle="Normal 2"/>
    <tableColumn id="7" xr3:uid="{239C4B9C-3978-4438-B88D-D3F6E0BB54C8}" name="Gas, Oil, or Biomass w/o Cooling" dataDxfId="76" dataCellStyle="Normal 2"/>
    <tableColumn id="8" xr3:uid="{7A6F888F-6FDE-4FB0-B9B4-325D064053B1}" name="Cooling w/o Heat" dataDxfId="75" dataCellStyle="Normal 2"/>
    <tableColumn id="9" xr3:uid="{7AFBCD5A-EDAE-4957-A905-1575C32696E4}" name="Refrigerated Space" dataDxfId="74" dataCellStyle="Normal 2"/>
    <tableColumn id="10" xr3:uid="{A91E9260-5597-43FD-BEB9-2A0300B6E880}" name="None/Exterior" dataDxfId="73" dataCellStyle="Normal 2"/>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F3F1DBC-8FE6-4FC5-A752-39CB83A3EF38}" name="BallastFactorTable" displayName="BallastFactorTable" ref="A7:AT108" totalsRowShown="0" headerRowDxfId="72" dataDxfId="71">
  <autoFilter ref="A7:AT108" xr:uid="{4F3F1DBC-8FE6-4FC5-A752-39CB83A3EF38}"/>
  <tableColumns count="46">
    <tableColumn id="2" xr3:uid="{1C20EA9A-FD2C-4EA4-BFF7-63D416C6BB00}" name="Fixture Class" dataDxfId="70"/>
    <tableColumn id="3" xr3:uid="{D453004A-7EB4-424A-AFCA-CD8167A8AF7E}" name="Fixture Category" dataDxfId="69"/>
    <tableColumn id="4" xr3:uid="{1C52F95A-EFCB-408B-A9B3-BD8262A12CF7}" name="Fixture Sub-category" dataDxfId="68"/>
    <tableColumn id="5" xr3:uid="{252CA6F4-10DD-49CF-863D-E3C1370DEF2C}" name="Ballast Factor" dataDxfId="67"/>
    <tableColumn id="6" xr3:uid="{D406ABE8-80CB-4BA2-BCF4-E01B97EC3397}" name="Allowed for Existing Fixture" dataDxfId="66"/>
    <tableColumn id="7" xr3:uid="{E2376B6E-9B93-45DB-A151-687BFDB97FA3}" name="Allowed for Proposed Fixture" dataDxfId="65"/>
    <tableColumn id="1" xr3:uid="{E7B071BF-4ADF-46FA-BF40-2AAB3B8E004A}" name="Commercial BPA Reference Number" dataDxfId="64"/>
    <tableColumn id="8" xr3:uid="{D2B111D3-518D-4D90-B327-2646986129A0}" name="Industrial BPA Reference Number" dataDxfId="63"/>
    <tableColumn id="9" xr3:uid="{3D1E98AB-15BA-49CA-995F-652AABCF53C8}" name="Wattage Range Name" dataDxfId="62">
      <calculatedColumnFormula>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calculatedColumnFormula>
    </tableColumn>
    <tableColumn id="10" xr3:uid="{9CC30503-7136-48DC-A368-3E0007FB868E}" name="Wattage 1" dataDxfId="61"/>
    <tableColumn id="11" xr3:uid="{15A48D2C-CD37-4715-911F-73C1256A8532}" name="Wattage 2" dataDxfId="60"/>
    <tableColumn id="12" xr3:uid="{DFF73772-1B77-4DCF-8D70-48EA821CEBA4}" name="Wattage 3" dataDxfId="59"/>
    <tableColumn id="13" xr3:uid="{D2965F44-D401-4E8E-8861-DF0B8CB3BCE4}" name="Wattage 4" dataDxfId="58"/>
    <tableColumn id="14" xr3:uid="{2264F8DD-DFB7-4CEA-821B-DEB6400439E0}" name="Wattage 5" dataDxfId="57"/>
    <tableColumn id="15" xr3:uid="{69943B4A-CF75-45BD-810D-E5C5004C4CDD}" name="Wattage 6" dataDxfId="56"/>
    <tableColumn id="16" xr3:uid="{84D8F629-FB17-4391-BF69-09AA1B1FA4E8}" name="Wattage 7" dataDxfId="55"/>
    <tableColumn id="17" xr3:uid="{70B75459-8761-4591-9E26-7DAA3B8844CD}" name="Wattage 8" dataDxfId="54"/>
    <tableColumn id="18" xr3:uid="{51A2B2F3-992F-41FC-806A-7E4155BF87D5}" name="Wattage 9" dataDxfId="53"/>
    <tableColumn id="19" xr3:uid="{61064ADA-C62F-4950-9D89-51A6F4B3828B}" name="Wattage 10" dataDxfId="52"/>
    <tableColumn id="20" xr3:uid="{933BEB63-0A5C-4A5D-A3D6-0B04D8081743}" name="Wattage 11" dataDxfId="51"/>
    <tableColumn id="21" xr3:uid="{88D4D9AA-E583-4C09-B3B9-90C58F81D152}" name="Wattage 12" dataDxfId="50"/>
    <tableColumn id="22" xr3:uid="{786B3616-FE45-4999-BE8D-CF219D9C90D2}" name="Wattage 13" dataDxfId="49"/>
    <tableColumn id="23" xr3:uid="{CE6CACDA-AAAB-46A4-8CDD-ADEE2AB7B050}" name="Wattage 14" dataDxfId="48"/>
    <tableColumn id="24" xr3:uid="{1755EFDA-1060-41E6-8750-2B978413B481}" name="Wattage 15" dataDxfId="47"/>
    <tableColumn id="25" xr3:uid="{D7BEE8AE-3606-40B2-8C28-F9915019044F}" name="Wattage 16" dataDxfId="46"/>
    <tableColumn id="26" xr3:uid="{C44D1BF6-9A46-4E83-8061-7B7F812DC688}" name="Wattage 17" dataDxfId="45"/>
    <tableColumn id="27" xr3:uid="{E0C26641-18B8-4CA1-8403-C9853053CD27}" name="Wattage 18" dataDxfId="44"/>
    <tableColumn id="28" xr3:uid="{563B90FE-869B-47AA-B90E-E507B2A032EF}" name="Wattage 19" dataDxfId="43"/>
    <tableColumn id="29" xr3:uid="{0E65749E-0E85-4CD2-98AB-D76073875AA6}" name="Wattage 20" dataDxfId="42"/>
    <tableColumn id="30" xr3:uid="{16FA4100-B7E4-425F-9D5A-B3671C2F953A}" name="Wattage 21" dataDxfId="41"/>
    <tableColumn id="31" xr3:uid="{D2610B68-A381-46D9-AC12-D0FFBA7DA02C}" name="Wattage 22" dataDxfId="40"/>
    <tableColumn id="32" xr3:uid="{0C0EAE60-09A0-4C53-994A-3CCE8F8EDD46}" name="Wattage 23" dataDxfId="39"/>
    <tableColumn id="33" xr3:uid="{0D648379-0A09-43ED-897D-E0B63786E15F}" name="Wattage 24" dataDxfId="38"/>
    <tableColumn id="34" xr3:uid="{BD6E7F69-41F4-4880-95A1-A21F2A8F3D43}" name="Wattage 25" dataDxfId="37"/>
    <tableColumn id="35" xr3:uid="{A8B029BD-8C14-4CBB-AFBA-1392145A25C4}" name="Wattage 26" dataDxfId="36"/>
    <tableColumn id="36" xr3:uid="{DC8A5964-8305-49E1-BC31-E0FCBA59706B}" name="Wattage 27" dataDxfId="35"/>
    <tableColumn id="37" xr3:uid="{F7C111BD-374B-4AED-AAEB-5214A85023F3}" name="Wattage 28" dataDxfId="34"/>
    <tableColumn id="38" xr3:uid="{9233E4FF-5948-4F93-B456-67C19C3241B3}" name="Wattage 29" dataDxfId="33"/>
    <tableColumn id="39" xr3:uid="{47C827D0-34F9-4437-B49C-6942CE889D36}" name="Wattage 30" dataDxfId="32"/>
    <tableColumn id="40" xr3:uid="{40E8861F-5BA4-4761-B5C5-BFC814E6836F}" name="Wattage 31" dataDxfId="31"/>
    <tableColumn id="41" xr3:uid="{EB8D4E75-2BAB-4D3F-90A2-62BF0EAC06B3}" name="Wattage 32" dataDxfId="30"/>
    <tableColumn id="42" xr3:uid="{ABB7C963-E272-430B-BF26-B2543CD5AA4E}" name="Wattage 33" dataDxfId="29"/>
    <tableColumn id="43" xr3:uid="{68D5A347-7B52-4C9A-B0BE-64B594BF65E9}" name="Wattage 34" dataDxfId="28"/>
    <tableColumn id="44" xr3:uid="{60B7D474-1E4E-4851-86E3-B022EC5ED514}" name="Wattage 35" dataDxfId="27"/>
    <tableColumn id="45" xr3:uid="{35ADFB6F-6BA8-459A-BEFF-099668B34C7C}" name="Wattage 36" dataDxfId="26"/>
    <tableColumn id="46" xr3:uid="{EB3F7539-555F-4ED6-9E4B-2D2ED5CCA06D}" name="Wattage 37" dataDxfId="25"/>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287A7CF7-D54F-490F-A7EA-A72E1ADC373B}" name="ControlsBPARefNoTable" displayName="ControlsBPARefNoTable" ref="A114:B116" totalsRowShown="0">
  <autoFilter ref="A114:B116" xr:uid="{287A7CF7-D54F-490F-A7EA-A72E1ADC373B}"/>
  <tableColumns count="2">
    <tableColumn id="1" xr3:uid="{0AB351EC-71B5-4991-BC26-D8578CE88683}" name="Sector"/>
    <tableColumn id="2" xr3:uid="{75EB66AA-DF90-4B66-B14D-D87A713D4318}" name="Reference Numb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91C28DF6-B9B8-432C-BD22-719E60D6004B}" name="CFLTable" displayName="CFLTable" ref="A21:C24" totalsRowShown="0" headerRowBorderDxfId="24">
  <autoFilter ref="A21:C24" xr:uid="{91C28DF6-B9B8-432C-BD22-719E60D6004B}"/>
  <tableColumns count="3">
    <tableColumn id="1" xr3:uid="{BDE11BFD-84D6-4C6C-87F5-D91B9AAE7533}" name="Cold Cathode"/>
    <tableColumn id="2" xr3:uid="{B53BF01E-8959-41FA-969A-6353C08B88C9}" name="Hard-Wired or GU-24"/>
    <tableColumn id="3" xr3:uid="{E5FDDB04-4834-4612-94C2-385CDD247AE3}" name="Screw-In"/>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B40F1CB-1E77-4F6E-9665-8CD5B2E210D0}" name="LEDTable" displayName="LEDTable" ref="A43:I52" totalsRowShown="0" headerRowBorderDxfId="23">
  <autoFilter ref="A43:I52" xr:uid="{5B40F1CB-1E77-4F6E-9665-8CD5B2E210D0}"/>
  <tableColumns count="9">
    <tableColumn id="1" xr3:uid="{0579C410-2CC6-46D6-B773-217F4599C285}" name="Exit Sign"/>
    <tableColumn id="2" xr3:uid="{F9BF695B-38ED-4C70-B2DC-8092AC3B3110}" name="Exterior"/>
    <tableColumn id="3" xr3:uid="{3F1656DE-0F48-4D2E-80B9-8CF0B338F3A2}" name="General Indoor / Outdoor"/>
    <tableColumn id="4" xr3:uid="{BF1D99DC-0B29-41C2-A600-83BD09342FED}" name="HID Screw-in Replacement"/>
    <tableColumn id="5" xr3:uid="{1222F174-1555-4DD6-BAAD-6F1DF60B3230}" name="High Bay"/>
    <tableColumn id="6" xr3:uid="{ADE3C125-CEB0-4401-8A81-967D6CB20F6E}" name="Lighting Sold by the Foot"/>
    <tableColumn id="7" xr3:uid="{57E930AC-FAD3-4CA3-9608-8C71DE7C66AC}" name="Refrigerated Case"/>
    <tableColumn id="8" xr3:uid="{3B552608-3A5C-4010-BD6C-4AEB0CA628E0}" name="Small Lamp / Fixture"/>
    <tableColumn id="9" xr3:uid="{7D6D1DD9-4B14-4CE6-89F3-55221E4FF458}" name="Tube"/>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3" dT="2025-12-17T23:54:38.22" personId="{90B4F0FC-6528-45A8-BF37-B7EA984C34A1}" id="{6A8C69AB-582C-49B3-B2EC-BAC0E35B417E}">
    <text>This is the customer's Tacoma Power account rate class.</text>
  </threadedComment>
</ThreadedComments>
</file>

<file path=xl/threadedComments/threadedComment10.xml><?xml version="1.0" encoding="utf-8"?>
<ThreadedComments xmlns="http://schemas.microsoft.com/office/spreadsheetml/2018/threadedcomments" xmlns:x="http://schemas.openxmlformats.org/spreadsheetml/2006/main">
  <threadedComment ref="C5" dT="2026-05-20T21:35:19.84" personId="{90B4F0FC-6528-45A8-BF37-B7EA984C34A1}" id="{CA32DA91-EA57-4F06-8024-8D047BB997AF}">
    <text>Do not format phone number. Formatting is handled on the "Contacts" tab.</text>
  </threadedComment>
</ThreadedComments>
</file>

<file path=xl/threadedComments/threadedComment11.xml><?xml version="1.0" encoding="utf-8"?>
<ThreadedComments xmlns="http://schemas.microsoft.com/office/spreadsheetml/2018/threadedcomments" xmlns:x="http://schemas.openxmlformats.org/spreadsheetml/2006/main">
  <threadedComment ref="C35" dT="2026-06-01T23:07:03.90" personId="{90B4F0FC-6528-45A8-BF37-B7EA984C34A1}" id="{DDBCDCFF-01DB-41CE-BD17-02276CC48A3F}">
    <text>Yes, "Blank" is the range name, a little confusing but...it is what it is.</text>
  </threadedComment>
  <threadedComment ref="C47" dT="2026-06-01T23:07:03.90" personId="{90B4F0FC-6528-45A8-BF37-B7EA984C34A1}" id="{B5CEDF36-AA4D-4D15-888B-720934F06B0A}">
    <text>Yes, "Blank" is the range name, a little confusing but...it is what it is.</text>
  </threadedComment>
  <threadedComment ref="C55" dT="2026-06-01T23:07:03.90" personId="{90B4F0FC-6528-45A8-BF37-B7EA984C34A1}" id="{85875936-75E1-4C32-8A9E-E75C21B2CB57}">
    <text>Yes, "Blank" is the range name, a little confusing but...it is what it is.</text>
  </threadedComment>
  <threadedComment ref="C59" dT="2026-06-01T23:07:03.90" personId="{90B4F0FC-6528-45A8-BF37-B7EA984C34A1}" id="{3F0D8613-C767-41E1-9D6F-CAC57988E5C6}">
    <text>Yes, "Blank" is the range name, a little confusing but...it is what it is.</text>
  </threadedComment>
</ThreadedComments>
</file>

<file path=xl/threadedComments/threadedComment12.xml><?xml version="1.0" encoding="utf-8"?>
<ThreadedComments xmlns="http://schemas.microsoft.com/office/spreadsheetml/2018/threadedcomments" xmlns:x="http://schemas.openxmlformats.org/spreadsheetml/2006/main">
  <threadedComment ref="D7" dT="2026-07-01T20:29:34.26" personId="{90B4F0FC-6528-45A8-BF37-B7EA984C34A1}" id="{5D587612-CC40-4856-87C0-A1A7AD3881AE}">
    <text>This column contains links to the column headers that use the formulas. (All caps with underscores is the Snowflake column name.) It's intended to be the crosswalk between the plain English write up on this tab and the exact expression on the "Spaces", "Measures", etc. tab.</text>
  </threadedComment>
  <threadedComment ref="E7" dT="2026-07-01T20:29:34.26" personId="{90B4F0FC-6528-45A8-BF37-B7EA984C34A1}" id="{EEAB46FE-C760-4CD8-BEDA-731843901CEF}">
    <text>This column contains links to the Snowflake column headers that use the formulas. It's intended to be the crosswalk between the plain English write up on this tab and the exact expression on the "Spaces", "Measures", etc. tab.</text>
  </threadedComment>
  <threadedComment ref="D24" dT="2026-07-01T20:39:41.40" personId="{90B4F0FC-6528-45A8-BF37-B7EA984C34A1}" id="{44EC011E-5FF0-4535-89BC-864C7750E0D2}">
    <text>This one isn't well named. I missed updating the Snowflake column name when I consolidated some formulas for controls.</text>
  </threadedComment>
</ThreadedComments>
</file>

<file path=xl/threadedComments/threadedComment13.xml><?xml version="1.0" encoding="utf-8"?>
<ThreadedComments xmlns="http://schemas.microsoft.com/office/spreadsheetml/2018/threadedcomments" xmlns:x="http://schemas.openxmlformats.org/spreadsheetml/2006/main">
  <threadedComment ref="C45" dT="2026-05-20T00:28:57.02" personId="{90B4F0FC-6528-45A8-BF37-B7EA984C34A1}" id="{959BABD9-C206-47B0-93FC-8A524C00C7B5}">
    <text>You do NOT need "-1" to subtract the column header because Excel does it for you because the "Spaces" tab is set up as a true table.</text>
  </threadedComment>
  <threadedComment ref="C54" dT="2026-05-20T00:27:43.78" personId="{90B4F0FC-6528-45A8-BF37-B7EA984C34A1}" id="{94F88CE1-7B35-44B7-8D98-8E2C72D7C9DB}">
    <text>The "-1" subtracts the column header. You need it because the "Measures" tab is NOT set up as a true table, and so the COUNTA formula includes the column header.</text>
  </threadedComment>
  <threadedComment ref="C63" dT="2026-05-20T00:27:43.78" personId="{90B4F0FC-6528-45A8-BF37-B7EA984C34A1}" id="{EC40D0F3-49CE-493B-9899-4FAD55A5DD21}">
    <text>We need to use a COUNTIF formula on a helper column rather than COUNTA on the "Space" column because Excel counts the empty string ("") in the "Space" column.</text>
  </threadedComment>
  <threadedComment ref="C72" dT="2026-05-21T22:50:56.28" personId="{90B4F0FC-6528-45A8-BF37-B7EA984C34A1}" id="{FDDAB1EB-B5A6-4F54-A583-630AA3654E51}">
    <text>It's okay that this formula counts the column header. The UNIQUE formula for the Manufacturer-Model values inserts a blank row (because not all 500 rows on the "Measures" tab get populated). The COUNTA formula doesn't count the blank row, so counting the column header gets us to the correct number of rows to print.</text>
  </threadedComment>
</ThreadedComments>
</file>

<file path=xl/threadedComments/threadedComment2.xml><?xml version="1.0" encoding="utf-8"?>
<ThreadedComments xmlns="http://schemas.microsoft.com/office/spreadsheetml/2018/threadedcomments" xmlns:x="http://schemas.openxmlformats.org/spreadsheetml/2006/main">
  <threadedComment ref="A6" dT="2026-04-02T20:23:21.98" personId="{90B4F0FC-6528-45A8-BF37-B7EA984C34A1}" id="{35AEC4A6-3492-4634-83A8-C8E0F94002A1}">
    <text>If the cell turned pink, it means there are duplicate combinations of space type and space description. Please make each combination unique.</text>
  </threadedComment>
  <threadedComment ref="Q6" dT="2025-12-19T23:49:40.06" personId="{90B4F0FC-6528-45A8-BF37-B7EA984C34A1}" id="{49A31326-7F51-49D6-9AA0-1C79C1F7F99F}">
    <text>This column is hidden because, per the lighting team, customers do not need to see it. This column is used on the "Measures" tab.</text>
  </threadedComment>
  <threadedComment ref="R6" dT="2025-12-17T00:24:28.83" personId="{90B4F0FC-6528-45A8-BF37-B7EA984C34A1}" id="{92602EAB-42F1-4744-9991-5C0FECE88E7B}">
    <text>The values in this column correspond to the column header of the HVAC Interactive Effects table on the "HVAC Factors" tab. It's used to help lookup the space's HVAC factor.</text>
  </threadedComment>
  <threadedComment ref="S6" dT="2025-12-23T18:07:36.97" personId="{90B4F0FC-6528-45A8-BF37-B7EA984C34A1}" id="{017958F7-0A84-421A-848E-992A93EA8DF7}">
    <text>This holds the INDEX MATCH lookup formula for the HVAC factor. I keep it in its own column because 1) it makes it easier to see if the lookup failed and 2) INDEX MATCH formulas are so long that I don't like to clutter them with other clauses, which make the formula more difficult to parse.</text>
  </threadedComment>
  <threadedComment ref="T6" dT="2026-04-02T22:42:21.96" personId="{90B4F0FC-6528-45A8-BF37-B7EA984C34A1}" id="{B092DCE9-40AD-4CC6-BD2A-B0E24F31E7A0}">
    <text>1) This is used on the "Measures" tab to lookup the space's HVAC Factor and Annual Operating Hours.
2) It's also used in the "Space Name Concatenated Blank Rows Removed Helper" column at right.</text>
  </threadedComment>
  <threadedComment ref="U6" dT="2026-04-02T20:25:44.48" personId="{90B4F0FC-6528-45A8-BF37-B7EA984C34A1}" id="{3E109DB1-EC9A-4C59-A1B7-F873F2AD2952}">
    <text>1) Each combination of space type and space description must be unique in order for the drop down list on the "Measures" tab to work properly.
2) This column is used by A) the formula in the "Space Name Concatenated Blank Rows Removed Helper" column and B) in the conditional formatting rule in the "Row" column.</text>
  </threadedComment>
  <threadedComment ref="V6" dT="2025-12-17T00:21:25.56" personId="{90B4F0FC-6528-45A8-BF37-B7EA984C34A1}" id="{4D1928DC-C800-4BD2-B1F5-92F66E599C61}">
    <text>1) It's correct that this column is outside the Space table.
2) This is used on the "Measures" tab for the "Space Name" data validation drop down list.
3) It's correct that the formula returns empty string when there are duplicate space names. The empty string prevents users from being able to select a space on "Measures" tab, which ensures that users resolve the duplicate space. (Duplicates aren't allowed because they cause VLOOKUP and INDEX MATCH functions to fail.)</text>
  </threadedComment>
  <threadedComment ref="A7" dT="2026-02-03T21:30:31.60" personId="{90B4F0FC-6528-45A8-BF37-B7EA984C34A1}" id="{9A09F26D-D49C-4F75-B632-EC85F8A3A8E6}">
    <text>Admin note to self: This row contains unique column headers for use in Snowflake. It is a behind-the-scenes row. Do not display to users.</text>
  </threadedComment>
</ThreadedComments>
</file>

<file path=xl/threadedComments/threadedComment3.xml><?xml version="1.0" encoding="utf-8"?>
<ThreadedComments xmlns="http://schemas.microsoft.com/office/spreadsheetml/2018/threadedcomments" xmlns:x="http://schemas.openxmlformats.org/spreadsheetml/2006/main">
  <threadedComment ref="B5" dT="2026-04-01T17:44:15.65" personId="{90B4F0FC-6528-45A8-BF37-B7EA984C34A1}" id="{BB239384-22F0-4AF1-BA89-66884AB60C5B}">
    <text>The space drop down list comes from the "Spaces" tab.</text>
  </threadedComment>
  <threadedComment ref="G5" dT="2026-04-01T22:52:41.55" personId="{90B4F0FC-6528-45A8-BF37-B7EA984C34A1}" id="{20DE2387-8C25-477D-A275-6DDF6945585D}">
    <text>If the cell turned pink, it means the wattage is invalid. Please select a wattage from the dropdown list or, for LED fixtures, type in the wattage per unit.</text>
  </threadedComment>
  <threadedComment ref="M5" dT="2026-04-06T22:25:32.58" personId="{90B4F0FC-6528-45A8-BF37-B7EA984C34A1}" id="{FEAB7110-62E2-427A-9C07-C78FFC001A11}">
    <text>Tubes and modules are examples of units.</text>
  </threadedComment>
  <threadedComment ref="S5" dT="2026-05-20T22:27:30.11" personId="{90B4F0FC-6528-45A8-BF37-B7EA984C34A1}" id="{7BC5EEC4-4EE3-4E69-8BA2-114421439756}">
    <text>If the cell turned pink, it means the controls quantity is more than the fixture quantity, which is not permitted. Please correct the fixture or controls quantity to resolve the issue.</text>
  </threadedComment>
  <threadedComment ref="AK5" dT="2026-02-14T00:56:30.53" personId="{90B4F0FC-6528-45A8-BF37-B7EA984C34A1}" id="{444534EE-9AFD-49F8-9AB5-2737DAADCDBC}">
    <text>This is the key between the "Spaces" and "Measures" tabs that Snowflake will use to join the data from the two tabs.</text>
  </threadedComment>
  <threadedComment ref="AL5" dT="2026-04-06T21:27:51.58" personId="{90B4F0FC-6528-45A8-BF37-B7EA984C34A1}" id="{8B35C8BE-DE0A-4245-91B8-EF5CFC2E8868}">
    <text>This column is hidden because, per the lighting team, customers do not need to see it. This column is used in the kWh consumption formulas.</text>
  </threadedComment>
  <threadedComment ref="AM5" dT="2026-02-02T23:37:03.25" personId="{90B4F0FC-6528-45A8-BF37-B7EA984C34A1}" id="{F764309E-DDDC-4EC3-B2B0-6C24765C6871}">
    <text>1) Used in the customer-facing formulas to control when a cell should return empty string ("") and when it should run a formula.
2) Also used in some helper formulas to return zero or empty string for formulas that return an error.</text>
  </threadedComment>
  <threadedComment ref="AN5" dT="2025-12-10T17:50:11.67" personId="{90B4F0FC-6528-45A8-BF37-B7EA984C34A1}" id="{2EA5BCE4-8AB6-4E75-854E-798B655333A4}">
    <text>This holds the INDEX MATCH lookup formula for the ballast factor. I keep it in its own column because 1) it makes it easier to see if the lookup failed and 2) INDEX MATCH formulas are so long that I don't like to clutter them with other clauses, which make the formula more difficult to parse.</text>
  </threadedComment>
  <threadedComment ref="AO5" dT="2026-02-20T21:29:53.91" personId="{90B4F0FC-6528-45A8-BF37-B7EA984C34A1}" id="{0ACBF085-B3A6-4626-9865-6EE43E2C4863}">
    <text>This is the column that's used in formulas. The formula replaces the lookup's "N/A" with empty string ("").</text>
  </threadedComment>
  <threadedComment ref="AP5" dT="2026-05-26T23:45:49.04" personId="{90B4F0FC-6528-45A8-BF37-B7EA984C34A1}" id="{D154736F-FC81-411C-962F-332E9FC51CA4}">
    <text>1) Returns the name of the Named Range for the data validation that the "Wattage per Lamp" column uses to produce its dropdown lists.</text>
  </threadedComment>
  <threadedComment ref="AQ5" dT="2026-05-26T23:49:44.31" personId="{90B4F0FC-6528-45A8-BF37-B7EA984C34A1}" id="{48B3D9E4-2847-4452-AFBC-0DAB2BE2DFDC}">
    <text>1) Used in the "Wattage per Lamp" column's conditional formatting. The only value in this column that the conditional formatting cares about is "invalid". (The number that the XMATCH formula returns is the wattage column number in the "Ballast Factor" table.)
2) We need the conditional formatting because the "Wattage per Lamp" column's data validation has its error messages turned off--this had to be done to allow users to enter LED wattages. And so we needed some other way to alert users about data entry errors.</text>
  </threadedComment>
  <threadedComment ref="AR5" dT="2026-02-06T22:37:27.66" personId="{90B4F0FC-6528-45A8-BF37-B7EA984C34A1}" id="{C9F86539-3C95-41C5-9E69-6AC4654425B4}">
    <text>1) This helper is needed so that when the row is A) decommissioning, the quantity of existing fixtures is returned for the count of fixtures, B) LED Tube, the count of tubes (lamps x quantity) is returned, and C) for all other fixtures, the quantity of proposed fixtures is returned.
2) The helper is need to make the SUMIF formula work on the "Measures Sum Prep" tab. And it's used on the "Fixture Review" tab.</text>
  </threadedComment>
  <threadedComment ref="AS5" dT="2026-05-28T17:03:27.41" personId="{90B4F0FC-6528-45A8-BF37-B7EA984C34A1}" id="{E3F9DAC4-A186-45D9-87F9-DFAA72C004DD}">
    <text>Used in the "Walkthrough" and "Fixture Review" tabs.</text>
  </threadedComment>
  <threadedComment ref="AT5" dT="2026-05-28T17:18:44.07" personId="{90B4F0FC-6528-45A8-BF37-B7EA984C34A1}" id="{4E9E5F7D-7E9A-4943-8E53-E90917D6C8D9}">
    <text>This formula returns the type of incentive that the proposed fixtures should receive.</text>
  </threadedComment>
  <threadedComment ref="AU5" dT="2026-05-28T17:19:08.51" personId="{90B4F0FC-6528-45A8-BF37-B7EA984C34A1}" id="{F66F4507-A5FD-4348-A80F-1DCBC536729B}">
    <text>This formula returns the incentive rate that the proposed fixtures should receive.</text>
  </threadedComment>
  <threadedComment ref="AV5" dT="2026-05-28T17:19:49.35" personId="{90B4F0FC-6528-45A8-BF37-B7EA984C34A1}" id="{FFFB9901-A013-475B-9660-E0EE27892110}">
    <text>This formula returns the incentive rate's unit of measurement that the proposed fixtures should receive.</text>
  </threadedComment>
  <threadedComment ref="AW5" dT="2026-06-24T18:45:55.66" personId="{90B4F0FC-6528-45A8-BF37-B7EA984C34A1}" id="{F1A7C5C8-AE19-4FDF-B715-F07C6096D918}">
    <text>This formula 1) returns the incentive amount before zeroing out incentives due to negative kWh savings (which is done on the "Project Summary" tab), 2) rounds the amount to the penny, and 3) for tubes and exit signs, a) makes the incentive amount negative when the kWh savings are negative and b) makes the incentive amount zero when the kWh savings are zero.</text>
  </threadedComment>
  <threadedComment ref="AX5" dT="2026-05-28T17:18:44.07" personId="{90B4F0FC-6528-45A8-BF37-B7EA984C34A1}" id="{A0764643-2BCC-4EDC-B5C1-36FFBC0ACB14}">
    <text>This formula returns the type of incentive that the controls should receive.</text>
  </threadedComment>
  <threadedComment ref="AY5" dT="2026-05-28T17:19:08.51" personId="{90B4F0FC-6528-45A8-BF37-B7EA984C34A1}" id="{F7C1F649-FC89-405B-921A-00F1A4F9940E}">
    <text>This formula returns the incentive rate that the proposed controls should receive.</text>
  </threadedComment>
  <threadedComment ref="AZ5" dT="2026-05-28T17:19:49.35" personId="{90B4F0FC-6528-45A8-BF37-B7EA984C34A1}" id="{3B684A96-C17A-44E1-B669-1A9B6F04C768}">
    <text>This formula returns the incentive rate's unit of measurement that the proposed controls should receive.</text>
  </threadedComment>
  <threadedComment ref="BA5" dT="2026-02-04T00:57:02.99" personId="{90B4F0FC-6528-45A8-BF37-B7EA984C34A1}" id="{B4935911-BD94-4122-8793-C141749E6CBA}">
    <text>This formula says, if it's "Controls Only", use the existing fixture kWh; otherwise use the proposed fixture kWh.</text>
  </threadedComment>
  <threadedComment ref="BB5" dT="2026-01-21T22:23:59.42" personId="{90B4F0FC-6528-45A8-BF37-B7EA984C34A1}" id="{A845832F-DF5A-4955-81FD-0BAD7AB551FB}">
    <text>1) This holds the INDEX MATCH lookup formula for the BPA ref. no. helper. I keep it in its own column because A) it makes it easier to see if the lookup failed and B) INDEX MATCH formulas are so long that I don't like to clutter them with other clauses, which make the formula more difficult to parse.
2) "N/A" means a match was not found in the ballast factor table.</text>
  </threadedComment>
  <threadedComment ref="BC5" dT="2026-01-21T22:24:29.88" personId="{90B4F0FC-6528-45A8-BF37-B7EA984C34A1}" id="{027CBD0B-5A19-41D7-A501-3206F36CF87B}">
    <text>1) This holds the INDEX MATCH lookup formula for the BPA ref. no. helper. I keep it in its own column because A) it makes it easier to see if the lookup failed and B) INDEX MATCH formulas are so long that I don't like to clutter them with other clauses, which make the formula more difficult to parse.
2) "N/A" means a match was not found in the ballast factor table.</text>
  </threadedComment>
  <threadedComment ref="BD5" dT="2026-04-07T00:21:15.94" personId="{90B4F0FC-6528-45A8-BF37-B7EA984C34A1}" id="{69FBF6EE-3EBC-4E17-9A5E-50F0970CC11C}">
    <text>1) The formula determines which category of ref. no. (commercial or industrial) to return for fixtures.
2) This is not a helper column, but it's hidden because users don't need to see it.
3) These data exist so that they can be loaded to Snowflake.</text>
  </threadedComment>
  <threadedComment ref="BE5" dT="2026-04-07T00:21:15.94" personId="{90B4F0FC-6528-45A8-BF37-B7EA984C34A1}" id="{A9636ACF-034C-47BD-B2B5-14BA7DEFB1F5}">
    <text>1) This formula determines which category of ref. no. (commercial or industrial) to return for controls.
2) This is not a helper column, but it's hidden because users don't need to see it.
3) These data exist so that they can be loaded to Snowflake.</text>
  </threadedComment>
  <threadedComment ref="BF5" dT="2026-06-02T17:22:31.88" personId="{90B4F0FC-6528-45A8-BF37-B7EA984C34A1}" id="{2876242E-EB7C-4614-85AD-4A970197272D}">
    <text>This formula checks that all existing fixture cells for a given row are populated. It compares the count of populated cells against the count of column headers.</text>
  </threadedComment>
  <threadedComment ref="BG5" dT="2026-06-02T17:22:31.88" personId="{90B4F0FC-6528-45A8-BF37-B7EA984C34A1}" id="{957F22B9-1784-4604-8065-BF7D8A9E987A}">
    <text>This formula checks that all proposed fixture cells for a given row are populated. It compares the count of populated cells against the count of column headers.</text>
  </threadedComment>
  <threadedComment ref="BH5" dT="2026-06-02T17:22:31.88" personId="{90B4F0FC-6528-45A8-BF37-B7EA984C34A1}" id="{7C456FBB-2401-485D-ADBE-92C539E8DE88}">
    <text>This formula checks that all controls cells for a given row are populated. It compares the count of populated cells against the count of column headers.
Reminder: we subtract 1 from the count of column headers when the control type is 'Occupancy Sensor' or 'Networked Controls' because these do not require the "% Wattage Reduced" column.</text>
  </threadedComment>
  <threadedComment ref="AB6" dT="2026-06-24T19:12:11.82" personId="{90B4F0FC-6528-45A8-BF37-B7EA984C34A1}" id="{E794A74B-F1C1-46DC-8A19-86BBB3033A18}">
    <text>Please see the "Project Summary" tab for the grand total estimated project incentive.</text>
  </threadedComment>
  <threadedComment ref="AE6" dT="2026-06-24T19:12:18.87" personId="{90B4F0FC-6528-45A8-BF37-B7EA984C34A1}" id="{4DA8623F-C295-4ABA-92DB-D7C07D118059}">
    <text>Please see the "Project Summary" tab for the grand total estimated project incentive.</text>
  </threadedComment>
  <threadedComment ref="BF6" dT="2026-06-02T16:32:56.64" personId="{90B4F0FC-6528-45A8-BF37-B7EA984C34A1}" id="{356D0BB6-7B6E-483E-AF60-390354DAA393}">
    <text>This is the count of column headers for existing fixtures.</text>
  </threadedComment>
  <threadedComment ref="BG6" dT="2026-06-02T16:32:56.64" personId="{90B4F0FC-6528-45A8-BF37-B7EA984C34A1}" id="{4F6FAE79-0EBC-41A4-B2D0-B58BD7DC6B6E}">
    <text>This is the count of column headers for proposed fixtures.</text>
  </threadedComment>
  <threadedComment ref="BH6" dT="2026-06-02T16:32:56.64" personId="{90B4F0FC-6528-45A8-BF37-B7EA984C34A1}" id="{87332B0E-33A6-44EC-B393-6A9B0F2617A5}">
    <text>This is the count of column headers for controls.</text>
  </threadedComment>
  <threadedComment ref="A7" dT="2026-02-03T21:30:31.60" personId="{90B4F0FC-6528-45A8-BF37-B7EA984C34A1}" id="{08C8515D-C8AB-40F9-8054-52000A939B28}">
    <text>Admin note to self: This row contains unique column headers for use in Snowflake. It is a behind-the-scenes row. Do not display to users.</text>
  </threadedComment>
</ThreadedComments>
</file>

<file path=xl/threadedComments/threadedComment4.xml><?xml version="1.0" encoding="utf-8"?>
<ThreadedComments xmlns="http://schemas.microsoft.com/office/spreadsheetml/2018/threadedcomments" xmlns:x="http://schemas.openxmlformats.org/spreadsheetml/2006/main">
  <threadedComment ref="E8" dT="2026-05-21T21:25:27.67" personId="{90B4F0FC-6528-45A8-BF37-B7EA984C34A1}" id="{27BB423C-A249-4EB1-B297-BD1DA29B3296}">
    <text>For LED tubes, the quantity is calculated as number of tubes per fixture x quantity of fixtures.</text>
  </threadedComment>
  <threadedComment ref="F9" dT="2026-05-20T21:47:26.78" personId="{90B4F0FC-6528-45A8-BF37-B7EA984C34A1}" id="{1E752AAC-DA9D-46BE-84E6-97EF6F246F17}">
    <text>Please see the "Project Summary" tab for the grand total estimated project incentive.</text>
  </threadedComment>
  <threadedComment ref="A10" dT="2026-02-14T01:24:40.93" personId="{90B4F0FC-6528-45A8-BF37-B7EA984C34A1}" id="{A6E31023-916A-4475-91C9-7FCA48CC842D}">
    <text>Admin note to self: This row contains unique column headers for use in Snowflake. It is a behind-the-scenes row. Do not display to users.</text>
  </threadedComment>
</ThreadedComments>
</file>

<file path=xl/threadedComments/threadedComment5.xml><?xml version="1.0" encoding="utf-8"?>
<ThreadedComments xmlns="http://schemas.microsoft.com/office/spreadsheetml/2018/threadedcomments" xmlns:x="http://schemas.openxmlformats.org/spreadsheetml/2006/main">
  <threadedComment ref="A1" dT="2026-05-21T20:26:35.56" personId="{90B4F0FC-6528-45A8-BF37-B7EA984C34A1}" id="{83F0E788-6369-4904-8D32-00093669A775}">
    <text>This tab presents the measures in a condensed layout and is formatted to print. It's intended to be used on walkthrough inspections.</text>
  </threadedComment>
  <threadedComment ref="P7" dT="2026-05-20T18:56:15.40" personId="{90B4F0FC-6528-45A8-BF37-B7EA984C34A1}" id="{0C068864-5135-4B23-88B6-1BE8D5EB59A1}">
    <text>This used in the OFFSET formula for the dynamic print area.</text>
  </threadedComment>
</ThreadedComments>
</file>

<file path=xl/threadedComments/threadedComment6.xml><?xml version="1.0" encoding="utf-8"?>
<ThreadedComments xmlns="http://schemas.microsoft.com/office/spreadsheetml/2018/threadedcomments" xmlns:x="http://schemas.openxmlformats.org/spreadsheetml/2006/main">
  <threadedComment ref="A7" dT="2026-01-21T00:45:56.91" personId="{90B4F0FC-6528-45A8-BF37-B7EA984C34A1}" id="{80AFFD1F-89F5-426E-A125-8C2C29F1D69C}">
    <text>Selecting the sector returns the BPA ref. nos. for the proposed fixtures and controls on the "Measures" tab's behind-the-scenes columns.</text>
  </threadedComment>
  <threadedComment ref="B7" dT="2026-02-14T01:33:58.06" personId="{90B4F0FC-6528-45A8-BF37-B7EA984C34A1}" id="{E0C2D0F0-48D4-46C0-9F11-BB3259ACB9EA}">
    <text>This is needed for Snowflake to identify which lighting data belong with which project.</text>
  </threadedComment>
  <threadedComment ref="C7" dT="2026-02-14T01:32:47.43" personId="{90B4F0FC-6528-45A8-BF37-B7EA984C34A1}" id="{6CD284E9-09A0-403B-9725-CBE247F14893}">
    <text>Admin note: this is for use in Snowflake so that we can know from which workbook we scraped the lighting data.</text>
  </threadedComment>
  <threadedComment ref="A8" dT="2026-02-14T01:24:40.93" personId="{90B4F0FC-6528-45A8-BF37-B7EA984C34A1}" id="{2C671C80-5AE4-4EDF-B2C5-DC7A0653D4C4}">
    <text>Admin note to self: This row contains unique column headers for use in Snowflake. It is a behind-the-scenes row. Do not display to users.</text>
  </threadedComment>
</ThreadedComments>
</file>

<file path=xl/threadedComments/threadedComment7.xml><?xml version="1.0" encoding="utf-8"?>
<ThreadedComments xmlns="http://schemas.microsoft.com/office/spreadsheetml/2018/threadedcomments" xmlns:x="http://schemas.openxmlformats.org/spreadsheetml/2006/main">
  <threadedComment ref="A5" dT="2026-01-22T22:05:28.42" personId="{90B4F0FC-6528-45A8-BF37-B7EA984C34A1}" id="{8AA363B9-B9F6-4F41-9A4A-5F3D96003ACA}">
    <text>This is used in the VLOOKUP on the customer-facing "Measure Summary" tab.</text>
  </threadedComment>
  <threadedComment ref="E5" dT="2026-05-21T21:25:27.67" personId="{90B4F0FC-6528-45A8-BF37-B7EA984C34A1}" id="{423B4FEA-8880-478D-9394-EAE0A5F9C7A1}">
    <text>For LED tubes, the quantity is calculated as number of tubes per fixture x quantity of fixtures.</text>
  </threadedComment>
  <threadedComment ref="H5" dT="2026-01-22T22:55:22.48" personId="{90B4F0FC-6528-45A8-BF37-B7EA984C34A1}" id="{38A181FA-75EA-4235-95C4-C45C2FB11853}">
    <text>Used to identify if the proposed fixture category is used in the "Measures" tab. A value greater than zero means the category is used.</text>
  </threadedComment>
  <threadedComment ref="C22" dT="2026-07-01T18:43:47.75" personId="{90B4F0FC-6528-45A8-BF37-B7EA984C34A1}" id="{B612D89D-82BE-4FF6-8B57-BD61092796A8}">
    <text>Yes, it's correct that we display "No Controls" on the "Measure Summary" tab. A) It helps check data entry since the customer can see if they accidentally selected ‘no controls’ when they meant to select, for example, ‘networked controls’ . B) I don't want to layer in more display logic to hide one specific row--I want to keep the long-term maintenance as easy as possible.</text>
  </threadedComment>
  <threadedComment ref="A23" dT="2026-01-31T00:27:40.13" personId="{90B4F0FC-6528-45A8-BF37-B7EA984C34A1}" id="{7223E472-EB48-4197-9C34-C766FC0BC200}">
    <text>1) This is a named cell.
2) It's used on the "Measure Summary" tab to clear "N/A" from the VLOOKUP results on that tab.</text>
  </threadedComment>
</ThreadedComments>
</file>

<file path=xl/threadedComments/threadedComment8.xml><?xml version="1.0" encoding="utf-8"?>
<ThreadedComments xmlns="http://schemas.microsoft.com/office/spreadsheetml/2018/threadedcomments" xmlns:x="http://schemas.openxmlformats.org/spreadsheetml/2006/main">
  <threadedComment ref="D7" dT="2025-11-26T22:15:28.26" personId="{F6675F9E-F34D-4517-93C6-A346A0944264}" id="{73A0234E-9B85-462E-9E7B-CF3A6438B9EA}">
    <text>A) "1" means there is no ballast factor. The value exists just to make the fixture wattage formulas work for all scenarios.</text>
  </threadedComment>
  <threadedComment ref="E7" dT="2026-02-06T00:14:42.31" personId="{90B4F0FC-6528-45A8-BF37-B7EA984C34A1}" id="{1A75FFD5-E86E-4C55-8DBE-B567A02C5854}">
    <text>"Allowed" means the fixture can be selected on the "Measures" tab as an existing fixture.</text>
  </threadedComment>
  <threadedComment ref="F7" dT="2026-02-06T00:14:54.10" personId="{90B4F0FC-6528-45A8-BF37-B7EA984C34A1}" id="{E4D5A52B-0621-4355-82B1-E5FBED8B13FD}">
    <text>"Allowed" means the fixture can be selected on the "Measures" tab as a proposed fixture.</text>
  </threadedComment>
  <threadedComment ref="G7" dT="2026-01-20T23:59:31.43" personId="{90B4F0FC-6528-45A8-BF37-B7EA984C34A1}" id="{EE50C8DC-8514-4DE6-88A5-AA4E31F71C86}">
    <text>Pertains to proposed fixtures only.</text>
  </threadedComment>
  <threadedComment ref="H7" dT="2026-01-20T23:59:37.79" personId="{90B4F0FC-6528-45A8-BF37-B7EA984C34A1}" id="{F94BC765-638B-452E-B8DF-C96D6B095C4D}">
    <text>Pertains to proposed fixtures only.</text>
  </threadedComment>
  <threadedComment ref="I7" dT="2026-05-27T16:15:08.43" personId="{90B4F0FC-6528-45A8-BF37-B7EA984C34A1}" id="{6639BE13-2CEC-439B-B315-795B9C95E4BB}">
    <text>This formula 1) concatenates the fixture's class, category, and sub-category, 2) replaces all special characters and spaces with underscores, and 3) prepends "wattlist_" so that all of the wattage named ranges group together in the Name Manager.</text>
  </threadedComment>
  <threadedComment ref="J7" dT="2026-05-27T16:17:04.76" personId="{90B4F0FC-6528-45A8-BF37-B7EA984C34A1}" id="{A7CE9404-6B31-4395-9FE5-D23D6C5CD3C3}">
    <text>1) The wattage columns contain the values that are used on the "Wattage per Lamp" column on the "Measures" tab.
2) the Signage wattage is 'N/A' because signage is only for proposed fixtures and we do not use wattage drop downs for proposed fixtures.</text>
  </threadedComment>
  <threadedComment ref="B87" dT="2026-04-01T23:35:09.43" personId="{90B4F0FC-6528-45A8-BF37-B7EA984C34A1}" id="{75BD45BE-6244-4FB4-B539-BAD7C90E2F4E}">
    <text>It is correct that the unit of measurement comes before the number of feet. For reasons unknown, the subcategory drop down list on the "Measures" tab refuses to work when the value is "10 ft".</text>
  </threadedComment>
</ThreadedComments>
</file>

<file path=xl/threadedComments/threadedComment9.xml><?xml version="1.0" encoding="utf-8"?>
<ThreadedComments xmlns="http://schemas.microsoft.com/office/spreadsheetml/2018/threadedcomments" xmlns:x="http://schemas.openxmlformats.org/spreadsheetml/2006/main">
  <threadedComment ref="J67" dT="2026-04-01T23:36:31.63" personId="{90B4F0FC-6528-45A8-BF37-B7EA984C34A1}" id="{F6C0AD2C-0D8C-47E0-BF39-56628D73D4AA}">
    <text>It is correct that the unit of measurement comes before the number of feet. For reasons unknown, the subcategory drop down list on the "Measures" tab refuses to work when the value is "10 ft".</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www.mytpu.org/wp-content/uploads/Bright-Rebates-Project-Checklist.pdf" TargetMode="External"/><Relationship Id="rId2" Type="http://schemas.openxmlformats.org/officeDocument/2006/relationships/hyperlink" Target="mailto:BrightRebates@tacoma.gov" TargetMode="External"/><Relationship Id="rId1" Type="http://schemas.openxmlformats.org/officeDocument/2006/relationships/hyperlink" Target="https://www.mytpu.org/ways-to-save/business-rebates/"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12.xml.rels><?xml version="1.0" encoding="UTF-8" standalone="yes"?>
<Relationships xmlns="http://schemas.openxmlformats.org/package/2006/relationships"><Relationship Id="rId3" Type="http://schemas.microsoft.com/office/2017/10/relationships/threadedComment" Target="../threadedComments/threadedComment6.xml"/><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 Id="rId4" Type="http://schemas.microsoft.com/office/2017/10/relationships/threadedComment" Target="../threadedComments/threadedComment7.xml"/></Relationships>
</file>

<file path=xl/worksheets/_rels/sheet17.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1.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table" Target="../tables/table4.xml"/></Relationships>
</file>

<file path=xl/worksheets/_rels/sheet22.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vmlDrawing" Target="../drawings/vmlDrawing8.vml"/><Relationship Id="rId5" Type="http://schemas.microsoft.com/office/2017/10/relationships/threadedComment" Target="../threadedComments/threadedComment8.xml"/><Relationship Id="rId4" Type="http://schemas.openxmlformats.org/officeDocument/2006/relationships/comments" Target="../comments8.xml"/></Relationships>
</file>

<file path=xl/worksheets/_rels/sheet24.xml.rels><?xml version="1.0" encoding="UTF-8" standalone="yes"?>
<Relationships xmlns="http://schemas.openxmlformats.org/package/2006/relationships"><Relationship Id="rId8" Type="http://schemas.openxmlformats.org/officeDocument/2006/relationships/table" Target="../tables/table13.xml"/><Relationship Id="rId13" Type="http://schemas.openxmlformats.org/officeDocument/2006/relationships/table" Target="../tables/table18.xml"/><Relationship Id="rId3" Type="http://schemas.openxmlformats.org/officeDocument/2006/relationships/table" Target="../tables/table8.xml"/><Relationship Id="rId7" Type="http://schemas.openxmlformats.org/officeDocument/2006/relationships/table" Target="../tables/table12.xml"/><Relationship Id="rId12" Type="http://schemas.openxmlformats.org/officeDocument/2006/relationships/table" Target="../tables/table17.xml"/><Relationship Id="rId2" Type="http://schemas.openxmlformats.org/officeDocument/2006/relationships/vmlDrawing" Target="../drawings/vmlDrawing9.vml"/><Relationship Id="rId16" Type="http://schemas.microsoft.com/office/2017/10/relationships/threadedComment" Target="../threadedComments/threadedComment9.xml"/><Relationship Id="rId1" Type="http://schemas.openxmlformats.org/officeDocument/2006/relationships/printerSettings" Target="../printerSettings/printerSettings16.bin"/><Relationship Id="rId6" Type="http://schemas.openxmlformats.org/officeDocument/2006/relationships/table" Target="../tables/table11.xml"/><Relationship Id="rId11" Type="http://schemas.openxmlformats.org/officeDocument/2006/relationships/table" Target="../tables/table16.xml"/><Relationship Id="rId5" Type="http://schemas.openxmlformats.org/officeDocument/2006/relationships/table" Target="../tables/table10.xml"/><Relationship Id="rId15" Type="http://schemas.openxmlformats.org/officeDocument/2006/relationships/comments" Target="../comments9.xml"/><Relationship Id="rId10" Type="http://schemas.openxmlformats.org/officeDocument/2006/relationships/table" Target="../tables/table15.xml"/><Relationship Id="rId4" Type="http://schemas.openxmlformats.org/officeDocument/2006/relationships/table" Target="../tables/table9.xml"/><Relationship Id="rId9" Type="http://schemas.openxmlformats.org/officeDocument/2006/relationships/table" Target="../tables/table14.xml"/><Relationship Id="rId14" Type="http://schemas.openxmlformats.org/officeDocument/2006/relationships/table" Target="../tables/table19.xm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table" Target="../tables/table20.xml"/><Relationship Id="rId1" Type="http://schemas.openxmlformats.org/officeDocument/2006/relationships/vmlDrawing" Target="../drawings/vmlDrawing10.vml"/><Relationship Id="rId4" Type="http://schemas.microsoft.com/office/2017/10/relationships/threadedComment" Target="../threadedComments/threadedComment10.xml"/></Relationships>
</file>

<file path=xl/worksheets/_rels/sheet28.xml.rels><?xml version="1.0" encoding="UTF-8" standalone="yes"?>
<Relationships xmlns="http://schemas.openxmlformats.org/package/2006/relationships"><Relationship Id="rId3" Type="http://schemas.microsoft.com/office/2017/10/relationships/threadedComment" Target="../threadedComments/threadedComment11.xml"/><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8.bin"/><Relationship Id="rId4" Type="http://schemas.microsoft.com/office/2017/10/relationships/threadedComment" Target="../threadedComments/threadedComment1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3" Type="http://schemas.microsoft.com/office/2017/10/relationships/threadedComment" Target="../threadedComments/threadedComment13.xml"/><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 Id="rId4" Type="http://schemas.microsoft.com/office/2017/10/relationships/threadedComment" Target="../threadedComments/threadedComment3.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8.bin"/><Relationship Id="rId4" Type="http://schemas.microsoft.com/office/2017/10/relationships/threadedComment" Target="../threadedComments/threadedComment4.xml"/></Relationships>
</file>

<file path=xl/worksheets/_rels/sheet9.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 Id="rId4" Type="http://schemas.microsoft.com/office/2017/10/relationships/threadedComment" Target="../threadedComments/threadedComment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67467B-69CB-4337-94D2-185975DD8236}">
  <dimension ref="A7:A36"/>
  <sheetViews>
    <sheetView showGridLines="0" tabSelected="1" workbookViewId="0">
      <pane ySplit="7" topLeftCell="A8" activePane="bottomLeft" state="frozen"/>
      <selection pane="bottomLeft" activeCell="B1" sqref="B1"/>
    </sheetView>
  </sheetViews>
  <sheetFormatPr defaultColWidth="8.88671875" defaultRowHeight="14.4" x14ac:dyDescent="0.3"/>
  <cols>
    <col min="1" max="1" width="94.5546875" style="11" customWidth="1"/>
    <col min="2" max="4" width="8.88671875" style="11"/>
    <col min="5" max="5" width="23.33203125" style="11" customWidth="1"/>
    <col min="6" max="6" width="8.88671875" style="11"/>
    <col min="7" max="7" width="8.6640625" style="11" customWidth="1"/>
    <col min="8" max="16384" width="8.88671875" style="11"/>
  </cols>
  <sheetData>
    <row r="7" spans="1:1" s="350" customFormat="1" ht="23.4" x14ac:dyDescent="0.45">
      <c r="A7" s="392" t="s">
        <v>0</v>
      </c>
    </row>
    <row r="10" spans="1:1" ht="18" x14ac:dyDescent="0.3">
      <c r="A10" s="21" t="s">
        <v>1</v>
      </c>
    </row>
    <row r="11" spans="1:1" ht="43.2" x14ac:dyDescent="0.3">
      <c r="A11" s="11" t="s">
        <v>2</v>
      </c>
    </row>
    <row r="12" spans="1:1" ht="4.95" customHeight="1" x14ac:dyDescent="0.3"/>
    <row r="13" spans="1:1" ht="28.8" x14ac:dyDescent="0.3">
      <c r="A13" s="11" t="s">
        <v>3</v>
      </c>
    </row>
    <row r="15" spans="1:1" ht="18" x14ac:dyDescent="0.3">
      <c r="A15" s="21" t="s">
        <v>4</v>
      </c>
    </row>
    <row r="16" spans="1:1" x14ac:dyDescent="0.3">
      <c r="A16" s="11" t="s">
        <v>5</v>
      </c>
    </row>
    <row r="17" spans="1:1" ht="4.95" customHeight="1" x14ac:dyDescent="0.3"/>
    <row r="18" spans="1:1" ht="28.8" x14ac:dyDescent="0.3">
      <c r="A18" s="474" t="s">
        <v>6</v>
      </c>
    </row>
    <row r="19" spans="1:1" ht="4.95" customHeight="1" x14ac:dyDescent="0.3"/>
    <row r="20" spans="1:1" x14ac:dyDescent="0.3">
      <c r="A20" s="473" t="str">
        <f>_xlfn.CONCAT(IncentiveRateTable[[#Headers],[Utility Rate Class]]," - ",IncentiveRateTable[[#Headers],[Incentive Rate]]," - ",IncentiveRateTable[[#Headers],[Incentive Unit]])</f>
        <v>Utility Rate Class - Incentive Rate - Incentive Unit</v>
      </c>
    </row>
    <row r="21" spans="1:1" x14ac:dyDescent="0.3">
      <c r="A21" s="390" t="str">
        <f>_xlfn.CONCAT('Incentive Rates'!A7," - $",'Incentive Rates'!D7," - ",'Incentive Rates'!E7)</f>
        <v>Small General (B) - $0.19 - per kWh saved</v>
      </c>
    </row>
    <row r="22" spans="1:1" x14ac:dyDescent="0.3">
      <c r="A22" s="390" t="str">
        <f>_xlfn.CONCAT('Incentive Rates'!A8," - $",'Incentive Rates'!D8," - ",'Incentive Rates'!E8)</f>
        <v>General (G) - $0.17 - per kWh saved</v>
      </c>
    </row>
    <row r="23" spans="1:1" x14ac:dyDescent="0.3">
      <c r="A23" s="390" t="str">
        <f>_xlfn.CONCAT('Incentive Rates'!A9," - $",'Incentive Rates'!D9," - ",'Incentive Rates'!E9)</f>
        <v>High Voltage (HVG) - $0.17 - per kWh saved</v>
      </c>
    </row>
    <row r="25" spans="1:1" ht="18" x14ac:dyDescent="0.3">
      <c r="A25" s="21" t="s">
        <v>7</v>
      </c>
    </row>
    <row r="26" spans="1:1" x14ac:dyDescent="0.3">
      <c r="A26" s="11" t="s">
        <v>8</v>
      </c>
    </row>
    <row r="27" spans="1:1" x14ac:dyDescent="0.3">
      <c r="A27" s="381" t="s">
        <v>9</v>
      </c>
    </row>
    <row r="28" spans="1:1" x14ac:dyDescent="0.3">
      <c r="A28" s="475">
        <v>2535028619</v>
      </c>
    </row>
    <row r="29" spans="1:1" x14ac:dyDescent="0.3">
      <c r="A29" s="381" t="s">
        <v>10</v>
      </c>
    </row>
    <row r="31" spans="1:1" ht="18" x14ac:dyDescent="0.3">
      <c r="A31" s="21" t="s">
        <v>11</v>
      </c>
    </row>
    <row r="32" spans="1:1" x14ac:dyDescent="0.3">
      <c r="A32" s="11" t="s">
        <v>12</v>
      </c>
    </row>
    <row r="33" spans="1:1" x14ac:dyDescent="0.3">
      <c r="A33" s="381" t="s">
        <v>1251</v>
      </c>
    </row>
    <row r="36" spans="1:1" x14ac:dyDescent="0.3">
      <c r="A36" s="467" t="s">
        <v>1250</v>
      </c>
    </row>
  </sheetData>
  <sheetProtection algorithmName="SHA-512" hashValue="TYV7pAk65hQExQdpGrnhwyuAvWCpbcO/Y4FX1REAbfOf96xnhxg3fOMZaG/BpBEHDZwEFWPWr/T2WpDX3XsMjA==" saltValue="UbOZgCJ46AYJW8x+CVajUg==" spinCount="100000" sheet="1" objects="1" scenarios="1"/>
  <hyperlinks>
    <hyperlink ref="A29" r:id="rId1" xr:uid="{0717D5DF-D064-45E1-95F0-6DC5E7F8A9D6}"/>
    <hyperlink ref="A27" r:id="rId2" xr:uid="{1F144845-0DB0-40AE-819A-D57E5EFD7A13}"/>
    <hyperlink ref="A33" r:id="rId3" xr:uid="{306A7C5F-9DA9-46B3-8971-C536ADB03B53}"/>
  </hyperlinks>
  <printOptions horizontalCentered="1"/>
  <pageMargins left="0.45" right="0.45" top="0.75" bottom="0.75" header="0.3" footer="0.3"/>
  <pageSetup orientation="portrait" r:id="rId4"/>
  <headerFooter>
    <oddFooter>&amp;L&amp;9&amp;A&amp;C&amp;P of &amp;N&amp;R&amp;9Printed on &amp;D</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1E018-1CEE-4B56-91B6-99EDFBB8E63A}">
  <sheetPr>
    <tabColor theme="6" tint="0.79998168889431442"/>
  </sheetPr>
  <dimension ref="A1:D117"/>
  <sheetViews>
    <sheetView showGridLines="0" zoomScaleNormal="100" workbookViewId="0">
      <pane ySplit="6" topLeftCell="A7" activePane="bottomLeft" state="frozen"/>
      <selection pane="bottomLeft" activeCell="C1" sqref="C1"/>
    </sheetView>
  </sheetViews>
  <sheetFormatPr defaultColWidth="8.88671875" defaultRowHeight="14.4" outlineLevelRow="1" x14ac:dyDescent="0.3"/>
  <cols>
    <col min="1" max="1" width="52" style="14" bestFit="1" customWidth="1"/>
    <col min="2" max="2" width="8.88671875" style="93"/>
    <col min="3" max="3" width="26.88671875" style="14" customWidth="1"/>
    <col min="4" max="16384" width="8.88671875" style="14"/>
  </cols>
  <sheetData>
    <row r="1" spans="1:3" s="53" customFormat="1" ht="21" x14ac:dyDescent="0.4">
      <c r="A1" s="203" t="s">
        <v>505</v>
      </c>
      <c r="B1" s="201"/>
    </row>
    <row r="2" spans="1:3" s="53" customFormat="1" x14ac:dyDescent="0.3">
      <c r="B2" s="201"/>
    </row>
    <row r="3" spans="1:3" s="53" customFormat="1" x14ac:dyDescent="0.3">
      <c r="A3" s="193" t="str">
        <f>_xlfn.CONCAT("Project Name: ",IF(LEN(Contacts!B3)=0,"",Contacts!B3))</f>
        <v xml:space="preserve">Project Name: </v>
      </c>
      <c r="B3" s="568"/>
    </row>
    <row r="4" spans="1:3" s="53" customFormat="1" x14ac:dyDescent="0.3">
      <c r="A4" s="569" t="s">
        <v>506</v>
      </c>
      <c r="B4" s="201"/>
    </row>
    <row r="5" spans="1:3" s="53" customFormat="1" x14ac:dyDescent="0.3">
      <c r="A5" s="569"/>
      <c r="B5" s="201"/>
    </row>
    <row r="6" spans="1:3" s="53" customFormat="1" ht="28.8" x14ac:dyDescent="0.3">
      <c r="A6" s="570" t="s">
        <v>507</v>
      </c>
      <c r="B6" s="482" t="s">
        <v>297</v>
      </c>
      <c r="C6" s="471" t="s">
        <v>480</v>
      </c>
    </row>
    <row r="7" spans="1:3" s="53" customFormat="1" x14ac:dyDescent="0.3">
      <c r="A7" s="571" t="s">
        <v>296</v>
      </c>
      <c r="B7" s="572"/>
      <c r="C7" s="573"/>
    </row>
    <row r="8" spans="1:3" x14ac:dyDescent="0.3">
      <c r="A8" s="151" t="s">
        <v>508</v>
      </c>
      <c r="B8" s="562">
        <f>SUM(B9:B12)</f>
        <v>0</v>
      </c>
      <c r="C8" s="151">
        <f>SUM(C9:C12)</f>
        <v>0</v>
      </c>
    </row>
    <row r="9" spans="1:3" x14ac:dyDescent="0.3">
      <c r="A9" s="140" t="str" cm="1">
        <f t="array" ref="A9:A12">ControlType</f>
        <v>Occupancy Sensor</v>
      </c>
      <c r="B9" s="141">
        <f>SUMIF(Measures!$R$8:$R$507,A9,Measures!$S$8:$S$507)</f>
        <v>0</v>
      </c>
      <c r="C9" s="140">
        <f>COUNTIF(Measures!$R$8:$R$507,A9)</f>
        <v>0</v>
      </c>
    </row>
    <row r="10" spans="1:3" x14ac:dyDescent="0.3">
      <c r="A10" s="140" t="str">
        <v>Networked Controls</v>
      </c>
      <c r="B10" s="141">
        <f>SUMIF(Measures!$R$8:$R$507,A10,Measures!$S$8:$S$507)</f>
        <v>0</v>
      </c>
      <c r="C10" s="140">
        <f>COUNTIF(Measures!$R$8:$R$507,A10)</f>
        <v>0</v>
      </c>
    </row>
    <row r="11" spans="1:3" x14ac:dyDescent="0.3">
      <c r="A11" s="140" t="str">
        <v>Multi-function</v>
      </c>
      <c r="B11" s="141">
        <f>SUMIF(Measures!$R$8:$R$507,A11,Measures!$S$8:$S$507)</f>
        <v>0</v>
      </c>
      <c r="C11" s="140">
        <f>COUNTIF(Measures!$R$8:$R$507,A11)</f>
        <v>0</v>
      </c>
    </row>
    <row r="12" spans="1:3" ht="28.95" customHeight="1" x14ac:dyDescent="0.3">
      <c r="A12" s="140" t="str">
        <v>No Controls</v>
      </c>
      <c r="B12" s="141">
        <f>SUMIF(Measures!$R$8:$R$507,A12,Measures!$S$8:$S$507)</f>
        <v>0</v>
      </c>
      <c r="C12" s="140">
        <f>COUNTIF(Measures!$R$8:$R$507,A12)</f>
        <v>0</v>
      </c>
    </row>
    <row r="13" spans="1:3" s="53" customFormat="1" x14ac:dyDescent="0.3">
      <c r="A13" s="571" t="s">
        <v>423</v>
      </c>
      <c r="B13" s="572"/>
      <c r="C13" s="573"/>
    </row>
    <row r="14" spans="1:3" ht="28.95" customHeight="1" x14ac:dyDescent="0.3">
      <c r="A14" s="140" t="s">
        <v>423</v>
      </c>
      <c r="B14" s="562">
        <f>SUMIF(Measures!$C$8:$C$507,A14,Measures!$I$8:$I$507)</f>
        <v>0</v>
      </c>
      <c r="C14" s="151">
        <f>COUNTIF(Measures!$C$8:$C$507,A14)</f>
        <v>0</v>
      </c>
    </row>
    <row r="15" spans="1:3" s="53" customFormat="1" x14ac:dyDescent="0.3">
      <c r="A15" s="571" t="s">
        <v>509</v>
      </c>
      <c r="B15" s="574"/>
      <c r="C15" s="493"/>
    </row>
    <row r="16" spans="1:3" x14ac:dyDescent="0.3">
      <c r="A16" s="563" t="s">
        <v>508</v>
      </c>
      <c r="B16" s="564">
        <f>SUM(B17:B117)</f>
        <v>0</v>
      </c>
      <c r="C16" s="563">
        <f>SUM(C17:C117)</f>
        <v>0</v>
      </c>
    </row>
    <row r="17" spans="1:4" hidden="1" outlineLevel="1" x14ac:dyDescent="0.3">
      <c r="A17" s="565" t="str" cm="1">
        <f t="array" ref="A17">_xlfn._xlws.SORT(_xlfn.UNIQUE(Walkthrough!$K$8:$K$507))</f>
        <v/>
      </c>
      <c r="B17" s="566" t="str">
        <f>IF(LEN(A17)=0,"",SUMIF(Measures!$AS$8:$AS$507,A17,Measures!$AR$8:$AR$507))</f>
        <v/>
      </c>
      <c r="C17" s="567" t="str">
        <f>IF(LEN(A17)=0,"",COUNTIF(Measures!$AS$8:$AS$507,A17))</f>
        <v/>
      </c>
      <c r="D17" s="14" t="s">
        <v>510</v>
      </c>
    </row>
    <row r="18" spans="1:4" collapsed="1" x14ac:dyDescent="0.3">
      <c r="A18" s="565"/>
      <c r="B18" s="566" t="str">
        <f>IF(LEN(A18)=0,"",SUMIF(Measures!$AS$8:$AS$507,A18,Measures!$AR$8:$AR$507))</f>
        <v/>
      </c>
      <c r="C18" s="567" t="str">
        <f>IF(LEN(A18)=0,"",COUNTIF(Measures!$AS$8:$AS$507,A18))</f>
        <v/>
      </c>
    </row>
    <row r="19" spans="1:4" x14ac:dyDescent="0.3">
      <c r="A19" s="567"/>
      <c r="B19" s="566" t="str">
        <f>IF(LEN(A19)=0,"",SUMIF(Measures!$AS$8:$AS$507,A19,Measures!$AR$8:$AR$507))</f>
        <v/>
      </c>
      <c r="C19" s="567" t="str">
        <f>IF(LEN(A19)=0,"",COUNTIF(Measures!$AS$8:$AS$507,A19))</f>
        <v/>
      </c>
    </row>
    <row r="20" spans="1:4" x14ac:dyDescent="0.3">
      <c r="A20" s="567"/>
      <c r="B20" s="566" t="str">
        <f>IF(LEN(A20)=0,"",SUMIF(Measures!$AS$8:$AS$507,A20,Measures!$AR$8:$AR$507))</f>
        <v/>
      </c>
      <c r="C20" s="567" t="str">
        <f>IF(LEN(A20)=0,"",COUNTIF(Measures!$AS$8:$AS$507,A20))</f>
        <v/>
      </c>
    </row>
    <row r="21" spans="1:4" x14ac:dyDescent="0.3">
      <c r="A21" s="567"/>
      <c r="B21" s="566" t="str">
        <f>IF(LEN(A21)=0,"",SUMIF(Measures!$AS$8:$AS$507,A21,Measures!$AR$8:$AR$507))</f>
        <v/>
      </c>
      <c r="C21" s="567" t="str">
        <f>IF(LEN(A21)=0,"",COUNTIF(Measures!$AS$8:$AS$507,A21))</f>
        <v/>
      </c>
    </row>
    <row r="22" spans="1:4" x14ac:dyDescent="0.3">
      <c r="A22" s="567"/>
      <c r="B22" s="566" t="str">
        <f>IF(LEN(A22)=0,"",SUMIF(Measures!$AS$8:$AS$507,A22,Measures!$AR$8:$AR$507))</f>
        <v/>
      </c>
      <c r="C22" s="567" t="str">
        <f>IF(LEN(A22)=0,"",COUNTIF(Measures!$AS$8:$AS$507,A22))</f>
        <v/>
      </c>
    </row>
    <row r="23" spans="1:4" x14ac:dyDescent="0.3">
      <c r="A23" s="567"/>
      <c r="B23" s="566" t="str">
        <f>IF(LEN(A23)=0,"",SUMIF(Measures!$AS$8:$AS$507,A23,Measures!$AR$8:$AR$507))</f>
        <v/>
      </c>
      <c r="C23" s="567" t="str">
        <f>IF(LEN(A23)=0,"",COUNTIF(Measures!$AS$8:$AS$507,A23))</f>
        <v/>
      </c>
    </row>
    <row r="24" spans="1:4" x14ac:dyDescent="0.3">
      <c r="A24" s="567"/>
      <c r="B24" s="566" t="str">
        <f>IF(LEN(A24)=0,"",SUMIF(Measures!$AS$8:$AS$507,A24,Measures!$AR$8:$AR$507))</f>
        <v/>
      </c>
      <c r="C24" s="567" t="str">
        <f>IF(LEN(A24)=0,"",COUNTIF(Measures!$AS$8:$AS$507,A24))</f>
        <v/>
      </c>
    </row>
    <row r="25" spans="1:4" x14ac:dyDescent="0.3">
      <c r="A25" s="567"/>
      <c r="B25" s="566" t="str">
        <f>IF(LEN(A25)=0,"",SUMIF(Measures!$AS$8:$AS$507,A25,Measures!$AR$8:$AR$507))</f>
        <v/>
      </c>
      <c r="C25" s="567" t="str">
        <f>IF(LEN(A25)=0,"",COUNTIF(Measures!$AS$8:$AS$507,A25))</f>
        <v/>
      </c>
    </row>
    <row r="26" spans="1:4" x14ac:dyDescent="0.3">
      <c r="A26" s="567"/>
      <c r="B26" s="566" t="str">
        <f>IF(LEN(A26)=0,"",SUMIF(Measures!$AS$8:$AS$507,A26,Measures!$AR$8:$AR$507))</f>
        <v/>
      </c>
      <c r="C26" s="567" t="str">
        <f>IF(LEN(A26)=0,"",COUNTIF(Measures!$AS$8:$AS$507,A26))</f>
        <v/>
      </c>
    </row>
    <row r="27" spans="1:4" x14ac:dyDescent="0.3">
      <c r="A27" s="567"/>
      <c r="B27" s="566" t="str">
        <f>IF(LEN(A27)=0,"",SUMIF(Measures!$AS$8:$AS$507,A27,Measures!$AR$8:$AR$507))</f>
        <v/>
      </c>
      <c r="C27" s="567" t="str">
        <f>IF(LEN(A27)=0,"",COUNTIF(Measures!$AS$8:$AS$507,A27))</f>
        <v/>
      </c>
    </row>
    <row r="28" spans="1:4" x14ac:dyDescent="0.3">
      <c r="A28" s="567"/>
      <c r="B28" s="566" t="str">
        <f>IF(LEN(A28)=0,"",SUMIF(Measures!$AS$8:$AS$507,A28,Measures!$AR$8:$AR$507))</f>
        <v/>
      </c>
      <c r="C28" s="567" t="str">
        <f>IF(LEN(A28)=0,"",COUNTIF(Measures!$AS$8:$AS$507,A28))</f>
        <v/>
      </c>
    </row>
    <row r="29" spans="1:4" x14ac:dyDescent="0.3">
      <c r="A29" s="567"/>
      <c r="B29" s="566" t="str">
        <f>IF(LEN(A29)=0,"",SUMIF(Measures!$AS$8:$AS$507,A29,Measures!$AR$8:$AR$507))</f>
        <v/>
      </c>
      <c r="C29" s="567" t="str">
        <f>IF(LEN(A29)=0,"",COUNTIF(Measures!$AS$8:$AS$507,A29))</f>
        <v/>
      </c>
    </row>
    <row r="30" spans="1:4" x14ac:dyDescent="0.3">
      <c r="A30" s="567"/>
      <c r="B30" s="566" t="str">
        <f>IF(LEN(A30)=0,"",SUMIF(Measures!$AS$8:$AS$507,A30,Measures!$AR$8:$AR$507))</f>
        <v/>
      </c>
      <c r="C30" s="567" t="str">
        <f>IF(LEN(A30)=0,"",COUNTIF(Measures!$AS$8:$AS$507,A30))</f>
        <v/>
      </c>
    </row>
    <row r="31" spans="1:4" x14ac:dyDescent="0.3">
      <c r="A31" s="567"/>
      <c r="B31" s="566" t="str">
        <f>IF(LEN(A31)=0,"",SUMIF(Measures!$AS$8:$AS$507,A31,Measures!$AR$8:$AR$507))</f>
        <v/>
      </c>
      <c r="C31" s="567" t="str">
        <f>IF(LEN(A31)=0,"",COUNTIF(Measures!$AS$8:$AS$507,A31))</f>
        <v/>
      </c>
    </row>
    <row r="32" spans="1:4" x14ac:dyDescent="0.3">
      <c r="A32" s="567"/>
      <c r="B32" s="566" t="str">
        <f>IF(LEN(A32)=0,"",SUMIF(Measures!$AS$8:$AS$507,A32,Measures!$AR$8:$AR$507))</f>
        <v/>
      </c>
      <c r="C32" s="567" t="str">
        <f>IF(LEN(A32)=0,"",COUNTIF(Measures!$AS$8:$AS$507,A32))</f>
        <v/>
      </c>
    </row>
    <row r="33" spans="1:3" x14ac:dyDescent="0.3">
      <c r="A33" s="567"/>
      <c r="B33" s="566" t="str">
        <f>IF(LEN(A33)=0,"",SUMIF(Measures!$AS$8:$AS$507,A33,Measures!$AR$8:$AR$507))</f>
        <v/>
      </c>
      <c r="C33" s="567" t="str">
        <f>IF(LEN(A33)=0,"",COUNTIF(Measures!$AS$8:$AS$507,A33))</f>
        <v/>
      </c>
    </row>
    <row r="34" spans="1:3" x14ac:dyDescent="0.3">
      <c r="A34" s="567"/>
      <c r="B34" s="566" t="str">
        <f>IF(LEN(A34)=0,"",SUMIF(Measures!$AS$8:$AS$507,A34,Measures!$AR$8:$AR$507))</f>
        <v/>
      </c>
      <c r="C34" s="567" t="str">
        <f>IF(LEN(A34)=0,"",COUNTIF(Measures!$AS$8:$AS$507,A34))</f>
        <v/>
      </c>
    </row>
    <row r="35" spans="1:3" x14ac:dyDescent="0.3">
      <c r="A35" s="567"/>
      <c r="B35" s="566" t="str">
        <f>IF(LEN(A35)=0,"",SUMIF(Measures!$AS$8:$AS$507,A35,Measures!$AR$8:$AR$507))</f>
        <v/>
      </c>
      <c r="C35" s="567" t="str">
        <f>IF(LEN(A35)=0,"",COUNTIF(Measures!$AS$8:$AS$507,A35))</f>
        <v/>
      </c>
    </row>
    <row r="36" spans="1:3" x14ac:dyDescent="0.3">
      <c r="A36" s="567"/>
      <c r="B36" s="566" t="str">
        <f>IF(LEN(A36)=0,"",SUMIF(Measures!$AS$8:$AS$507,A36,Measures!$AR$8:$AR$507))</f>
        <v/>
      </c>
      <c r="C36" s="567" t="str">
        <f>IF(LEN(A36)=0,"",COUNTIF(Measures!$AS$8:$AS$507,A36))</f>
        <v/>
      </c>
    </row>
    <row r="37" spans="1:3" x14ac:dyDescent="0.3">
      <c r="A37" s="567"/>
      <c r="B37" s="566" t="str">
        <f>IF(LEN(A37)=0,"",SUMIF(Measures!$AS$8:$AS$507,A37,Measures!$AR$8:$AR$507))</f>
        <v/>
      </c>
      <c r="C37" s="567" t="str">
        <f>IF(LEN(A37)=0,"",COUNTIF(Measures!$AS$8:$AS$507,A37))</f>
        <v/>
      </c>
    </row>
    <row r="38" spans="1:3" x14ac:dyDescent="0.3">
      <c r="A38" s="567"/>
      <c r="B38" s="566" t="str">
        <f>IF(LEN(A38)=0,"",SUMIF(Measures!$AS$8:$AS$507,A38,Measures!$AR$8:$AR$507))</f>
        <v/>
      </c>
      <c r="C38" s="567" t="str">
        <f>IF(LEN(A38)=0,"",COUNTIF(Measures!$AS$8:$AS$507,A38))</f>
        <v/>
      </c>
    </row>
    <row r="39" spans="1:3" x14ac:dyDescent="0.3">
      <c r="A39" s="567"/>
      <c r="B39" s="566" t="str">
        <f>IF(LEN(A39)=0,"",SUMIF(Measures!$AS$8:$AS$507,A39,Measures!$AR$8:$AR$507))</f>
        <v/>
      </c>
      <c r="C39" s="567" t="str">
        <f>IF(LEN(A39)=0,"",COUNTIF(Measures!$AS$8:$AS$507,A39))</f>
        <v/>
      </c>
    </row>
    <row r="40" spans="1:3" x14ac:dyDescent="0.3">
      <c r="A40" s="567"/>
      <c r="B40" s="566" t="str">
        <f>IF(LEN(A40)=0,"",SUMIF(Measures!$AS$8:$AS$507,A40,Measures!$AR$8:$AR$507))</f>
        <v/>
      </c>
      <c r="C40" s="567" t="str">
        <f>IF(LEN(A40)=0,"",COUNTIF(Measures!$AS$8:$AS$507,A40))</f>
        <v/>
      </c>
    </row>
    <row r="41" spans="1:3" x14ac:dyDescent="0.3">
      <c r="A41" s="567"/>
      <c r="B41" s="566" t="str">
        <f>IF(LEN(A41)=0,"",SUMIF(Measures!$AS$8:$AS$507,A41,Measures!$AR$8:$AR$507))</f>
        <v/>
      </c>
      <c r="C41" s="567" t="str">
        <f>IF(LEN(A41)=0,"",COUNTIF(Measures!$AS$8:$AS$507,A41))</f>
        <v/>
      </c>
    </row>
    <row r="42" spans="1:3" x14ac:dyDescent="0.3">
      <c r="A42" s="567"/>
      <c r="B42" s="566" t="str">
        <f>IF(LEN(A42)=0,"",SUMIF(Measures!$AS$8:$AS$507,A42,Measures!$AR$8:$AR$507))</f>
        <v/>
      </c>
      <c r="C42" s="567" t="str">
        <f>IF(LEN(A42)=0,"",COUNTIF(Measures!$AS$8:$AS$507,A42))</f>
        <v/>
      </c>
    </row>
    <row r="43" spans="1:3" x14ac:dyDescent="0.3">
      <c r="A43" s="567"/>
      <c r="B43" s="566" t="str">
        <f>IF(LEN(A43)=0,"",SUMIF(Measures!$AS$8:$AS$507,A43,Measures!$AR$8:$AR$507))</f>
        <v/>
      </c>
      <c r="C43" s="567" t="str">
        <f>IF(LEN(A43)=0,"",COUNTIF(Measures!$AS$8:$AS$507,A43))</f>
        <v/>
      </c>
    </row>
    <row r="44" spans="1:3" x14ac:dyDescent="0.3">
      <c r="A44" s="567"/>
      <c r="B44" s="566" t="str">
        <f>IF(LEN(A44)=0,"",SUMIF(Measures!$AS$8:$AS$507,A44,Measures!$AR$8:$AR$507))</f>
        <v/>
      </c>
      <c r="C44" s="567" t="str">
        <f>IF(LEN(A44)=0,"",COUNTIF(Measures!$AS$8:$AS$507,A44))</f>
        <v/>
      </c>
    </row>
    <row r="45" spans="1:3" x14ac:dyDescent="0.3">
      <c r="A45" s="567"/>
      <c r="B45" s="566" t="str">
        <f>IF(LEN(A45)=0,"",SUMIF(Measures!$AS$8:$AS$507,A45,Measures!$AR$8:$AR$507))</f>
        <v/>
      </c>
      <c r="C45" s="567" t="str">
        <f>IF(LEN(A45)=0,"",COUNTIF(Measures!$AS$8:$AS$507,A45))</f>
        <v/>
      </c>
    </row>
    <row r="46" spans="1:3" x14ac:dyDescent="0.3">
      <c r="A46" s="567"/>
      <c r="B46" s="566" t="str">
        <f>IF(LEN(A46)=0,"",SUMIF(Measures!$AS$8:$AS$507,A46,Measures!$AR$8:$AR$507))</f>
        <v/>
      </c>
      <c r="C46" s="567" t="str">
        <f>IF(LEN(A46)=0,"",COUNTIF(Measures!$AS$8:$AS$507,A46))</f>
        <v/>
      </c>
    </row>
    <row r="47" spans="1:3" x14ac:dyDescent="0.3">
      <c r="A47" s="567"/>
      <c r="B47" s="566" t="str">
        <f>IF(LEN(A47)=0,"",SUMIF(Measures!$AS$8:$AS$507,A47,Measures!$AR$8:$AR$507))</f>
        <v/>
      </c>
      <c r="C47" s="567" t="str">
        <f>IF(LEN(A47)=0,"",COUNTIF(Measures!$AS$8:$AS$507,A47))</f>
        <v/>
      </c>
    </row>
    <row r="48" spans="1:3" x14ac:dyDescent="0.3">
      <c r="A48" s="567"/>
      <c r="B48" s="566" t="str">
        <f>IF(LEN(A48)=0,"",SUMIF(Measures!$AS$8:$AS$507,A48,Measures!$AR$8:$AR$507))</f>
        <v/>
      </c>
      <c r="C48" s="567" t="str">
        <f>IF(LEN(A48)=0,"",COUNTIF(Measures!$AS$8:$AS$507,A48))</f>
        <v/>
      </c>
    </row>
    <row r="49" spans="1:3" x14ac:dyDescent="0.3">
      <c r="A49" s="567"/>
      <c r="B49" s="566" t="str">
        <f>IF(LEN(A49)=0,"",SUMIF(Measures!$AS$8:$AS$507,A49,Measures!$AR$8:$AR$507))</f>
        <v/>
      </c>
      <c r="C49" s="567" t="str">
        <f>IF(LEN(A49)=0,"",COUNTIF(Measures!$AS$8:$AS$507,A49))</f>
        <v/>
      </c>
    </row>
    <row r="50" spans="1:3" x14ac:dyDescent="0.3">
      <c r="A50" s="567"/>
      <c r="B50" s="566" t="str">
        <f>IF(LEN(A50)=0,"",SUMIF(Measures!$AS$8:$AS$507,A50,Measures!$AR$8:$AR$507))</f>
        <v/>
      </c>
      <c r="C50" s="567" t="str">
        <f>IF(LEN(A50)=0,"",COUNTIF(Measures!$AS$8:$AS$507,A50))</f>
        <v/>
      </c>
    </row>
    <row r="51" spans="1:3" x14ac:dyDescent="0.3">
      <c r="A51" s="567"/>
      <c r="B51" s="566" t="str">
        <f>IF(LEN(A51)=0,"",SUMIF(Measures!$AS$8:$AS$507,A51,Measures!$AR$8:$AR$507))</f>
        <v/>
      </c>
      <c r="C51" s="567" t="str">
        <f>IF(LEN(A51)=0,"",COUNTIF(Measures!$AS$8:$AS$507,A51))</f>
        <v/>
      </c>
    </row>
    <row r="52" spans="1:3" x14ac:dyDescent="0.3">
      <c r="A52" s="567"/>
      <c r="B52" s="566" t="str">
        <f>IF(LEN(A52)=0,"",SUMIF(Measures!$AS$8:$AS$507,A52,Measures!$AR$8:$AR$507))</f>
        <v/>
      </c>
      <c r="C52" s="567" t="str">
        <f>IF(LEN(A52)=0,"",COUNTIF(Measures!$AS$8:$AS$507,A52))</f>
        <v/>
      </c>
    </row>
    <row r="53" spans="1:3" x14ac:dyDescent="0.3">
      <c r="A53" s="567"/>
      <c r="B53" s="566" t="str">
        <f>IF(LEN(A53)=0,"",SUMIF(Measures!$AS$8:$AS$507,A53,Measures!$AR$8:$AR$507))</f>
        <v/>
      </c>
      <c r="C53" s="567" t="str">
        <f>IF(LEN(A53)=0,"",COUNTIF(Measures!$AS$8:$AS$507,A53))</f>
        <v/>
      </c>
    </row>
    <row r="54" spans="1:3" x14ac:dyDescent="0.3">
      <c r="A54" s="567"/>
      <c r="B54" s="566" t="str">
        <f>IF(LEN(A54)=0,"",SUMIF(Measures!$AS$8:$AS$507,A54,Measures!$AR$8:$AR$507))</f>
        <v/>
      </c>
      <c r="C54" s="567" t="str">
        <f>IF(LEN(A54)=0,"",COUNTIF(Measures!$AS$8:$AS$507,A54))</f>
        <v/>
      </c>
    </row>
    <row r="55" spans="1:3" x14ac:dyDescent="0.3">
      <c r="A55" s="567"/>
      <c r="B55" s="566" t="str">
        <f>IF(LEN(A55)=0,"",SUMIF(Measures!$AS$8:$AS$507,A55,Measures!$AR$8:$AR$507))</f>
        <v/>
      </c>
      <c r="C55" s="567" t="str">
        <f>IF(LEN(A55)=0,"",COUNTIF(Measures!$AS$8:$AS$507,A55))</f>
        <v/>
      </c>
    </row>
    <row r="56" spans="1:3" x14ac:dyDescent="0.3">
      <c r="A56" s="567"/>
      <c r="B56" s="566" t="str">
        <f>IF(LEN(A56)=0,"",SUMIF(Measures!$AS$8:$AS$507,A56,Measures!$AR$8:$AR$507))</f>
        <v/>
      </c>
      <c r="C56" s="567" t="str">
        <f>IF(LEN(A56)=0,"",COUNTIF(Measures!$AS$8:$AS$507,A56))</f>
        <v/>
      </c>
    </row>
    <row r="57" spans="1:3" x14ac:dyDescent="0.3">
      <c r="A57" s="567"/>
      <c r="B57" s="566" t="str">
        <f>IF(LEN(A57)=0,"",SUMIF(Measures!$AS$8:$AS$507,A57,Measures!$AR$8:$AR$507))</f>
        <v/>
      </c>
      <c r="C57" s="567" t="str">
        <f>IF(LEN(A57)=0,"",COUNTIF(Measures!$AS$8:$AS$507,A57))</f>
        <v/>
      </c>
    </row>
    <row r="58" spans="1:3" x14ac:dyDescent="0.3">
      <c r="A58" s="567"/>
      <c r="B58" s="566" t="str">
        <f>IF(LEN(A58)=0,"",SUMIF(Measures!$AS$8:$AS$507,A58,Measures!$AR$8:$AR$507))</f>
        <v/>
      </c>
      <c r="C58" s="567" t="str">
        <f>IF(LEN(A58)=0,"",COUNTIF(Measures!$AS$8:$AS$507,A58))</f>
        <v/>
      </c>
    </row>
    <row r="59" spans="1:3" x14ac:dyDescent="0.3">
      <c r="A59" s="567"/>
      <c r="B59" s="566" t="str">
        <f>IF(LEN(A59)=0,"",SUMIF(Measures!$AS$8:$AS$507,A59,Measures!$AR$8:$AR$507))</f>
        <v/>
      </c>
      <c r="C59" s="567" t="str">
        <f>IF(LEN(A59)=0,"",COUNTIF(Measures!$AS$8:$AS$507,A59))</f>
        <v/>
      </c>
    </row>
    <row r="60" spans="1:3" x14ac:dyDescent="0.3">
      <c r="A60" s="567"/>
      <c r="B60" s="566" t="str">
        <f>IF(LEN(A60)=0,"",SUMIF(Measures!$AS$8:$AS$507,A60,Measures!$AR$8:$AR$507))</f>
        <v/>
      </c>
      <c r="C60" s="567" t="str">
        <f>IF(LEN(A60)=0,"",COUNTIF(Measures!$AS$8:$AS$507,A60))</f>
        <v/>
      </c>
    </row>
    <row r="61" spans="1:3" x14ac:dyDescent="0.3">
      <c r="A61" s="567"/>
      <c r="B61" s="566" t="str">
        <f>IF(LEN(A61)=0,"",SUMIF(Measures!$AS$8:$AS$507,A61,Measures!$AR$8:$AR$507))</f>
        <v/>
      </c>
      <c r="C61" s="567" t="str">
        <f>IF(LEN(A61)=0,"",COUNTIF(Measures!$AS$8:$AS$507,A61))</f>
        <v/>
      </c>
    </row>
    <row r="62" spans="1:3" x14ac:dyDescent="0.3">
      <c r="A62" s="567"/>
      <c r="B62" s="566" t="str">
        <f>IF(LEN(A62)=0,"",SUMIF(Measures!$AS$8:$AS$507,A62,Measures!$AR$8:$AR$507))</f>
        <v/>
      </c>
      <c r="C62" s="567" t="str">
        <f>IF(LEN(A62)=0,"",COUNTIF(Measures!$AS$8:$AS$507,A62))</f>
        <v/>
      </c>
    </row>
    <row r="63" spans="1:3" x14ac:dyDescent="0.3">
      <c r="A63" s="567"/>
      <c r="B63" s="566" t="str">
        <f>IF(LEN(A63)=0,"",SUMIF(Measures!$AS$8:$AS$507,A63,Measures!$AR$8:$AR$507))</f>
        <v/>
      </c>
      <c r="C63" s="567" t="str">
        <f>IF(LEN(A63)=0,"",COUNTIF(Measures!$AS$8:$AS$507,A63))</f>
        <v/>
      </c>
    </row>
    <row r="64" spans="1:3" x14ac:dyDescent="0.3">
      <c r="A64" s="567"/>
      <c r="B64" s="566" t="str">
        <f>IF(LEN(A64)=0,"",SUMIF(Measures!$AS$8:$AS$507,A64,Measures!$AR$8:$AR$507))</f>
        <v/>
      </c>
      <c r="C64" s="567" t="str">
        <f>IF(LEN(A64)=0,"",COUNTIF(Measures!$AS$8:$AS$507,A64))</f>
        <v/>
      </c>
    </row>
    <row r="65" spans="1:3" x14ac:dyDescent="0.3">
      <c r="A65" s="567"/>
      <c r="B65" s="566" t="str">
        <f>IF(LEN(A65)=0,"",SUMIF(Measures!$AS$8:$AS$507,A65,Measures!$AR$8:$AR$507))</f>
        <v/>
      </c>
      <c r="C65" s="567" t="str">
        <f>IF(LEN(A65)=0,"",COUNTIF(Measures!$AS$8:$AS$507,A65))</f>
        <v/>
      </c>
    </row>
    <row r="66" spans="1:3" x14ac:dyDescent="0.3">
      <c r="A66" s="567"/>
      <c r="B66" s="566" t="str">
        <f>IF(LEN(A66)=0,"",SUMIF(Measures!$AS$8:$AS$507,A66,Measures!$AR$8:$AR$507))</f>
        <v/>
      </c>
      <c r="C66" s="567" t="str">
        <f>IF(LEN(A66)=0,"",COUNTIF(Measures!$AS$8:$AS$507,A66))</f>
        <v/>
      </c>
    </row>
    <row r="67" spans="1:3" x14ac:dyDescent="0.3">
      <c r="A67" s="567"/>
      <c r="B67" s="566" t="str">
        <f>IF(LEN(A67)=0,"",SUMIF(Measures!$AS$8:$AS$507,A67,Measures!$AR$8:$AR$507))</f>
        <v/>
      </c>
      <c r="C67" s="567" t="str">
        <f>IF(LEN(A67)=0,"",COUNTIF(Measures!$AS$8:$AS$507,A67))</f>
        <v/>
      </c>
    </row>
    <row r="68" spans="1:3" x14ac:dyDescent="0.3">
      <c r="A68" s="567"/>
      <c r="B68" s="566" t="str">
        <f>IF(LEN(A68)=0,"",SUMIF(Measures!$AS$8:$AS$507,A68,Measures!$AR$8:$AR$507))</f>
        <v/>
      </c>
      <c r="C68" s="567" t="str">
        <f>IF(LEN(A68)=0,"",COUNTIF(Measures!$AS$8:$AS$507,A68))</f>
        <v/>
      </c>
    </row>
    <row r="69" spans="1:3" x14ac:dyDescent="0.3">
      <c r="A69" s="567"/>
      <c r="B69" s="566" t="str">
        <f>IF(LEN(A69)=0,"",SUMIF(Measures!$AS$8:$AS$507,A69,Measures!$AR$8:$AR$507))</f>
        <v/>
      </c>
      <c r="C69" s="567" t="str">
        <f>IF(LEN(A69)=0,"",COUNTIF(Measures!$AS$8:$AS$507,A69))</f>
        <v/>
      </c>
    </row>
    <row r="70" spans="1:3" x14ac:dyDescent="0.3">
      <c r="A70" s="567"/>
      <c r="B70" s="566" t="str">
        <f>IF(LEN(A70)=0,"",SUMIF(Measures!$AS$8:$AS$507,A70,Measures!$AR$8:$AR$507))</f>
        <v/>
      </c>
      <c r="C70" s="567" t="str">
        <f>IF(LEN(A70)=0,"",COUNTIF(Measures!$AS$8:$AS$507,A70))</f>
        <v/>
      </c>
    </row>
    <row r="71" spans="1:3" x14ac:dyDescent="0.3">
      <c r="A71" s="567"/>
      <c r="B71" s="566" t="str">
        <f>IF(LEN(A71)=0,"",SUMIF(Measures!$AS$8:$AS$507,A71,Measures!$AR$8:$AR$507))</f>
        <v/>
      </c>
      <c r="C71" s="567" t="str">
        <f>IF(LEN(A71)=0,"",COUNTIF(Measures!$AS$8:$AS$507,A71))</f>
        <v/>
      </c>
    </row>
    <row r="72" spans="1:3" x14ac:dyDescent="0.3">
      <c r="A72" s="567"/>
      <c r="B72" s="566" t="str">
        <f>IF(LEN(A72)=0,"",SUMIF(Measures!$AS$8:$AS$507,A72,Measures!$AR$8:$AR$507))</f>
        <v/>
      </c>
      <c r="C72" s="567" t="str">
        <f>IF(LEN(A72)=0,"",COUNTIF(Measures!$AS$8:$AS$507,A72))</f>
        <v/>
      </c>
    </row>
    <row r="73" spans="1:3" x14ac:dyDescent="0.3">
      <c r="A73" s="567"/>
      <c r="B73" s="566" t="str">
        <f>IF(LEN(A73)=0,"",SUMIF(Measures!$AS$8:$AS$507,A73,Measures!$AR$8:$AR$507))</f>
        <v/>
      </c>
      <c r="C73" s="567" t="str">
        <f>IF(LEN(A73)=0,"",COUNTIF(Measures!$AS$8:$AS$507,A73))</f>
        <v/>
      </c>
    </row>
    <row r="74" spans="1:3" x14ac:dyDescent="0.3">
      <c r="A74" s="567"/>
      <c r="B74" s="566" t="str">
        <f>IF(LEN(A74)=0,"",SUMIF(Measures!$AS$8:$AS$507,A74,Measures!$AR$8:$AR$507))</f>
        <v/>
      </c>
      <c r="C74" s="567" t="str">
        <f>IF(LEN(A74)=0,"",COUNTIF(Measures!$AS$8:$AS$507,A74))</f>
        <v/>
      </c>
    </row>
    <row r="75" spans="1:3" x14ac:dyDescent="0.3">
      <c r="A75" s="567"/>
      <c r="B75" s="566" t="str">
        <f>IF(LEN(A75)=0,"",SUMIF(Measures!$AS$8:$AS$507,A75,Measures!$AR$8:$AR$507))</f>
        <v/>
      </c>
      <c r="C75" s="567" t="str">
        <f>IF(LEN(A75)=0,"",COUNTIF(Measures!$AS$8:$AS$507,A75))</f>
        <v/>
      </c>
    </row>
    <row r="76" spans="1:3" x14ac:dyDescent="0.3">
      <c r="A76" s="567"/>
      <c r="B76" s="566" t="str">
        <f>IF(LEN(A76)=0,"",SUMIF(Measures!$AS$8:$AS$507,A76,Measures!$AR$8:$AR$507))</f>
        <v/>
      </c>
      <c r="C76" s="567" t="str">
        <f>IF(LEN(A76)=0,"",COUNTIF(Measures!$AS$8:$AS$507,A76))</f>
        <v/>
      </c>
    </row>
    <row r="77" spans="1:3" x14ac:dyDescent="0.3">
      <c r="A77" s="567"/>
      <c r="B77" s="566" t="str">
        <f>IF(LEN(A77)=0,"",SUMIF(Measures!$AS$8:$AS$507,A77,Measures!$AR$8:$AR$507))</f>
        <v/>
      </c>
      <c r="C77" s="567" t="str">
        <f>IF(LEN(A77)=0,"",COUNTIF(Measures!$AS$8:$AS$507,A77))</f>
        <v/>
      </c>
    </row>
    <row r="78" spans="1:3" x14ac:dyDescent="0.3">
      <c r="A78" s="567"/>
      <c r="B78" s="566" t="str">
        <f>IF(LEN(A78)=0,"",SUMIF(Measures!$AS$8:$AS$507,A78,Measures!$AR$8:$AR$507))</f>
        <v/>
      </c>
      <c r="C78" s="567" t="str">
        <f>IF(LEN(A78)=0,"",COUNTIF(Measures!$AS$8:$AS$507,A78))</f>
        <v/>
      </c>
    </row>
    <row r="79" spans="1:3" x14ac:dyDescent="0.3">
      <c r="A79" s="567"/>
      <c r="B79" s="566" t="str">
        <f>IF(LEN(A79)=0,"",SUMIF(Measures!$AS$8:$AS$507,A79,Measures!$AR$8:$AR$507))</f>
        <v/>
      </c>
      <c r="C79" s="567" t="str">
        <f>IF(LEN(A79)=0,"",COUNTIF(Measures!$AS$8:$AS$507,A79))</f>
        <v/>
      </c>
    </row>
    <row r="80" spans="1:3" x14ac:dyDescent="0.3">
      <c r="A80" s="567"/>
      <c r="B80" s="566" t="str">
        <f>IF(LEN(A80)=0,"",SUMIF(Measures!$AS$8:$AS$507,A80,Measures!$AR$8:$AR$507))</f>
        <v/>
      </c>
      <c r="C80" s="567" t="str">
        <f>IF(LEN(A80)=0,"",COUNTIF(Measures!$AS$8:$AS$507,A80))</f>
        <v/>
      </c>
    </row>
    <row r="81" spans="1:3" x14ac:dyDescent="0.3">
      <c r="A81" s="567"/>
      <c r="B81" s="566" t="str">
        <f>IF(LEN(A81)=0,"",SUMIF(Measures!$AS$8:$AS$507,A81,Measures!$AR$8:$AR$507))</f>
        <v/>
      </c>
      <c r="C81" s="567" t="str">
        <f>IF(LEN(A81)=0,"",COUNTIF(Measures!$AS$8:$AS$507,A81))</f>
        <v/>
      </c>
    </row>
    <row r="82" spans="1:3" x14ac:dyDescent="0.3">
      <c r="A82" s="567"/>
      <c r="B82" s="566" t="str">
        <f>IF(LEN(A82)=0,"",SUMIF(Measures!$AS$8:$AS$507,A82,Measures!$AR$8:$AR$507))</f>
        <v/>
      </c>
      <c r="C82" s="567" t="str">
        <f>IF(LEN(A82)=0,"",COUNTIF(Measures!$AS$8:$AS$507,A82))</f>
        <v/>
      </c>
    </row>
    <row r="83" spans="1:3" x14ac:dyDescent="0.3">
      <c r="A83" s="567"/>
      <c r="B83" s="566" t="str">
        <f>IF(LEN(A83)=0,"",SUMIF(Measures!$AS$8:$AS$507,A83,Measures!$AR$8:$AR$507))</f>
        <v/>
      </c>
      <c r="C83" s="567" t="str">
        <f>IF(LEN(A83)=0,"",COUNTIF(Measures!$AS$8:$AS$507,A83))</f>
        <v/>
      </c>
    </row>
    <row r="84" spans="1:3" x14ac:dyDescent="0.3">
      <c r="A84" s="567"/>
      <c r="B84" s="566" t="str">
        <f>IF(LEN(A84)=0,"",SUMIF(Measures!$AS$8:$AS$507,A84,Measures!$AR$8:$AR$507))</f>
        <v/>
      </c>
      <c r="C84" s="567" t="str">
        <f>IF(LEN(A84)=0,"",COUNTIF(Measures!$AS$8:$AS$507,A84))</f>
        <v/>
      </c>
    </row>
    <row r="85" spans="1:3" x14ac:dyDescent="0.3">
      <c r="A85" s="567"/>
      <c r="B85" s="566" t="str">
        <f>IF(LEN(A85)=0,"",SUMIF(Measures!$AS$8:$AS$507,A85,Measures!$AR$8:$AR$507))</f>
        <v/>
      </c>
      <c r="C85" s="567" t="str">
        <f>IF(LEN(A85)=0,"",COUNTIF(Measures!$AS$8:$AS$507,A85))</f>
        <v/>
      </c>
    </row>
    <row r="86" spans="1:3" x14ac:dyDescent="0.3">
      <c r="A86" s="567"/>
      <c r="B86" s="566" t="str">
        <f>IF(LEN(A86)=0,"",SUMIF(Measures!$AS$8:$AS$507,A86,Measures!$AR$8:$AR$507))</f>
        <v/>
      </c>
      <c r="C86" s="567" t="str">
        <f>IF(LEN(A86)=0,"",COUNTIF(Measures!$AS$8:$AS$507,A86))</f>
        <v/>
      </c>
    </row>
    <row r="87" spans="1:3" x14ac:dyDescent="0.3">
      <c r="A87" s="567"/>
      <c r="B87" s="566" t="str">
        <f>IF(LEN(A87)=0,"",SUMIF(Measures!$AS$8:$AS$507,A87,Measures!$AR$8:$AR$507))</f>
        <v/>
      </c>
      <c r="C87" s="567" t="str">
        <f>IF(LEN(A87)=0,"",COUNTIF(Measures!$AS$8:$AS$507,A87))</f>
        <v/>
      </c>
    </row>
    <row r="88" spans="1:3" x14ac:dyDescent="0.3">
      <c r="A88" s="567"/>
      <c r="B88" s="566" t="str">
        <f>IF(LEN(A88)=0,"",SUMIF(Measures!$AS$8:$AS$507,A88,Measures!$AR$8:$AR$507))</f>
        <v/>
      </c>
      <c r="C88" s="567" t="str">
        <f>IF(LEN(A88)=0,"",COUNTIF(Measures!$AS$8:$AS$507,A88))</f>
        <v/>
      </c>
    </row>
    <row r="89" spans="1:3" x14ac:dyDescent="0.3">
      <c r="A89" s="567"/>
      <c r="B89" s="566" t="str">
        <f>IF(LEN(A89)=0,"",SUMIF(Measures!$AS$8:$AS$507,A89,Measures!$AR$8:$AR$507))</f>
        <v/>
      </c>
      <c r="C89" s="567" t="str">
        <f>IF(LEN(A89)=0,"",COUNTIF(Measures!$AS$8:$AS$507,A89))</f>
        <v/>
      </c>
    </row>
    <row r="90" spans="1:3" x14ac:dyDescent="0.3">
      <c r="A90" s="567"/>
      <c r="B90" s="566" t="str">
        <f>IF(LEN(A90)=0,"",SUMIF(Measures!$AS$8:$AS$507,A90,Measures!$AR$8:$AR$507))</f>
        <v/>
      </c>
      <c r="C90" s="567" t="str">
        <f>IF(LEN(A90)=0,"",COUNTIF(Measures!$AS$8:$AS$507,A90))</f>
        <v/>
      </c>
    </row>
    <row r="91" spans="1:3" x14ac:dyDescent="0.3">
      <c r="A91" s="567"/>
      <c r="B91" s="566" t="str">
        <f>IF(LEN(A91)=0,"",SUMIF(Measures!$AS$8:$AS$507,A91,Measures!$AR$8:$AR$507))</f>
        <v/>
      </c>
      <c r="C91" s="567" t="str">
        <f>IF(LEN(A91)=0,"",COUNTIF(Measures!$AS$8:$AS$507,A91))</f>
        <v/>
      </c>
    </row>
    <row r="92" spans="1:3" x14ac:dyDescent="0.3">
      <c r="A92" s="567"/>
      <c r="B92" s="566" t="str">
        <f>IF(LEN(A92)=0,"",SUMIF(Measures!$AS$8:$AS$507,A92,Measures!$AR$8:$AR$507))</f>
        <v/>
      </c>
      <c r="C92" s="567" t="str">
        <f>IF(LEN(A92)=0,"",COUNTIF(Measures!$AS$8:$AS$507,A92))</f>
        <v/>
      </c>
    </row>
    <row r="93" spans="1:3" x14ac:dyDescent="0.3">
      <c r="A93" s="567"/>
      <c r="B93" s="566" t="str">
        <f>IF(LEN(A93)=0,"",SUMIF(Measures!$AS$8:$AS$507,A93,Measures!$AR$8:$AR$507))</f>
        <v/>
      </c>
      <c r="C93" s="567" t="str">
        <f>IF(LEN(A93)=0,"",COUNTIF(Measures!$AS$8:$AS$507,A93))</f>
        <v/>
      </c>
    </row>
    <row r="94" spans="1:3" x14ac:dyDescent="0.3">
      <c r="A94" s="567"/>
      <c r="B94" s="566" t="str">
        <f>IF(LEN(A94)=0,"",SUMIF(Measures!$AS$8:$AS$507,A94,Measures!$AR$8:$AR$507))</f>
        <v/>
      </c>
      <c r="C94" s="567" t="str">
        <f>IF(LEN(A94)=0,"",COUNTIF(Measures!$AS$8:$AS$507,A94))</f>
        <v/>
      </c>
    </row>
    <row r="95" spans="1:3" x14ac:dyDescent="0.3">
      <c r="A95" s="567"/>
      <c r="B95" s="566" t="str">
        <f>IF(LEN(A95)=0,"",SUMIF(Measures!$AS$8:$AS$507,A95,Measures!$AR$8:$AR$507))</f>
        <v/>
      </c>
      <c r="C95" s="567" t="str">
        <f>IF(LEN(A95)=0,"",COUNTIF(Measures!$AS$8:$AS$507,A95))</f>
        <v/>
      </c>
    </row>
    <row r="96" spans="1:3" x14ac:dyDescent="0.3">
      <c r="A96" s="567"/>
      <c r="B96" s="566" t="str">
        <f>IF(LEN(A96)=0,"",SUMIF(Measures!$AS$8:$AS$507,A96,Measures!$AR$8:$AR$507))</f>
        <v/>
      </c>
      <c r="C96" s="567" t="str">
        <f>IF(LEN(A96)=0,"",COUNTIF(Measures!$AS$8:$AS$507,A96))</f>
        <v/>
      </c>
    </row>
    <row r="97" spans="1:3" x14ac:dyDescent="0.3">
      <c r="A97" s="567"/>
      <c r="B97" s="566" t="str">
        <f>IF(LEN(A97)=0,"",SUMIF(Measures!$AS$8:$AS$507,A97,Measures!$AR$8:$AR$507))</f>
        <v/>
      </c>
      <c r="C97" s="567" t="str">
        <f>IF(LEN(A97)=0,"",COUNTIF(Measures!$AS$8:$AS$507,A97))</f>
        <v/>
      </c>
    </row>
    <row r="98" spans="1:3" x14ac:dyDescent="0.3">
      <c r="A98" s="567"/>
      <c r="B98" s="566" t="str">
        <f>IF(LEN(A98)=0,"",SUMIF(Measures!$AS$8:$AS$507,A98,Measures!$AR$8:$AR$507))</f>
        <v/>
      </c>
      <c r="C98" s="567" t="str">
        <f>IF(LEN(A98)=0,"",COUNTIF(Measures!$AS$8:$AS$507,A98))</f>
        <v/>
      </c>
    </row>
    <row r="99" spans="1:3" x14ac:dyDescent="0.3">
      <c r="A99" s="567"/>
      <c r="B99" s="566" t="str">
        <f>IF(LEN(A99)=0,"",SUMIF(Measures!$AS$8:$AS$507,A99,Measures!$AR$8:$AR$507))</f>
        <v/>
      </c>
      <c r="C99" s="567" t="str">
        <f>IF(LEN(A99)=0,"",COUNTIF(Measures!$AS$8:$AS$507,A99))</f>
        <v/>
      </c>
    </row>
    <row r="100" spans="1:3" x14ac:dyDescent="0.3">
      <c r="A100" s="567"/>
      <c r="B100" s="566" t="str">
        <f>IF(LEN(A100)=0,"",SUMIF(Measures!$AS$8:$AS$507,A100,Measures!$AR$8:$AR$507))</f>
        <v/>
      </c>
      <c r="C100" s="567" t="str">
        <f>IF(LEN(A100)=0,"",COUNTIF(Measures!$AS$8:$AS$507,A100))</f>
        <v/>
      </c>
    </row>
    <row r="101" spans="1:3" x14ac:dyDescent="0.3">
      <c r="A101" s="567"/>
      <c r="B101" s="566" t="str">
        <f>IF(LEN(A101)=0,"",SUMIF(Measures!$AS$8:$AS$507,A101,Measures!$AR$8:$AR$507))</f>
        <v/>
      </c>
      <c r="C101" s="567" t="str">
        <f>IF(LEN(A101)=0,"",COUNTIF(Measures!$AS$8:$AS$507,A101))</f>
        <v/>
      </c>
    </row>
    <row r="102" spans="1:3" x14ac:dyDescent="0.3">
      <c r="A102" s="567"/>
      <c r="B102" s="566" t="str">
        <f>IF(LEN(A102)=0,"",SUMIF(Measures!$AS$8:$AS$507,A102,Measures!$AR$8:$AR$507))</f>
        <v/>
      </c>
      <c r="C102" s="567" t="str">
        <f>IF(LEN(A102)=0,"",COUNTIF(Measures!$AS$8:$AS$507,A102))</f>
        <v/>
      </c>
    </row>
    <row r="103" spans="1:3" x14ac:dyDescent="0.3">
      <c r="A103" s="567"/>
      <c r="B103" s="566" t="str">
        <f>IF(LEN(A103)=0,"",SUMIF(Measures!$AS$8:$AS$507,A103,Measures!$AR$8:$AR$507))</f>
        <v/>
      </c>
      <c r="C103" s="567" t="str">
        <f>IF(LEN(A103)=0,"",COUNTIF(Measures!$AS$8:$AS$507,A103))</f>
        <v/>
      </c>
    </row>
    <row r="104" spans="1:3" x14ac:dyDescent="0.3">
      <c r="A104" s="567"/>
      <c r="B104" s="566" t="str">
        <f>IF(LEN(A104)=0,"",SUMIF(Measures!$AS$8:$AS$507,A104,Measures!$AR$8:$AR$507))</f>
        <v/>
      </c>
      <c r="C104" s="567" t="str">
        <f>IF(LEN(A104)=0,"",COUNTIF(Measures!$AS$8:$AS$507,A104))</f>
        <v/>
      </c>
    </row>
    <row r="105" spans="1:3" x14ac:dyDescent="0.3">
      <c r="A105" s="567"/>
      <c r="B105" s="566" t="str">
        <f>IF(LEN(A105)=0,"",SUMIF(Measures!$AS$8:$AS$507,A105,Measures!$AR$8:$AR$507))</f>
        <v/>
      </c>
      <c r="C105" s="567" t="str">
        <f>IF(LEN(A105)=0,"",COUNTIF(Measures!$AS$8:$AS$507,A105))</f>
        <v/>
      </c>
    </row>
    <row r="106" spans="1:3" x14ac:dyDescent="0.3">
      <c r="A106" s="567"/>
      <c r="B106" s="566" t="str">
        <f>IF(LEN(A106)=0,"",SUMIF(Measures!$AS$8:$AS$507,A106,Measures!$AR$8:$AR$507))</f>
        <v/>
      </c>
      <c r="C106" s="567" t="str">
        <f>IF(LEN(A106)=0,"",COUNTIF(Measures!$AS$8:$AS$507,A106))</f>
        <v/>
      </c>
    </row>
    <row r="107" spans="1:3" x14ac:dyDescent="0.3">
      <c r="A107" s="567"/>
      <c r="B107" s="566" t="str">
        <f>IF(LEN(A107)=0,"",SUMIF(Measures!$AS$8:$AS$507,A107,Measures!$AR$8:$AR$507))</f>
        <v/>
      </c>
      <c r="C107" s="567" t="str">
        <f>IF(LEN(A107)=0,"",COUNTIF(Measures!$AS$8:$AS$507,A107))</f>
        <v/>
      </c>
    </row>
    <row r="108" spans="1:3" x14ac:dyDescent="0.3">
      <c r="A108" s="567"/>
      <c r="B108" s="566" t="str">
        <f>IF(LEN(A108)=0,"",SUMIF(Measures!$AS$8:$AS$507,A108,Measures!$AR$8:$AR$507))</f>
        <v/>
      </c>
      <c r="C108" s="567" t="str">
        <f>IF(LEN(A108)=0,"",COUNTIF(Measures!$AS$8:$AS$507,A108))</f>
        <v/>
      </c>
    </row>
    <row r="109" spans="1:3" x14ac:dyDescent="0.3">
      <c r="A109" s="567"/>
      <c r="B109" s="566" t="str">
        <f>IF(LEN(A109)=0,"",SUMIF(Measures!$AS$8:$AS$507,A109,Measures!$AR$8:$AR$507))</f>
        <v/>
      </c>
      <c r="C109" s="567" t="str">
        <f>IF(LEN(A109)=0,"",COUNTIF(Measures!$AS$8:$AS$507,A109))</f>
        <v/>
      </c>
    </row>
    <row r="110" spans="1:3" x14ac:dyDescent="0.3">
      <c r="A110" s="567"/>
      <c r="B110" s="566" t="str">
        <f>IF(LEN(A110)=0,"",SUMIF(Measures!$AS$8:$AS$507,A110,Measures!$AR$8:$AR$507))</f>
        <v/>
      </c>
      <c r="C110" s="567" t="str">
        <f>IF(LEN(A110)=0,"",COUNTIF(Measures!$AS$8:$AS$507,A110))</f>
        <v/>
      </c>
    </row>
    <row r="111" spans="1:3" x14ac:dyDescent="0.3">
      <c r="A111" s="567"/>
      <c r="B111" s="566" t="str">
        <f>IF(LEN(A111)=0,"",SUMIF(Measures!$AS$8:$AS$507,A111,Measures!$AR$8:$AR$507))</f>
        <v/>
      </c>
      <c r="C111" s="567" t="str">
        <f>IF(LEN(A111)=0,"",COUNTIF(Measures!$AS$8:$AS$507,A111))</f>
        <v/>
      </c>
    </row>
    <row r="112" spans="1:3" x14ac:dyDescent="0.3">
      <c r="A112" s="567"/>
      <c r="B112" s="566" t="str">
        <f>IF(LEN(A112)=0,"",SUMIF(Measures!$AS$8:$AS$507,A112,Measures!$AR$8:$AR$507))</f>
        <v/>
      </c>
      <c r="C112" s="567" t="str">
        <f>IF(LEN(A112)=0,"",COUNTIF(Measures!$AS$8:$AS$507,A112))</f>
        <v/>
      </c>
    </row>
    <row r="113" spans="1:4" x14ac:dyDescent="0.3">
      <c r="A113" s="567"/>
      <c r="B113" s="566" t="str">
        <f>IF(LEN(A113)=0,"",SUMIF(Measures!$AS$8:$AS$507,A113,Measures!$AR$8:$AR$507))</f>
        <v/>
      </c>
      <c r="C113" s="567" t="str">
        <f>IF(LEN(A113)=0,"",COUNTIF(Measures!$AS$8:$AS$507,A113))</f>
        <v/>
      </c>
    </row>
    <row r="114" spans="1:4" x14ac:dyDescent="0.3">
      <c r="A114" s="567"/>
      <c r="B114" s="566" t="str">
        <f>IF(LEN(A114)=0,"",SUMIF(Measures!$AS$8:$AS$507,A114,Measures!$AR$8:$AR$507))</f>
        <v/>
      </c>
      <c r="C114" s="567" t="str">
        <f>IF(LEN(A114)=0,"",COUNTIF(Measures!$AS$8:$AS$507,A114))</f>
        <v/>
      </c>
    </row>
    <row r="115" spans="1:4" x14ac:dyDescent="0.3">
      <c r="A115" s="567"/>
      <c r="B115" s="566" t="str">
        <f>IF(LEN(A115)=0,"",SUMIF(Measures!$AS$8:$AS$507,A115,Measures!$AR$8:$AR$507))</f>
        <v/>
      </c>
      <c r="C115" s="567" t="str">
        <f>IF(LEN(A115)=0,"",COUNTIF(Measures!$AS$8:$AS$507,A115))</f>
        <v/>
      </c>
    </row>
    <row r="116" spans="1:4" x14ac:dyDescent="0.3">
      <c r="A116" s="567"/>
      <c r="B116" s="566" t="str">
        <f>IF(LEN(A116)=0,"",SUMIF(Measures!$AS$8:$AS$507,A116,Measures!$AR$8:$AR$507))</f>
        <v/>
      </c>
      <c r="C116" s="567" t="str">
        <f>IF(LEN(A116)=0,"",COUNTIF(Measures!$AS$8:$AS$507,A116))</f>
        <v/>
      </c>
    </row>
    <row r="117" spans="1:4" x14ac:dyDescent="0.3">
      <c r="A117" s="567"/>
      <c r="B117" s="566" t="str">
        <f>IF(LEN(A117)=0,"",SUMIF(Measures!$AS$8:$AS$507,A117,Measures!$AR$8:$AR$507))</f>
        <v/>
      </c>
      <c r="C117" s="567" t="str">
        <f>IF(LEN(A117)=0,"",COUNTIF(Measures!$AS$8:$AS$507,A117))</f>
        <v/>
      </c>
      <c r="D117" s="14" t="s">
        <v>511</v>
      </c>
    </row>
  </sheetData>
  <sheetProtection algorithmName="SHA-512" hashValue="MfE2ZI+3EG/5mr8Xit/7UPfiPevYiOxVHzjYfJAKLEJ5kv/v2dz0TvXrGTO5ca+2jD6085V2XRFSQObjpRQHdQ==" saltValue="2kPmO+e63Uf1eo1k03L6fQ==" spinCount="100000" sheet="1" objects="1" scenarios="1"/>
  <printOptions horizontalCentered="1"/>
  <pageMargins left="0.45" right="0.45" top="0.75" bottom="0.75" header="0.3" footer="0.3"/>
  <pageSetup orientation="portrait" r:id="rId1"/>
  <headerFooter>
    <oddHeader>&amp;C&amp;14Tacoma Power's Bright Rebates Lighting Application</oddHeader>
    <oddFooter>&amp;L&amp;9&amp;A&amp;C&amp;P of &amp;N&amp;R&amp;9Printed on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05473-CDE5-4432-B3CE-6DBD7838B1EC}">
  <sheetPr>
    <tabColor theme="6" tint="0.79998168889431442"/>
  </sheetPr>
  <dimension ref="A1:F10"/>
  <sheetViews>
    <sheetView showGridLines="0" zoomScaleNormal="100" workbookViewId="0">
      <pane ySplit="1" topLeftCell="A2" activePane="bottomLeft" state="frozen"/>
      <selection pane="bottomLeft" activeCell="C1" sqref="C1"/>
    </sheetView>
  </sheetViews>
  <sheetFormatPr defaultRowHeight="14.4" x14ac:dyDescent="0.3"/>
  <cols>
    <col min="1" max="1" width="12.5546875" bestFit="1" customWidth="1"/>
    <col min="2" max="2" width="35.109375" bestFit="1" customWidth="1"/>
    <col min="3" max="3" width="18.33203125" bestFit="1" customWidth="1"/>
    <col min="4" max="4" width="11" bestFit="1" customWidth="1"/>
    <col min="5" max="5" width="16.5546875" bestFit="1" customWidth="1"/>
    <col min="6" max="6" width="7" bestFit="1" customWidth="1"/>
    <col min="7" max="7" width="10.88671875" bestFit="1" customWidth="1"/>
    <col min="8" max="8" width="18.6640625" bestFit="1" customWidth="1"/>
    <col min="9" max="9" width="7.6640625" bestFit="1" customWidth="1"/>
    <col min="10" max="10" width="21.44140625" bestFit="1" customWidth="1"/>
    <col min="11" max="11" width="16.109375" bestFit="1" customWidth="1"/>
    <col min="12" max="12" width="7.6640625" bestFit="1" customWidth="1"/>
    <col min="13" max="13" width="7" bestFit="1" customWidth="1"/>
    <col min="14" max="14" width="11.6640625" bestFit="1" customWidth="1"/>
    <col min="15" max="15" width="10.88671875" bestFit="1" customWidth="1"/>
    <col min="16" max="16" width="15.6640625" bestFit="1" customWidth="1"/>
    <col min="17" max="17" width="17.44140625" bestFit="1" customWidth="1"/>
    <col min="18" max="18" width="20.33203125" bestFit="1" customWidth="1"/>
    <col min="19" max="19" width="17.6640625" bestFit="1" customWidth="1"/>
    <col min="20" max="20" width="20.5546875" bestFit="1" customWidth="1"/>
    <col min="21" max="21" width="21.33203125" bestFit="1" customWidth="1"/>
    <col min="22" max="22" width="16.5546875" bestFit="1" customWidth="1"/>
    <col min="23" max="23" width="24.109375" bestFit="1" customWidth="1"/>
    <col min="24" max="24" width="17" bestFit="1" customWidth="1"/>
    <col min="25" max="25" width="10.88671875" bestFit="1" customWidth="1"/>
    <col min="26" max="26" width="16.5546875" bestFit="1" customWidth="1"/>
    <col min="27" max="27" width="19.6640625" bestFit="1" customWidth="1"/>
    <col min="28" max="28" width="22.33203125" bestFit="1" customWidth="1"/>
    <col min="29" max="29" width="16.5546875" bestFit="1" customWidth="1"/>
    <col min="30" max="30" width="25" bestFit="1" customWidth="1"/>
    <col min="31" max="31" width="22" bestFit="1" customWidth="1"/>
    <col min="32" max="32" width="10.88671875" bestFit="1" customWidth="1"/>
    <col min="33" max="33" width="24.6640625" bestFit="1" customWidth="1"/>
    <col min="34" max="34" width="9" bestFit="1" customWidth="1"/>
    <col min="35" max="35" width="11.6640625" bestFit="1" customWidth="1"/>
    <col min="36" max="36" width="10.6640625" bestFit="1" customWidth="1"/>
    <col min="37" max="37" width="25.88671875" bestFit="1" customWidth="1"/>
    <col min="38" max="38" width="38.5546875" bestFit="1" customWidth="1"/>
    <col min="39" max="39" width="40.33203125" bestFit="1" customWidth="1"/>
    <col min="40" max="40" width="30.6640625" bestFit="1" customWidth="1"/>
  </cols>
  <sheetData>
    <row r="1" spans="1:6" s="53" customFormat="1" ht="28.8" x14ac:dyDescent="0.55000000000000004">
      <c r="A1" s="398" t="s">
        <v>512</v>
      </c>
      <c r="D1" s="51" t="s">
        <v>513</v>
      </c>
      <c r="F1" s="200"/>
    </row>
    <row r="2" spans="1:6" x14ac:dyDescent="0.3">
      <c r="A2" s="107" t="s">
        <v>514</v>
      </c>
      <c r="D2" s="54"/>
      <c r="E2" s="54"/>
      <c r="F2" s="64"/>
    </row>
    <row r="3" spans="1:6" x14ac:dyDescent="0.3">
      <c r="A3" s="107" t="s">
        <v>137</v>
      </c>
      <c r="D3" s="54"/>
      <c r="E3" s="54"/>
      <c r="F3" s="64"/>
    </row>
    <row r="4" spans="1:6" x14ac:dyDescent="0.3">
      <c r="A4" s="523" t="s">
        <v>515</v>
      </c>
      <c r="D4" s="54"/>
      <c r="E4" s="54"/>
      <c r="F4" s="64"/>
    </row>
    <row r="5" spans="1:6" x14ac:dyDescent="0.3">
      <c r="D5" s="54"/>
      <c r="E5" s="54"/>
      <c r="F5" s="64"/>
    </row>
    <row r="8" spans="1:6" x14ac:dyDescent="0.3">
      <c r="A8" s="349" t="s">
        <v>516</v>
      </c>
      <c r="B8" s="54" t="s">
        <v>517</v>
      </c>
    </row>
    <row r="9" spans="1:6" x14ac:dyDescent="0.3">
      <c r="A9" s="36" t="s">
        <v>518</v>
      </c>
      <c r="B9" s="54"/>
    </row>
    <row r="10" spans="1:6" x14ac:dyDescent="0.3">
      <c r="A10" s="36" t="s">
        <v>482</v>
      </c>
      <c r="B10" s="54"/>
    </row>
  </sheetData>
  <sheetProtection pivotTables="0"/>
  <pageMargins left="0.7" right="0.7" top="0.75" bottom="0.75" header="0.3" footer="0.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7B7F89-2675-4257-B3C2-A022EEE509C3}">
  <sheetPr>
    <tabColor rgb="FFCCCCFF"/>
  </sheetPr>
  <dimension ref="A1:D17"/>
  <sheetViews>
    <sheetView showGridLines="0" workbookViewId="0">
      <selection activeCell="A2" sqref="A2"/>
    </sheetView>
  </sheetViews>
  <sheetFormatPr defaultRowHeight="14.4" outlineLevelRow="1" outlineLevelCol="1" x14ac:dyDescent="0.3"/>
  <cols>
    <col min="1" max="1" width="26.33203125" customWidth="1"/>
    <col min="2" max="2" width="22.44140625" bestFit="1" customWidth="1"/>
    <col min="3" max="3" width="51.109375" hidden="1" customWidth="1" outlineLevel="1"/>
    <col min="4" max="4" width="8.88671875" collapsed="1"/>
  </cols>
  <sheetData>
    <row r="1" spans="1:3" ht="21" x14ac:dyDescent="0.4">
      <c r="A1" s="203" t="s">
        <v>519</v>
      </c>
    </row>
    <row r="3" spans="1:3" x14ac:dyDescent="0.3">
      <c r="A3" s="212" t="str">
        <f>_xlfn.CONCAT("Project Name: ",IF(LEN(Contacts!B3)=0,"",Contacts!B3))</f>
        <v xml:space="preserve">Project Name: </v>
      </c>
      <c r="B3" s="213"/>
    </row>
    <row r="4" spans="1:3" x14ac:dyDescent="0.3">
      <c r="A4" t="str">
        <f>_xlfn.CONCAT("Site: ",IF(ISBLANK(Site!B7),"",_xlfn.CONCAT(Site!B6,", ",Site!B7,", ",Site!B8,", ",Site!B9," ",Site!B10)))</f>
        <v xml:space="preserve">Site: </v>
      </c>
    </row>
    <row r="6" spans="1:3" x14ac:dyDescent="0.3">
      <c r="A6" s="1" t="s">
        <v>520</v>
      </c>
    </row>
    <row r="7" spans="1:3" x14ac:dyDescent="0.3">
      <c r="A7" s="132" t="s">
        <v>521</v>
      </c>
      <c r="B7" s="132" t="s">
        <v>522</v>
      </c>
      <c r="C7" s="132" t="s">
        <v>523</v>
      </c>
    </row>
    <row r="8" spans="1:3" hidden="1" outlineLevel="1" x14ac:dyDescent="0.3">
      <c r="A8" s="132" t="s">
        <v>524</v>
      </c>
      <c r="B8" s="132" t="s">
        <v>525</v>
      </c>
      <c r="C8" t="s">
        <v>526</v>
      </c>
    </row>
    <row r="9" spans="1:3" collapsed="1" x14ac:dyDescent="0.3">
      <c r="A9" s="288"/>
      <c r="B9" s="288"/>
      <c r="C9" s="132" t="str" cm="1">
        <f t="array" aca="1" ref="C9" ca="1">MID(CELL("filename"),SEARCH("[",CELL("filename"))+1, SEARCH("]",CELL("filename"))-SEARCH("[",CELL("filename"))-1)</f>
        <v>Tacoma Power Commercial Lighting Workbook.xlsx</v>
      </c>
    </row>
    <row r="13" spans="1:3" x14ac:dyDescent="0.3">
      <c r="A13" s="1" t="s">
        <v>528</v>
      </c>
    </row>
    <row r="14" spans="1:3" x14ac:dyDescent="0.3">
      <c r="A14" s="50" t="s">
        <v>529</v>
      </c>
    </row>
    <row r="15" spans="1:3" x14ac:dyDescent="0.3">
      <c r="A15" s="132" t="s">
        <v>530</v>
      </c>
      <c r="B15" s="219" t="str">
        <f>IF(OR(ISBLANK(SectorField),ISBLANK(DSMCProjNumField)),"",'Project Summary'!B16)</f>
        <v/>
      </c>
    </row>
    <row r="16" spans="1:3" x14ac:dyDescent="0.3">
      <c r="A16" s="132" t="s">
        <v>531</v>
      </c>
      <c r="B16" s="219" t="str">
        <f>IF(OR(ISBLANK(SectorField),ISBLANK(DSMCProjNumField)),"",'Project Summary'!B15)</f>
        <v/>
      </c>
    </row>
    <row r="17" spans="1:2" x14ac:dyDescent="0.3">
      <c r="A17" s="132" t="s">
        <v>301</v>
      </c>
      <c r="B17" s="218" t="str">
        <f>IF(OR(ISBLANK(SectorField),ISBLANK(DSMCProjNumField)),"",'Project Summary'!B21)</f>
        <v/>
      </c>
    </row>
  </sheetData>
  <sheetProtection algorithmName="SHA-512" hashValue="6saZ1UKuuWSkkTJU0/MjNYwjIubBVmabUAfDRUvk4h+DTzDuuGb5hAAAsXUZUQENdQ0BZ9lZt3CWkiLGIgrrRA==" saltValue="+lENaW9J2EHEbAC3/vIeuw==" spinCount="100000" sheet="1" objects="1" scenarios="1"/>
  <dataValidations count="1">
    <dataValidation type="list" allowBlank="1" showInputMessage="1" showErrorMessage="1" sqref="A9" xr:uid="{1D43C26A-B0A8-429D-859E-3BC3135C475A}">
      <formula1>SectorList</formula1>
    </dataValidation>
  </dataValidation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2DA3D-8236-4F5E-8053-F47D4CBD38DB}">
  <sheetPr>
    <tabColor theme="5" tint="0.79998168889431442"/>
  </sheetPr>
  <dimension ref="A1:I35"/>
  <sheetViews>
    <sheetView showGridLines="0" workbookViewId="0">
      <pane ySplit="1" topLeftCell="A2" activePane="bottomLeft" state="frozen"/>
      <selection pane="bottomLeft" activeCell="B3" sqref="B3"/>
    </sheetView>
  </sheetViews>
  <sheetFormatPr defaultColWidth="8.88671875" defaultRowHeight="14.4" outlineLevelRow="1" outlineLevelCol="1" x14ac:dyDescent="0.3"/>
  <cols>
    <col min="1" max="1" width="11" style="95" hidden="1" customWidth="1" outlineLevel="1"/>
    <col min="2" max="2" width="12" style="95" customWidth="1" collapsed="1"/>
    <col min="3" max="3" width="26.33203125" style="14" customWidth="1"/>
    <col min="4" max="6" width="14.88671875" style="14" customWidth="1"/>
    <col min="7" max="7" width="19.5546875" style="14" bestFit="1" customWidth="1"/>
    <col min="8" max="8" width="27.33203125" style="14" customWidth="1"/>
    <col min="9" max="9" width="28.109375" style="14" customWidth="1"/>
    <col min="10" max="16384" width="8.88671875" style="14"/>
  </cols>
  <sheetData>
    <row r="1" spans="1:9" s="53" customFormat="1" ht="21" x14ac:dyDescent="0.4">
      <c r="B1" s="113" t="s">
        <v>532</v>
      </c>
      <c r="C1" s="114"/>
      <c r="D1" s="204" t="s">
        <v>533</v>
      </c>
      <c r="E1" s="115"/>
    </row>
    <row r="2" spans="1:9" x14ac:dyDescent="0.3">
      <c r="A2" s="14"/>
      <c r="B2" s="14" t="s">
        <v>534</v>
      </c>
    </row>
    <row r="3" spans="1:9" x14ac:dyDescent="0.3">
      <c r="B3" s="14"/>
    </row>
    <row r="4" spans="1:9" x14ac:dyDescent="0.3">
      <c r="A4" s="14"/>
      <c r="B4" s="102" t="s">
        <v>478</v>
      </c>
      <c r="C4" s="181"/>
      <c r="D4" s="181"/>
      <c r="E4" s="181"/>
      <c r="F4" s="181"/>
      <c r="G4" s="181"/>
      <c r="H4" s="181"/>
    </row>
    <row r="5" spans="1:9" s="53" customFormat="1" ht="28.8" x14ac:dyDescent="0.3">
      <c r="A5" s="112" t="s">
        <v>535</v>
      </c>
      <c r="B5" s="120" t="s">
        <v>286</v>
      </c>
      <c r="C5" s="120" t="s">
        <v>287</v>
      </c>
      <c r="D5" s="105" t="s">
        <v>301</v>
      </c>
      <c r="E5" s="105" t="s">
        <v>297</v>
      </c>
      <c r="F5" s="109" t="s">
        <v>479</v>
      </c>
      <c r="G5" s="121" t="s">
        <v>536</v>
      </c>
      <c r="H5" s="131" t="s">
        <v>537</v>
      </c>
    </row>
    <row r="6" spans="1:9" x14ac:dyDescent="0.3">
      <c r="A6" s="171" t="str">
        <f>IF(H6=0,"",1)</f>
        <v/>
      </c>
      <c r="B6" s="140" t="s">
        <v>398</v>
      </c>
      <c r="C6" s="140" t="str" cm="1">
        <f t="array" ref="C6:C14">TRANSPOSE(LEDCat)</f>
        <v>Exit Sign</v>
      </c>
      <c r="D6" s="141">
        <f>IF(C6="Decommissioning",SUMIF(Measures!$C$8:$C$507,C6,Measures!$Z$8:$Z$507),SUMIF(Measures!$K$8:$K$507,C6,Measures!$Z$8:$Z$507))</f>
        <v>0</v>
      </c>
      <c r="E6" s="141">
        <f>IF(C6="Decommissioning",SUMIF(Measures!$C$8:$C$507,C6,Measures!$AR$8:AR$507),SUMIF(Measures!$K$8:$K$507,C6,Measures!$AR$8:$AR$507))</f>
        <v>0</v>
      </c>
      <c r="F6" s="139">
        <f>IF(C6="Decommissioning",SUMIF(Measures!$C$8:$C$507,C6,Measures!$AB$8:$AB$507),SUMIF(Measures!$K$8:$K$507,C6,Measures!$AB$8:$AB$507))</f>
        <v>0</v>
      </c>
      <c r="G6" s="172" t="str">
        <f>IF(H6=0,"",IF(C6="Decommissioning",VLOOKUP(C6,Measures!$C$8:$BE$507,54,FALSE),VLOOKUP(C6,Measures!$K$8:$BE$507,46,FALSE)))</f>
        <v/>
      </c>
      <c r="H6" s="171">
        <f>IF(C6="Decommissioning",COUNTIF(Measures!$C$8:$C$507,C6),COUNTIF(Measures!$K$8:$K$507,C6))</f>
        <v>0</v>
      </c>
      <c r="I6" s="90"/>
    </row>
    <row r="7" spans="1:9" x14ac:dyDescent="0.3">
      <c r="A7" s="171" t="str">
        <f>IF(H7=0,"",COUNT($A$6:A6)+1)</f>
        <v/>
      </c>
      <c r="B7" s="140" t="s">
        <v>398</v>
      </c>
      <c r="C7" s="140" t="str">
        <v>Exterior</v>
      </c>
      <c r="D7" s="141">
        <f>IF(C7="Decommissioning",SUMIF(Measures!$C$8:$C$507,C7,Measures!$Z$8:$Z$507),SUMIF(Measures!$K$8:$K$507,C7,Measures!$Z$8:$Z$507))</f>
        <v>0</v>
      </c>
      <c r="E7" s="141">
        <f>IF(C7="Decommissioning",SUMIF(Measures!$C$8:$C$507,C7,Measures!$AR$8:AR$507),SUMIF(Measures!$K$8:$K$507,C7,Measures!$AR$8:$AR$507))</f>
        <v>0</v>
      </c>
      <c r="F7" s="139">
        <f>IF(C7="Decommissioning",SUMIF(Measures!$C$8:$C$507,C7,Measures!$AB$8:$AB$507),SUMIF(Measures!$K$8:$K$507,C7,Measures!$AB$8:$AB$507))</f>
        <v>0</v>
      </c>
      <c r="G7" s="172" t="str">
        <f>IF(H7=0,"",IF(C7="Decommissioning",VLOOKUP(C7,Measures!$C$8:$BE$507,54,FALSE),VLOOKUP(C7,Measures!$K$8:$BE$507,46,FALSE)))</f>
        <v/>
      </c>
      <c r="H7" s="171">
        <f>IF(C7="Decommissioning",COUNTIF(Measures!$C$8:$C$507,C7),COUNTIF(Measures!$K$8:$K$507,C7))</f>
        <v>0</v>
      </c>
      <c r="I7" s="90"/>
    </row>
    <row r="8" spans="1:9" x14ac:dyDescent="0.3">
      <c r="A8" s="171" t="str">
        <f>IF(H8=0,"",COUNT($A$6:A7)+1)</f>
        <v/>
      </c>
      <c r="B8" s="140" t="s">
        <v>398</v>
      </c>
      <c r="C8" s="140" t="str">
        <v>General Indoor / Outdoor</v>
      </c>
      <c r="D8" s="141">
        <f>IF(C8="Decommissioning",SUMIF(Measures!$C$8:$C$507,C8,Measures!$Z$8:$Z$507),SUMIF(Measures!$K$8:$K$507,C8,Measures!$Z$8:$Z$507))</f>
        <v>0</v>
      </c>
      <c r="E8" s="141">
        <f>IF(C8="Decommissioning",SUMIF(Measures!$C$8:$C$507,C8,Measures!$AR$8:AR$507),SUMIF(Measures!$K$8:$K$507,C8,Measures!$AR$8:$AR$507))</f>
        <v>0</v>
      </c>
      <c r="F8" s="139">
        <f>IF(C8="Decommissioning",SUMIF(Measures!$C$8:$C$507,C8,Measures!$AB$8:$AB$507),SUMIF(Measures!$K$8:$K$507,C8,Measures!$AB$8:$AB$507))</f>
        <v>0</v>
      </c>
      <c r="G8" s="172" t="str">
        <f>IF(H8=0,"",IF(C8="Decommissioning",VLOOKUP(C8,Measures!$C$8:$BE$507,54,FALSE),VLOOKUP(C8,Measures!$K$8:$BE$507,46,FALSE)))</f>
        <v/>
      </c>
      <c r="H8" s="171">
        <f>IF(C8="Decommissioning",COUNTIF(Measures!$C$8:$C$507,C8),COUNTIF(Measures!$K$8:$K$507,C8))</f>
        <v>0</v>
      </c>
      <c r="I8" s="90"/>
    </row>
    <row r="9" spans="1:9" x14ac:dyDescent="0.3">
      <c r="A9" s="171" t="str">
        <f>IF(H9=0,"",COUNT($A$6:A8)+1)</f>
        <v/>
      </c>
      <c r="B9" s="140" t="s">
        <v>398</v>
      </c>
      <c r="C9" s="140" t="str">
        <v>HID Screw-in Replacement</v>
      </c>
      <c r="D9" s="141">
        <f>IF(C9="Decommissioning",SUMIF(Measures!$C$8:$C$507,C9,Measures!$Z$8:$Z$507),SUMIF(Measures!$K$8:$K$507,C9,Measures!$Z$8:$Z$507))</f>
        <v>0</v>
      </c>
      <c r="E9" s="141">
        <f>IF(C9="Decommissioning",SUMIF(Measures!$C$8:$C$507,C9,Measures!$AR$8:AR$507),SUMIF(Measures!$K$8:$K$507,C9,Measures!$AR$8:$AR$507))</f>
        <v>0</v>
      </c>
      <c r="F9" s="139">
        <f>IF(C9="Decommissioning",SUMIF(Measures!$C$8:$C$507,C9,Measures!$AB$8:$AB$507),SUMIF(Measures!$K$8:$K$507,C9,Measures!$AB$8:$AB$507))</f>
        <v>0</v>
      </c>
      <c r="G9" s="172" t="str">
        <f>IF(H9=0,"",IF(C9="Decommissioning",VLOOKUP(C9,Measures!$C$8:$BE$507,54,FALSE),VLOOKUP(C9,Measures!$K$8:$BE$507,46,FALSE)))</f>
        <v/>
      </c>
      <c r="H9" s="171">
        <f>IF(C9="Decommissioning",COUNTIF(Measures!$C$8:$C$507,C9),COUNTIF(Measures!$K$8:$K$507,C9))</f>
        <v>0</v>
      </c>
      <c r="I9" s="90"/>
    </row>
    <row r="10" spans="1:9" x14ac:dyDescent="0.3">
      <c r="A10" s="171" t="str">
        <f>IF(H10=0,"",COUNT($A$6:A9)+1)</f>
        <v/>
      </c>
      <c r="B10" s="140" t="s">
        <v>398</v>
      </c>
      <c r="C10" s="140" t="str">
        <v>High Bay</v>
      </c>
      <c r="D10" s="141">
        <f>IF(C10="Decommissioning",SUMIF(Measures!$C$8:$C$507,C10,Measures!$Z$8:$Z$507),SUMIF(Measures!$K$8:$K$507,C10,Measures!$Z$8:$Z$507))</f>
        <v>0</v>
      </c>
      <c r="E10" s="141">
        <f>IF(C10="Decommissioning",SUMIF(Measures!$C$8:$C$507,C10,Measures!$AR$8:AR$507),SUMIF(Measures!$K$8:$K$507,C10,Measures!$AR$8:$AR$507))</f>
        <v>0</v>
      </c>
      <c r="F10" s="139">
        <f>IF(C10="Decommissioning",SUMIF(Measures!$C$8:$C$507,C10,Measures!$AB$8:$AB$507),SUMIF(Measures!$K$8:$K$507,C10,Measures!$AB$8:$AB$507))</f>
        <v>0</v>
      </c>
      <c r="G10" s="172" t="str">
        <f>IF(H10=0,"",IF(C10="Decommissioning",VLOOKUP(C10,Measures!$C$8:$BE$507,54,FALSE),VLOOKUP(C10,Measures!$K$8:$BE$507,46,FALSE)))</f>
        <v/>
      </c>
      <c r="H10" s="171">
        <f>IF(C10="Decommissioning",COUNTIF(Measures!$C$8:$C$507,C10),COUNTIF(Measures!$K$8:$K$507,C10))</f>
        <v>0</v>
      </c>
      <c r="I10" s="90"/>
    </row>
    <row r="11" spans="1:9" x14ac:dyDescent="0.3">
      <c r="A11" s="171" t="str">
        <f>IF(H11=0,"",COUNT($A$6:A10)+1)</f>
        <v/>
      </c>
      <c r="B11" s="140" t="s">
        <v>398</v>
      </c>
      <c r="C11" s="140" t="str">
        <v>Lighting Sold by the Foot</v>
      </c>
      <c r="D11" s="141">
        <f>IF(C11="Decommissioning",SUMIF(Measures!$C$8:$C$507,C11,Measures!$Z$8:$Z$507),SUMIF(Measures!$K$8:$K$507,C11,Measures!$Z$8:$Z$507))</f>
        <v>0</v>
      </c>
      <c r="E11" s="141">
        <f>IF(C11="Decommissioning",SUMIF(Measures!$C$8:$C$507,C11,Measures!$AR$8:AR$507),SUMIF(Measures!$K$8:$K$507,C11,Measures!$AR$8:$AR$507))</f>
        <v>0</v>
      </c>
      <c r="F11" s="139">
        <f>IF(C11="Decommissioning",SUMIF(Measures!$C$8:$C$507,C11,Measures!$AB$8:$AB$507),SUMIF(Measures!$K$8:$K$507,C11,Measures!$AB$8:$AB$507))</f>
        <v>0</v>
      </c>
      <c r="G11" s="172" t="str">
        <f>IF(H11=0,"",IF(C11="Decommissioning",VLOOKUP(C11,Measures!$C$8:$BE$507,54,FALSE),VLOOKUP(C11,Measures!$K$8:$BE$507,46,FALSE)))</f>
        <v/>
      </c>
      <c r="H11" s="171">
        <f>IF(C11="Decommissioning",COUNTIF(Measures!$C$8:$C$507,C11),COUNTIF(Measures!$K$8:$K$507,C11))</f>
        <v>0</v>
      </c>
      <c r="I11" s="90"/>
    </row>
    <row r="12" spans="1:9" x14ac:dyDescent="0.3">
      <c r="A12" s="171" t="str">
        <f>IF(H12=0,"",COUNT($A$6:A11)+1)</f>
        <v/>
      </c>
      <c r="B12" s="140" t="s">
        <v>398</v>
      </c>
      <c r="C12" s="140" t="str">
        <v>Refrigerated Case</v>
      </c>
      <c r="D12" s="141">
        <f>IF(C12="Decommissioning",SUMIF(Measures!$C$8:$C$507,C12,Measures!$Z$8:$Z$507),SUMIF(Measures!$K$8:$K$507,C12,Measures!$Z$8:$Z$507))</f>
        <v>0</v>
      </c>
      <c r="E12" s="141">
        <f>IF(C12="Decommissioning",SUMIF(Measures!$C$8:$C$507,C12,Measures!$AR$8:AR$507),SUMIF(Measures!$K$8:$K$507,C12,Measures!$AR$8:$AR$507))</f>
        <v>0</v>
      </c>
      <c r="F12" s="139">
        <f>IF(C12="Decommissioning",SUMIF(Measures!$C$8:$C$507,C12,Measures!$AB$8:$AB$507),SUMIF(Measures!$K$8:$K$507,C12,Measures!$AB$8:$AB$507))</f>
        <v>0</v>
      </c>
      <c r="G12" s="172" t="str">
        <f>IF(H12=0,"",IF(C12="Decommissioning",VLOOKUP(C12,Measures!$C$8:$BE$507,54,FALSE),VLOOKUP(C12,Measures!$K$8:$BE$507,46,FALSE)))</f>
        <v/>
      </c>
      <c r="H12" s="171">
        <f>IF(C12="Decommissioning",COUNTIF(Measures!$C$8:$C$507,C12),COUNTIF(Measures!$K$8:$K$507,C12))</f>
        <v>0</v>
      </c>
      <c r="I12" s="90"/>
    </row>
    <row r="13" spans="1:9" x14ac:dyDescent="0.3">
      <c r="A13" s="171" t="str">
        <f>IF(H13=0,"",COUNT($A$6:A12)+1)</f>
        <v/>
      </c>
      <c r="B13" s="140" t="s">
        <v>398</v>
      </c>
      <c r="C13" s="140" t="str">
        <v>Small Lamp / Fixture</v>
      </c>
      <c r="D13" s="141">
        <f>IF(C13="Decommissioning",SUMIF(Measures!$C$8:$C$507,C13,Measures!$Z$8:$Z$507),SUMIF(Measures!$K$8:$K$507,C13,Measures!$Z$8:$Z$507))</f>
        <v>0</v>
      </c>
      <c r="E13" s="141">
        <f>IF(C13="Decommissioning",SUMIF(Measures!$C$8:$C$507,C13,Measures!$AR$8:AR$507),SUMIF(Measures!$K$8:$K$507,C13,Measures!$AR$8:$AR$507))</f>
        <v>0</v>
      </c>
      <c r="F13" s="139">
        <f>IF(C13="Decommissioning",SUMIF(Measures!$C$8:$C$507,C13,Measures!$AB$8:$AB$507),SUMIF(Measures!$K$8:$K$507,C13,Measures!$AB$8:$AB$507))</f>
        <v>0</v>
      </c>
      <c r="G13" s="172" t="str">
        <f>IF(H13=0,"",IF(C13="Decommissioning",VLOOKUP(C13,Measures!$C$8:$BE$507,54,FALSE),VLOOKUP(C13,Measures!$K$8:$BE$507,46,FALSE)))</f>
        <v/>
      </c>
      <c r="H13" s="171">
        <f>IF(C13="Decommissioning",COUNTIF(Measures!$C$8:$C$507,C13),COUNTIF(Measures!$K$8:$K$507,C13))</f>
        <v>0</v>
      </c>
      <c r="I13" s="90"/>
    </row>
    <row r="14" spans="1:9" x14ac:dyDescent="0.3">
      <c r="A14" s="171" t="str">
        <f>IF(H14=0,"",COUNT($A$6:A13)+1)</f>
        <v/>
      </c>
      <c r="B14" s="140" t="s">
        <v>398</v>
      </c>
      <c r="C14" s="140" t="str">
        <v>Tube</v>
      </c>
      <c r="D14" s="141">
        <f>IF(C14="Decommissioning",SUMIF(Measures!$C$8:$C$507,C14,Measures!$Z$8:$Z$507),SUMIF(Measures!$K$8:$K$507,C14,Measures!$Z$8:$Z$507))</f>
        <v>0</v>
      </c>
      <c r="E14" s="141">
        <f>IF(C14="Decommissioning",SUMIF(Measures!$C$8:$C$507,C14,Measures!$AR$8:AR$507),SUMIF(Measures!$K$8:$K$507,C14,Measures!$AR$8:$AR$507))</f>
        <v>0</v>
      </c>
      <c r="F14" s="139">
        <f>IF(C14="Decommissioning",SUMIF(Measures!$C$8:$C$507,C14,Measures!$AB$8:$AB$507),SUMIF(Measures!$K$8:$K$507,C14,Measures!$AB$8:$AB$507))</f>
        <v>0</v>
      </c>
      <c r="G14" s="172" t="str">
        <f>IF(H14=0,"",IF(C14="Decommissioning",VLOOKUP(C14,Measures!$C$8:$BE$507,54,FALSE),VLOOKUP(C14,Measures!$K$8:$BE$507,46,FALSE)))</f>
        <v/>
      </c>
      <c r="H14" s="171">
        <f>IF(C14="Decommissioning",COUNTIF(Measures!$C$8:$C$507,C14),COUNTIF(Measures!$K$8:$K$507,C14))</f>
        <v>0</v>
      </c>
      <c r="I14" s="90"/>
    </row>
    <row r="15" spans="1:9" x14ac:dyDescent="0.3">
      <c r="A15" s="171" t="str">
        <f>IF(H15=0,"",COUNT($A$6:A14)+1)</f>
        <v/>
      </c>
      <c r="B15" s="140" t="s">
        <v>538</v>
      </c>
      <c r="C15" s="140" t="str" cm="1">
        <f t="array" ref="C15:C17">TRANSPOSE(SignageCat)</f>
        <v>LED Tube - Sign</v>
      </c>
      <c r="D15" s="141">
        <f>IF(C15="Decommissioning",SUMIF(Measures!$C$8:$C$507,C15,Measures!$Z$8:$Z$507),SUMIF(Measures!$K$8:$K$507,C15,Measures!$Z$8:$Z$507))</f>
        <v>0</v>
      </c>
      <c r="E15" s="141">
        <f>IF(C15="Decommissioning",SUMIF(Measures!$C$8:$C$507,C15,Measures!$AR$8:AR$507),SUMIF(Measures!$K$8:$K$507,C15,Measures!$AR$8:$AR$507))</f>
        <v>0</v>
      </c>
      <c r="F15" s="139">
        <f>IF(C15="Decommissioning",SUMIF(Measures!$C$8:$C$507,C15,Measures!$AB$8:$AB$507),SUMIF(Measures!$K$8:$K$507,C15,Measures!$AB$8:$AB$507))</f>
        <v>0</v>
      </c>
      <c r="G15" s="172" t="str">
        <f>IF(H15=0,"",IF(C15="Decommissioning",VLOOKUP(C15,Measures!$C$8:$BE$507,54,FALSE),VLOOKUP(C15,Measures!$K$8:$BE$507,46,FALSE)))</f>
        <v/>
      </c>
      <c r="H15" s="171">
        <f>IF(C15="Decommissioning",COUNTIF(Measures!$C$8:$C$507,C15),COUNTIF(Measures!$K$8:$K$507,C15))</f>
        <v>0</v>
      </c>
      <c r="I15" s="90"/>
    </row>
    <row r="16" spans="1:9" x14ac:dyDescent="0.3">
      <c r="A16" s="171" t="str">
        <f>IF(H16=0,"",COUNT($A$6:A15)+1)</f>
        <v/>
      </c>
      <c r="B16" s="140" t="s">
        <v>538</v>
      </c>
      <c r="C16" s="140" t="str">
        <v>Linear Strip - Sign</v>
      </c>
      <c r="D16" s="141">
        <f>IF(C16="Decommissioning",SUMIF(Measures!$C$8:$C$507,C16,Measures!$Z$8:$Z$507),SUMIF(Measures!$K$8:$K$507,C16,Measures!$Z$8:$Z$507))</f>
        <v>0</v>
      </c>
      <c r="E16" s="141">
        <f>IF(C16="Decommissioning",SUMIF(Measures!$C$8:$C$507,C16,Measures!$AR$8:AR$507),SUMIF(Measures!$K$8:$K$507,C16,Measures!$AR$8:$AR$507))</f>
        <v>0</v>
      </c>
      <c r="F16" s="139">
        <f>IF(C16="Decommissioning",SUMIF(Measures!$C$8:$C$507,C16,Measures!$AB$8:$AB$507),SUMIF(Measures!$K$8:$K$507,C16,Measures!$AB$8:$AB$507))</f>
        <v>0</v>
      </c>
      <c r="G16" s="172" t="str">
        <f>IF(H16=0,"",IF(C16="Decommissioning",VLOOKUP(C16,Measures!$C$8:$BE$507,54,FALSE),VLOOKUP(C16,Measures!$K$8:$BE$507,46,FALSE)))</f>
        <v/>
      </c>
      <c r="H16" s="171">
        <f>IF(C16="Decommissioning",COUNTIF(Measures!$C$8:$C$507,C16),COUNTIF(Measures!$K$8:$K$507,C16))</f>
        <v>0</v>
      </c>
      <c r="I16" s="90"/>
    </row>
    <row r="17" spans="1:9" x14ac:dyDescent="0.3">
      <c r="A17" s="171" t="str">
        <f>IF(H17=0,"",COUNT($A$6:A16)+1)</f>
        <v/>
      </c>
      <c r="B17" s="140" t="s">
        <v>538</v>
      </c>
      <c r="C17" s="140" t="str">
        <v>Other - Sign</v>
      </c>
      <c r="D17" s="141">
        <f>IF(C17="Decommissioning",SUMIF(Measures!$C$8:$C$507,C17,Measures!$Z$8:$Z$507),SUMIF(Measures!$K$8:$K$507,C17,Measures!$Z$8:$Z$507))</f>
        <v>0</v>
      </c>
      <c r="E17" s="141">
        <f>IF(C17="Decommissioning",SUMIF(Measures!$C$8:$C$507,C17,Measures!$AR$8:AR$507),SUMIF(Measures!$K$8:$K$507,C17,Measures!$AR$8:$AR$507))</f>
        <v>0</v>
      </c>
      <c r="F17" s="139">
        <f>IF(C17="Decommissioning",SUMIF(Measures!$C$8:$C$507,C17,Measures!$AB$8:$AB$507),SUMIF(Measures!$K$8:$K$507,C17,Measures!$AB$8:$AB$507))</f>
        <v>0</v>
      </c>
      <c r="G17" s="172" t="str">
        <f>IF(H17=0,"",IF(C17="Decommissioning",VLOOKUP(C17,Measures!$C$8:$BE$507,54,FALSE),VLOOKUP(C17,Measures!$K$8:$BE$507,46,FALSE)))</f>
        <v/>
      </c>
      <c r="H17" s="171">
        <f>IF(C17="Decommissioning",COUNTIF(Measures!$C$8:$C$507,C17),COUNTIF(Measures!$K$8:$K$507,C17))</f>
        <v>0</v>
      </c>
      <c r="I17" s="90"/>
    </row>
    <row r="18" spans="1:9" x14ac:dyDescent="0.3">
      <c r="A18" s="171" t="str">
        <f>IF(H18=0,"",COUNT($A$6:A17)+1)</f>
        <v/>
      </c>
      <c r="B18" s="140" t="s">
        <v>539</v>
      </c>
      <c r="C18" s="140" t="s">
        <v>423</v>
      </c>
      <c r="D18" s="141">
        <f>IF(C18="Decommissioning",SUMIF(Measures!$C$8:$C$507,C18,Measures!$Z$8:$Z$507),SUMIF(Measures!$K$8:$K$507,C18,Measures!$Z$8:$Z$507))</f>
        <v>0</v>
      </c>
      <c r="E18" s="141">
        <f>IF(C18="Decommissioning",SUMIF(Measures!$C$8:$C$507,C18,Measures!$AR$8:AR$507),SUMIF(Measures!$K$8:$K$507,C18,Measures!$AR$8:$AR$507))</f>
        <v>0</v>
      </c>
      <c r="F18" s="139">
        <f>IF(C18="Decommissioning",SUMIF(Measures!$C$8:$C$507,C18,Measures!$AB$8:$AB$507),SUMIF(Measures!$K$8:$K$507,C18,Measures!$AB$8:$AB$507))</f>
        <v>0</v>
      </c>
      <c r="G18" s="172" t="str">
        <f>IF(H18=0,"",IF(C18="Decommissioning",VLOOKUP(C18,Measures!$C$8:$BE$507,54,FALSE),VLOOKUP(C18,Measures!$K$8:$BE$507,46,FALSE)))</f>
        <v/>
      </c>
      <c r="H18" s="171">
        <f>IF(C18="Decommissioning",COUNTIF(Measures!$C$8:$C$507,C18),COUNTIF(Measures!$K$8:$K$507,C18))</f>
        <v>0</v>
      </c>
      <c r="I18" s="90"/>
    </row>
    <row r="19" spans="1:9" x14ac:dyDescent="0.3">
      <c r="A19" s="171" t="str">
        <f>IF(H19=0,"",COUNT($A$6:A18)+1)</f>
        <v/>
      </c>
      <c r="B19" s="140" t="s">
        <v>112</v>
      </c>
      <c r="C19" s="140" t="str" cm="1">
        <f t="array" ref="C19:C22">ControlType</f>
        <v>Occupancy Sensor</v>
      </c>
      <c r="D19" s="141">
        <f>SUMIF(Measures!$R$8:$R$507,C19,Measures!$AC$8:$AC$507)</f>
        <v>0</v>
      </c>
      <c r="E19" s="141">
        <f>SUMIF(Measures!$R$8:$R$507,C19,Measures!$S$8:$S$507)</f>
        <v>0</v>
      </c>
      <c r="F19" s="139">
        <f>SUMIF(Measures!$R$8:$R$507,C19,Measures!$AE$8:$AE$507)</f>
        <v>0</v>
      </c>
      <c r="G19" s="172" t="str">
        <f>IF(H19=0,"",VLOOKUP(C19,Measures!$R$8:$BE$507,40,FALSE))</f>
        <v/>
      </c>
      <c r="H19" s="171">
        <f>COUNTIF(Measures!$R$8:$R$507,C19)</f>
        <v>0</v>
      </c>
      <c r="I19" s="90"/>
    </row>
    <row r="20" spans="1:9" x14ac:dyDescent="0.3">
      <c r="A20" s="171" t="str">
        <f>IF(H20=0,"",COUNT($A$6:A19)+1)</f>
        <v/>
      </c>
      <c r="B20" s="140" t="s">
        <v>112</v>
      </c>
      <c r="C20" s="140" t="str">
        <v>Networked Controls</v>
      </c>
      <c r="D20" s="141">
        <f>SUMIF(Measures!$R$8:$R$507,C20,Measures!$AC$8:$AC$507)</f>
        <v>0</v>
      </c>
      <c r="E20" s="141">
        <f>SUMIF(Measures!$R$8:$R$507,C20,Measures!$S$8:$S$507)</f>
        <v>0</v>
      </c>
      <c r="F20" s="139">
        <f>SUMIF(Measures!$R$8:$R$507,C20,Measures!$AE$8:$AE$507)</f>
        <v>0</v>
      </c>
      <c r="G20" s="172" t="str">
        <f>IF(H20=0,"",VLOOKUP(C20,Measures!$R$8:$BE$507,40,FALSE))</f>
        <v/>
      </c>
      <c r="H20" s="171">
        <f>COUNTIF(Measures!$R$8:$R$507,C20)</f>
        <v>0</v>
      </c>
      <c r="I20" s="90"/>
    </row>
    <row r="21" spans="1:9" x14ac:dyDescent="0.3">
      <c r="A21" s="171" t="str">
        <f>IF(H21=0,"",COUNT($A$6:A20)+1)</f>
        <v/>
      </c>
      <c r="B21" s="140" t="s">
        <v>112</v>
      </c>
      <c r="C21" s="140" t="str">
        <v>Multi-function</v>
      </c>
      <c r="D21" s="141">
        <f>SUMIF(Measures!$R$8:$R$507,C21,Measures!$AC$8:$AC$507)</f>
        <v>0</v>
      </c>
      <c r="E21" s="141">
        <f>SUMIF(Measures!$R$8:$R$507,C21,Measures!$S$8:$S$507)</f>
        <v>0</v>
      </c>
      <c r="F21" s="139">
        <f>SUMIF(Measures!$R$8:$R$507,C21,Measures!$AE$8:$AE$507)</f>
        <v>0</v>
      </c>
      <c r="G21" s="172" t="str">
        <f>IF(H21=0,"",VLOOKUP(C21,Measures!$R$8:$BE$507,40,FALSE))</f>
        <v/>
      </c>
      <c r="H21" s="171">
        <f>COUNTIF(Measures!$R$8:$R$507,C21)</f>
        <v>0</v>
      </c>
      <c r="I21" s="90"/>
    </row>
    <row r="22" spans="1:9" x14ac:dyDescent="0.3">
      <c r="A22" s="171" t="str">
        <f>IF(H22=0,"",COUNT($A$6:A21)+1)</f>
        <v/>
      </c>
      <c r="B22" s="140" t="s">
        <v>112</v>
      </c>
      <c r="C22" s="140" t="str">
        <v>No Controls</v>
      </c>
      <c r="D22" s="141">
        <f>SUMIF(Measures!$R$8:$R$507,C22,Measures!$AC$8:$AC$507)</f>
        <v>0</v>
      </c>
      <c r="E22" s="141">
        <f>SUMIF(Measures!$R$8:$R$507,C22,Measures!$S$8:$S$507)</f>
        <v>0</v>
      </c>
      <c r="F22" s="139">
        <f>SUMIF(Measures!$R$8:$R$507,C22,Measures!$AE$8:$AE$507)</f>
        <v>0</v>
      </c>
      <c r="G22" s="172" t="str">
        <f>IF(H22=0,"",VLOOKUP(C22,Measures!$R$8:$BE$507,40,FALSE))</f>
        <v/>
      </c>
      <c r="H22" s="171">
        <f>COUNTIF(Measures!$R$8:$R$507,C22)</f>
        <v>0</v>
      </c>
      <c r="I22" s="90"/>
    </row>
    <row r="23" spans="1:9" x14ac:dyDescent="0.3">
      <c r="A23" s="116">
        <f>MAX(A6:A22)</f>
        <v>0</v>
      </c>
      <c r="B23" s="14"/>
      <c r="C23" s="49" t="s">
        <v>540</v>
      </c>
      <c r="D23" s="117">
        <f t="shared" ref="D23:E23" si="0">SUM(D6:D22)</f>
        <v>0</v>
      </c>
      <c r="E23" s="117">
        <f t="shared" si="0"/>
        <v>0</v>
      </c>
      <c r="F23" s="118">
        <f>SUM(F6:F22)</f>
        <v>0</v>
      </c>
    </row>
    <row r="25" spans="1:9" x14ac:dyDescent="0.3">
      <c r="B25" s="119" t="s">
        <v>541</v>
      </c>
    </row>
    <row r="26" spans="1:9" ht="43.2" hidden="1" outlineLevel="1" x14ac:dyDescent="0.3">
      <c r="B26" s="178" t="s">
        <v>542</v>
      </c>
      <c r="C26" s="178" t="s">
        <v>543</v>
      </c>
    </row>
    <row r="27" spans="1:9" ht="129.6" hidden="1" outlineLevel="1" x14ac:dyDescent="0.3">
      <c r="B27" s="179" t="s">
        <v>535</v>
      </c>
      <c r="C27" s="179" t="s">
        <v>544</v>
      </c>
    </row>
    <row r="28" spans="1:9" ht="116.4" hidden="1" customHeight="1" outlineLevel="1" x14ac:dyDescent="0.3">
      <c r="B28" s="179" t="s">
        <v>286</v>
      </c>
      <c r="C28" s="179" t="s">
        <v>545</v>
      </c>
    </row>
    <row r="29" spans="1:9" ht="116.4" hidden="1" customHeight="1" outlineLevel="1" x14ac:dyDescent="0.3">
      <c r="B29" s="179" t="s">
        <v>287</v>
      </c>
      <c r="C29" s="179" t="s">
        <v>546</v>
      </c>
    </row>
    <row r="30" spans="1:9" ht="116.4" hidden="1" customHeight="1" outlineLevel="1" x14ac:dyDescent="0.3">
      <c r="B30" s="179" t="s">
        <v>547</v>
      </c>
      <c r="C30" s="179" t="s">
        <v>548</v>
      </c>
    </row>
    <row r="31" spans="1:9" ht="116.4" hidden="1" customHeight="1" outlineLevel="1" x14ac:dyDescent="0.3">
      <c r="B31" s="179" t="s">
        <v>549</v>
      </c>
      <c r="C31" s="179" t="s">
        <v>548</v>
      </c>
    </row>
    <row r="32" spans="1:9" ht="57.6" hidden="1" outlineLevel="1" x14ac:dyDescent="0.3">
      <c r="B32" s="179" t="s">
        <v>550</v>
      </c>
      <c r="C32" s="179" t="s">
        <v>548</v>
      </c>
    </row>
    <row r="33" spans="2:3" ht="115.2" hidden="1" outlineLevel="1" x14ac:dyDescent="0.3">
      <c r="B33" s="180" t="s">
        <v>551</v>
      </c>
      <c r="C33" s="179" t="s">
        <v>552</v>
      </c>
    </row>
    <row r="34" spans="2:3" ht="86.4" hidden="1" outlineLevel="1" x14ac:dyDescent="0.3">
      <c r="B34" s="179" t="s">
        <v>553</v>
      </c>
      <c r="C34" s="179" t="s">
        <v>554</v>
      </c>
    </row>
    <row r="35" spans="2:3" collapsed="1" x14ac:dyDescent="0.3"/>
  </sheetData>
  <pageMargins left="0.7" right="0.7" top="0.75" bottom="0.75" header="0.3" footer="0.3"/>
  <pageSetup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A494A-1B41-4202-9048-D1964B293275}">
  <sheetPr>
    <tabColor theme="5" tint="0.79998168889431442"/>
  </sheetPr>
  <dimension ref="A1:W6"/>
  <sheetViews>
    <sheetView workbookViewId="0">
      <pane ySplit="5" topLeftCell="A6" activePane="bottomLeft" state="frozen"/>
      <selection pane="bottomLeft" activeCell="A3" sqref="A3"/>
    </sheetView>
  </sheetViews>
  <sheetFormatPr defaultRowHeight="14.4" x14ac:dyDescent="0.3"/>
  <cols>
    <col min="1" max="1" width="36.88671875" customWidth="1"/>
    <col min="2" max="2" width="26.5546875" bestFit="1" customWidth="1"/>
    <col min="3" max="3" width="19.109375" bestFit="1" customWidth="1"/>
    <col min="4" max="4" width="22.6640625" bestFit="1" customWidth="1"/>
    <col min="5" max="5" width="16.5546875" bestFit="1" customWidth="1"/>
    <col min="6" max="6" width="19.6640625" bestFit="1" customWidth="1"/>
    <col min="7" max="7" width="26" bestFit="1" customWidth="1"/>
    <col min="8" max="8" width="28.6640625" bestFit="1" customWidth="1"/>
    <col min="9" max="9" width="26.6640625" bestFit="1" customWidth="1"/>
    <col min="10" max="10" width="25.109375" customWidth="1"/>
    <col min="11" max="11" width="28.6640625" bestFit="1" customWidth="1"/>
    <col min="12" max="12" width="15" bestFit="1" customWidth="1"/>
    <col min="13" max="13" width="33.5546875" customWidth="1"/>
    <col min="14" max="14" width="28" customWidth="1"/>
    <col min="15" max="15" width="16.109375" bestFit="1" customWidth="1"/>
    <col min="16" max="16" width="17.5546875" bestFit="1" customWidth="1"/>
    <col min="17" max="17" width="21.88671875" customWidth="1"/>
    <col min="18" max="18" width="26.88671875" bestFit="1" customWidth="1"/>
    <col min="19" max="19" width="27.88671875" bestFit="1" customWidth="1"/>
    <col min="20" max="20" width="27.6640625" bestFit="1" customWidth="1"/>
    <col min="21" max="21" width="24.109375" customWidth="1"/>
    <col min="22" max="22" width="22.6640625" bestFit="1" customWidth="1"/>
    <col min="23" max="23" width="23.44140625" bestFit="1" customWidth="1"/>
  </cols>
  <sheetData>
    <row r="1" spans="1:23" ht="21" x14ac:dyDescent="0.3">
      <c r="A1" s="110" t="s">
        <v>555</v>
      </c>
      <c r="N1" s="204" t="s">
        <v>533</v>
      </c>
    </row>
    <row r="2" spans="1:23" x14ac:dyDescent="0.3">
      <c r="A2" t="s">
        <v>556</v>
      </c>
    </row>
    <row r="4" spans="1:23" x14ac:dyDescent="0.3">
      <c r="A4" s="208" t="s">
        <v>160</v>
      </c>
      <c r="B4" s="1" t="s">
        <v>161</v>
      </c>
      <c r="H4" s="122"/>
      <c r="I4" s="209"/>
      <c r="J4" s="1" t="s">
        <v>557</v>
      </c>
      <c r="L4" s="209"/>
      <c r="M4" s="1" t="s">
        <v>174</v>
      </c>
      <c r="T4" s="209"/>
      <c r="U4" s="1" t="s">
        <v>176</v>
      </c>
      <c r="W4" s="209"/>
    </row>
    <row r="5" spans="1:23" x14ac:dyDescent="0.3">
      <c r="A5" s="209" t="s">
        <v>558</v>
      </c>
      <c r="B5" t="s">
        <v>559</v>
      </c>
      <c r="C5" t="s">
        <v>560</v>
      </c>
      <c r="D5" t="s">
        <v>561</v>
      </c>
      <c r="E5" t="s">
        <v>562</v>
      </c>
      <c r="F5" t="s">
        <v>563</v>
      </c>
      <c r="G5" t="s">
        <v>564</v>
      </c>
      <c r="H5" s="122" t="s">
        <v>565</v>
      </c>
      <c r="I5" s="209" t="s">
        <v>566</v>
      </c>
      <c r="J5" t="s">
        <v>567</v>
      </c>
      <c r="K5" t="s">
        <v>568</v>
      </c>
      <c r="L5" s="209" t="s">
        <v>569</v>
      </c>
      <c r="M5" s="122" t="s">
        <v>570</v>
      </c>
      <c r="N5" s="122" t="s">
        <v>571</v>
      </c>
      <c r="O5" s="122" t="s">
        <v>572</v>
      </c>
      <c r="P5" s="122" t="s">
        <v>573</v>
      </c>
      <c r="Q5" s="122" t="s">
        <v>574</v>
      </c>
      <c r="R5" s="122" t="s">
        <v>575</v>
      </c>
      <c r="S5" s="122" t="s">
        <v>576</v>
      </c>
      <c r="T5" s="209" t="s">
        <v>577</v>
      </c>
      <c r="U5" t="s">
        <v>578</v>
      </c>
      <c r="V5" s="122" t="s">
        <v>579</v>
      </c>
      <c r="W5" s="209" t="s">
        <v>580</v>
      </c>
    </row>
    <row r="6" spans="1:23" x14ac:dyDescent="0.3">
      <c r="A6" s="209">
        <f>Contacts!B3</f>
        <v>0</v>
      </c>
      <c r="B6">
        <f>Contacts!B6</f>
        <v>0</v>
      </c>
      <c r="C6">
        <f>Contacts!B7</f>
        <v>0</v>
      </c>
      <c r="D6">
        <f>Contacts!B8</f>
        <v>0</v>
      </c>
      <c r="E6">
        <f>Contacts!B9</f>
        <v>0</v>
      </c>
      <c r="F6" s="207">
        <f>Contacts!B10</f>
        <v>0</v>
      </c>
      <c r="G6">
        <f>Contacts!B12</f>
        <v>0</v>
      </c>
      <c r="H6" s="122">
        <f>Contacts!B13</f>
        <v>0</v>
      </c>
      <c r="I6" s="209">
        <f>Contacts!B14</f>
        <v>0</v>
      </c>
      <c r="J6">
        <f>Contacts!B17</f>
        <v>0</v>
      </c>
      <c r="K6">
        <f>Contacts!B18</f>
        <v>0</v>
      </c>
      <c r="L6" s="209">
        <f>Contacts!B19</f>
        <v>0</v>
      </c>
      <c r="M6">
        <f>Contacts!B23</f>
        <v>0</v>
      </c>
      <c r="N6">
        <f>Contacts!B24</f>
        <v>0</v>
      </c>
      <c r="O6">
        <f>Contacts!B25</f>
        <v>0</v>
      </c>
      <c r="P6">
        <f>Contacts!B26</f>
        <v>0</v>
      </c>
      <c r="Q6">
        <f>Contacts!B27</f>
        <v>0</v>
      </c>
      <c r="R6">
        <f>Contacts!B29</f>
        <v>0</v>
      </c>
      <c r="S6">
        <f>Contacts!B30</f>
        <v>0</v>
      </c>
      <c r="T6" s="209">
        <f>Contacts!B31</f>
        <v>0</v>
      </c>
      <c r="U6">
        <f>Contacts!B35</f>
        <v>0</v>
      </c>
      <c r="V6" t="str">
        <f>Contacts!B36</f>
        <v/>
      </c>
      <c r="W6" s="209" t="str">
        <f>Contacts!B37</f>
        <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A9ECFF-0D30-4E6A-89AD-F6FF27CE802D}">
  <sheetPr>
    <tabColor theme="5" tint="0.79998168889431442"/>
  </sheetPr>
  <dimension ref="A1:H6"/>
  <sheetViews>
    <sheetView workbookViewId="0">
      <pane ySplit="5" topLeftCell="A6" activePane="bottomLeft" state="frozen"/>
      <selection pane="bottomLeft" activeCell="A3" sqref="A3"/>
    </sheetView>
  </sheetViews>
  <sheetFormatPr defaultRowHeight="14.4" x14ac:dyDescent="0.3"/>
  <cols>
    <col min="1" max="1" width="27.33203125" customWidth="1"/>
    <col min="2" max="2" width="28.33203125" customWidth="1"/>
    <col min="3" max="3" width="22.6640625" bestFit="1" customWidth="1"/>
    <col min="4" max="4" width="12.33203125" customWidth="1"/>
    <col min="5" max="5" width="13.6640625" bestFit="1" customWidth="1"/>
    <col min="6" max="6" width="25.33203125" customWidth="1"/>
    <col min="7" max="7" width="21.88671875" bestFit="1" customWidth="1"/>
    <col min="8" max="8" width="44.109375" customWidth="1"/>
  </cols>
  <sheetData>
    <row r="1" spans="1:8" ht="21" x14ac:dyDescent="0.3">
      <c r="A1" s="110" t="s">
        <v>581</v>
      </c>
      <c r="C1" s="204" t="s">
        <v>533</v>
      </c>
    </row>
    <row r="2" spans="1:8" x14ac:dyDescent="0.3">
      <c r="A2" t="s">
        <v>582</v>
      </c>
    </row>
    <row r="4" spans="1:8" x14ac:dyDescent="0.3">
      <c r="A4" s="1" t="s">
        <v>180</v>
      </c>
      <c r="G4" s="209"/>
      <c r="H4" s="1" t="s">
        <v>269</v>
      </c>
    </row>
    <row r="5" spans="1:8" x14ac:dyDescent="0.3">
      <c r="A5" t="s">
        <v>583</v>
      </c>
      <c r="B5" t="s">
        <v>584</v>
      </c>
      <c r="C5" t="s">
        <v>585</v>
      </c>
      <c r="D5" t="s">
        <v>586</v>
      </c>
      <c r="E5" t="s">
        <v>587</v>
      </c>
      <c r="F5" t="s">
        <v>588</v>
      </c>
      <c r="G5" s="209" t="s">
        <v>589</v>
      </c>
      <c r="H5" t="s">
        <v>590</v>
      </c>
    </row>
    <row r="6" spans="1:8" x14ac:dyDescent="0.3">
      <c r="A6">
        <f>Site!B6</f>
        <v>0</v>
      </c>
      <c r="B6">
        <f>Site!B7</f>
        <v>0</v>
      </c>
      <c r="C6">
        <f>Site!B8</f>
        <v>0</v>
      </c>
      <c r="D6">
        <f>Site!B9</f>
        <v>0</v>
      </c>
      <c r="E6" s="207">
        <f>Site!B10</f>
        <v>0</v>
      </c>
      <c r="F6">
        <f>BuildingTypeField</f>
        <v>0</v>
      </c>
      <c r="G6" s="209">
        <f>RateClassField</f>
        <v>0</v>
      </c>
      <c r="H6">
        <f>Site!B18</f>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D7E8DC-8D17-4243-A61D-C16041839E10}">
  <sheetPr>
    <tabColor theme="5" tint="0.79998168889431442"/>
  </sheetPr>
  <dimension ref="A1:AA6"/>
  <sheetViews>
    <sheetView workbookViewId="0">
      <pane ySplit="5" topLeftCell="A6" activePane="bottomLeft" state="frozen"/>
      <selection pane="bottomLeft" activeCell="A3" sqref="A3"/>
    </sheetView>
  </sheetViews>
  <sheetFormatPr defaultRowHeight="14.4" x14ac:dyDescent="0.3"/>
  <cols>
    <col min="1" max="27" width="13.6640625" customWidth="1"/>
  </cols>
  <sheetData>
    <row r="1" spans="1:27" ht="21" x14ac:dyDescent="0.3">
      <c r="A1" s="110" t="s">
        <v>591</v>
      </c>
      <c r="E1" s="204" t="s">
        <v>533</v>
      </c>
    </row>
    <row r="2" spans="1:27" x14ac:dyDescent="0.3">
      <c r="A2" t="s">
        <v>592</v>
      </c>
    </row>
    <row r="4" spans="1:27" s="1" customFormat="1" x14ac:dyDescent="0.3">
      <c r="A4" s="185" t="s">
        <v>440</v>
      </c>
      <c r="B4" s="185"/>
      <c r="C4" s="185"/>
      <c r="D4" s="186"/>
      <c r="E4" s="185" t="s">
        <v>449</v>
      </c>
      <c r="F4" s="186"/>
      <c r="G4" s="185" t="s">
        <v>441</v>
      </c>
      <c r="H4" s="185"/>
      <c r="I4" s="185"/>
      <c r="J4" s="186"/>
      <c r="K4" s="185" t="s">
        <v>593</v>
      </c>
      <c r="L4" s="186"/>
      <c r="M4" s="185" t="s">
        <v>594</v>
      </c>
      <c r="N4" s="185"/>
      <c r="O4" s="185"/>
      <c r="P4" s="185"/>
    </row>
    <row r="5" spans="1:27" s="16" customFormat="1" ht="115.2" x14ac:dyDescent="0.3">
      <c r="A5" s="216" t="s">
        <v>595</v>
      </c>
      <c r="B5" s="216" t="s">
        <v>596</v>
      </c>
      <c r="C5" s="216" t="s">
        <v>597</v>
      </c>
      <c r="D5" s="217" t="s">
        <v>598</v>
      </c>
      <c r="E5" s="216" t="s">
        <v>599</v>
      </c>
      <c r="F5" s="217" t="s">
        <v>600</v>
      </c>
      <c r="G5" s="216" t="s">
        <v>601</v>
      </c>
      <c r="H5" s="216" t="s">
        <v>602</v>
      </c>
      <c r="I5" s="216" t="s">
        <v>603</v>
      </c>
      <c r="J5" s="217" t="s">
        <v>604</v>
      </c>
      <c r="K5" s="216" t="s">
        <v>605</v>
      </c>
      <c r="L5" s="217" t="s">
        <v>606</v>
      </c>
      <c r="M5" s="216" t="s">
        <v>607</v>
      </c>
      <c r="N5" s="216" t="s">
        <v>1253</v>
      </c>
      <c r="O5" s="216" t="s">
        <v>608</v>
      </c>
      <c r="P5" s="128" t="s">
        <v>1254</v>
      </c>
      <c r="Q5" s="128" t="s">
        <v>1255</v>
      </c>
      <c r="R5" s="128" t="s">
        <v>1256</v>
      </c>
      <c r="S5" s="128" t="s">
        <v>1259</v>
      </c>
      <c r="T5" s="128" t="s">
        <v>1257</v>
      </c>
      <c r="U5" s="128" t="s">
        <v>1258</v>
      </c>
      <c r="V5" s="128" t="s">
        <v>1260</v>
      </c>
      <c r="W5" s="128" t="s">
        <v>1261</v>
      </c>
      <c r="X5" s="128" t="s">
        <v>1262</v>
      </c>
      <c r="Y5" s="128" t="s">
        <v>1263</v>
      </c>
      <c r="Z5" s="128" t="s">
        <v>1264</v>
      </c>
      <c r="AA5" s="128" t="s">
        <v>1265</v>
      </c>
    </row>
    <row r="6" spans="1:27" x14ac:dyDescent="0.3">
      <c r="A6" s="6">
        <f>'Project Summary'!B15</f>
        <v>0</v>
      </c>
      <c r="B6" s="6">
        <f>'Project Summary'!B16</f>
        <v>0</v>
      </c>
      <c r="C6" s="6">
        <f>'Project Summary'!B17</f>
        <v>0</v>
      </c>
      <c r="D6" s="187">
        <f>'Project Summary'!B18</f>
        <v>0</v>
      </c>
      <c r="E6" s="54">
        <f>'Project Summary'!B21</f>
        <v>0</v>
      </c>
      <c r="F6" s="187">
        <f>'Project Summary'!B22</f>
        <v>0</v>
      </c>
      <c r="G6" s="6">
        <f>'Project Summary'!E15</f>
        <v>0</v>
      </c>
      <c r="H6" s="6">
        <f>'Project Summary'!E16</f>
        <v>0</v>
      </c>
      <c r="I6">
        <f>'Project Summary'!E17</f>
        <v>0</v>
      </c>
      <c r="J6" s="188">
        <f>'Project Summary'!E18</f>
        <v>0</v>
      </c>
      <c r="K6" s="6">
        <f>'Project Summary'!B39</f>
        <v>0</v>
      </c>
      <c r="L6" s="189">
        <f>'Project Summary'!B40</f>
        <v>0</v>
      </c>
      <c r="M6" s="2" t="str">
        <f>'Project Summary'!B41</f>
        <v/>
      </c>
      <c r="N6" t="str">
        <f>'Project Summary'!B30</f>
        <v/>
      </c>
      <c r="O6" s="2">
        <f>'Project Summary'!B31</f>
        <v>0.03</v>
      </c>
      <c r="P6" t="str">
        <f>'Project Summary'!B42</f>
        <v/>
      </c>
      <c r="Q6" s="54">
        <f>'Project Summary'!E34</f>
        <v>0</v>
      </c>
      <c r="R6" s="54">
        <f>'Project Summary'!E35</f>
        <v>0</v>
      </c>
      <c r="S6" s="54">
        <f>'Project Summary'!E36</f>
        <v>0</v>
      </c>
      <c r="T6" s="54">
        <f>'Project Summary'!E37</f>
        <v>0</v>
      </c>
      <c r="U6" s="54">
        <f>'Project Summary'!E38</f>
        <v>0</v>
      </c>
      <c r="V6">
        <f>'Project Summary'!B34</f>
        <v>0</v>
      </c>
      <c r="W6">
        <f>'Project Summary'!B35</f>
        <v>0</v>
      </c>
      <c r="X6">
        <f>'Project Summary'!B36</f>
        <v>0</v>
      </c>
      <c r="Y6">
        <f>'Project Summary'!B37</f>
        <v>0</v>
      </c>
      <c r="Z6">
        <f>'Project Summary'!B38</f>
        <v>0</v>
      </c>
      <c r="AA6">
        <f>'Project Summary'!B39</f>
        <v>0</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17BB6-5B27-4B27-9AD5-4EE73C67F01D}">
  <dimension ref="A1:F11"/>
  <sheetViews>
    <sheetView showGridLines="0" workbookViewId="0">
      <selection activeCell="A3" sqref="A3"/>
    </sheetView>
  </sheetViews>
  <sheetFormatPr defaultRowHeight="14.4" outlineLevelRow="1" x14ac:dyDescent="0.3"/>
  <cols>
    <col min="1" max="1" width="18.6640625" customWidth="1"/>
    <col min="2" max="2" width="16.5546875" style="6" bestFit="1" customWidth="1"/>
    <col min="3" max="3" width="16.5546875" bestFit="1" customWidth="1"/>
    <col min="4" max="5" width="15" bestFit="1" customWidth="1"/>
    <col min="6" max="6" width="23.5546875" customWidth="1"/>
    <col min="7" max="7" width="35.44140625" customWidth="1"/>
  </cols>
  <sheetData>
    <row r="1" spans="1:6" ht="21" x14ac:dyDescent="0.4">
      <c r="A1" s="283" t="s">
        <v>609</v>
      </c>
    </row>
    <row r="2" spans="1:6" hidden="1" outlineLevel="1" x14ac:dyDescent="0.3">
      <c r="A2" s="326" t="s">
        <v>610</v>
      </c>
    </row>
    <row r="3" spans="1:6" collapsed="1" x14ac:dyDescent="0.3"/>
    <row r="4" spans="1:6" ht="43.2" x14ac:dyDescent="0.3">
      <c r="A4" s="1" t="s">
        <v>611</v>
      </c>
      <c r="B4" s="1" t="s">
        <v>612</v>
      </c>
      <c r="C4" s="1" t="s">
        <v>613</v>
      </c>
      <c r="D4" s="220" t="s">
        <v>614</v>
      </c>
      <c r="E4" s="1" t="s">
        <v>615</v>
      </c>
      <c r="F4" s="7" t="s">
        <v>616</v>
      </c>
    </row>
    <row r="5" spans="1:6" x14ac:dyDescent="0.3">
      <c r="A5" t="s">
        <v>617</v>
      </c>
      <c r="B5" t="s">
        <v>618</v>
      </c>
      <c r="C5" t="s">
        <v>619</v>
      </c>
      <c r="D5" s="6">
        <v>2</v>
      </c>
      <c r="E5" t="s">
        <v>620</v>
      </c>
      <c r="F5" s="2"/>
    </row>
    <row r="6" spans="1:6" x14ac:dyDescent="0.3">
      <c r="A6" t="s">
        <v>617</v>
      </c>
      <c r="B6" t="s">
        <v>618</v>
      </c>
      <c r="C6" t="s">
        <v>621</v>
      </c>
      <c r="D6" s="6">
        <v>20</v>
      </c>
      <c r="E6" t="s">
        <v>622</v>
      </c>
      <c r="F6" s="2"/>
    </row>
    <row r="7" spans="1:6" x14ac:dyDescent="0.3">
      <c r="A7" t="s">
        <v>623</v>
      </c>
      <c r="B7" t="s">
        <v>400</v>
      </c>
      <c r="C7" t="s">
        <v>624</v>
      </c>
      <c r="D7" s="6">
        <v>0.19</v>
      </c>
      <c r="E7" t="s">
        <v>625</v>
      </c>
      <c r="F7" s="2">
        <v>1</v>
      </c>
    </row>
    <row r="8" spans="1:6" x14ac:dyDescent="0.3">
      <c r="A8" t="s">
        <v>626</v>
      </c>
      <c r="B8" t="s">
        <v>400</v>
      </c>
      <c r="C8" t="s">
        <v>627</v>
      </c>
      <c r="D8" s="6">
        <v>0.17</v>
      </c>
      <c r="E8" t="s">
        <v>625</v>
      </c>
      <c r="F8" s="2">
        <v>0.6</v>
      </c>
    </row>
    <row r="9" spans="1:6" x14ac:dyDescent="0.3">
      <c r="A9" t="s">
        <v>189</v>
      </c>
      <c r="B9" t="s">
        <v>400</v>
      </c>
      <c r="C9" t="s">
        <v>628</v>
      </c>
      <c r="D9" s="6">
        <v>0.17</v>
      </c>
      <c r="E9" t="s">
        <v>625</v>
      </c>
      <c r="F9" s="2">
        <v>0.6</v>
      </c>
    </row>
    <row r="11" spans="1:6" x14ac:dyDescent="0.3">
      <c r="A11" s="50" t="s">
        <v>629</v>
      </c>
    </row>
  </sheetData>
  <sheetProtection algorithmName="SHA-512" hashValue="CP+eNiiPL8/Li47i8o2TRe5/hTY6jxshH132lf+oJJu5Myt9rXk3agPMqTQxcoxFM1+AVefqwjtaohxrOUozAg==" saltValue="ySR2Xs3BRjGS43DhyJ/6+g==" spinCount="100000" sheet="1" objects="1" scenarios="1"/>
  <pageMargins left="0.45" right="0.45" top="0.75" bottom="0.75" header="0.3" footer="0.3"/>
  <pageSetup orientation="landscape" r:id="rId1"/>
  <headerFooter>
    <oddHeader>&amp;C&amp;14Tacoma Power's Bright Rebates Lighting Application</oddHeader>
    <oddFooter>&amp;L&amp;9&amp;A&amp;C&amp;P of &amp;N&amp;R&amp;9Printed on &amp;D</oddFooter>
  </headerFooter>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2A8F9-F4B5-446A-9A83-A439681B377E}">
  <dimension ref="A1:D12"/>
  <sheetViews>
    <sheetView showGridLines="0" workbookViewId="0">
      <selection activeCell="A3" sqref="A3"/>
    </sheetView>
  </sheetViews>
  <sheetFormatPr defaultRowHeight="14.4" outlineLevelRow="1" x14ac:dyDescent="0.3"/>
  <cols>
    <col min="1" max="1" width="17.33203125" customWidth="1"/>
    <col min="2" max="2" width="13.33203125" customWidth="1"/>
    <col min="3" max="3" width="16.88671875" bestFit="1" customWidth="1"/>
    <col min="4" max="4" width="35.33203125" bestFit="1" customWidth="1"/>
  </cols>
  <sheetData>
    <row r="1" spans="1:4" ht="21" x14ac:dyDescent="0.4">
      <c r="A1" s="203" t="s">
        <v>630</v>
      </c>
    </row>
    <row r="2" spans="1:4" hidden="1" outlineLevel="1" x14ac:dyDescent="0.3">
      <c r="A2" s="326" t="s">
        <v>631</v>
      </c>
    </row>
    <row r="3" spans="1:4" collapsed="1" x14ac:dyDescent="0.3"/>
    <row r="4" spans="1:4" x14ac:dyDescent="0.3">
      <c r="A4" t="s">
        <v>188</v>
      </c>
      <c r="B4" t="s">
        <v>632</v>
      </c>
      <c r="C4" t="s">
        <v>633</v>
      </c>
      <c r="D4" t="s">
        <v>269</v>
      </c>
    </row>
    <row r="5" spans="1:4" x14ac:dyDescent="0.3">
      <c r="A5" t="s">
        <v>623</v>
      </c>
      <c r="B5" s="104">
        <v>4.4616000000000003E-2</v>
      </c>
      <c r="C5" s="104" t="s">
        <v>634</v>
      </c>
      <c r="D5" s="104" t="s">
        <v>635</v>
      </c>
    </row>
    <row r="6" spans="1:4" x14ac:dyDescent="0.3">
      <c r="A6" t="s">
        <v>626</v>
      </c>
      <c r="B6" s="104">
        <v>5.8014000000000003E-2</v>
      </c>
      <c r="C6" s="104" t="s">
        <v>634</v>
      </c>
      <c r="D6" s="104" t="s">
        <v>635</v>
      </c>
    </row>
    <row r="7" spans="1:4" x14ac:dyDescent="0.3">
      <c r="A7" t="s">
        <v>189</v>
      </c>
      <c r="B7" s="104">
        <v>4.5728999999999999E-2</v>
      </c>
      <c r="C7" s="104" t="s">
        <v>634</v>
      </c>
      <c r="D7" s="104" t="s">
        <v>635</v>
      </c>
    </row>
    <row r="9" spans="1:4" x14ac:dyDescent="0.3">
      <c r="A9" s="50" t="s">
        <v>636</v>
      </c>
    </row>
    <row r="12" spans="1:4" x14ac:dyDescent="0.3">
      <c r="C12" s="103"/>
    </row>
  </sheetData>
  <sheetProtection algorithmName="SHA-512" hashValue="9S6uXuvBkyovShqDgW0Vq7oh9CfRXAHp+baOOng2fU/vc4M8jz8n2te8DI3q7Wz0eyUffP6MBCZf89mJaj05kA==" saltValue="YZcclWdKDgUREAkdC4CYGQ==" spinCount="100000" sheet="1" objects="1" scenarios="1"/>
  <pageMargins left="0.45" right="0.45" top="0.75" bottom="0.75" header="0.3" footer="0.3"/>
  <pageSetup orientation="landscape" r:id="rId1"/>
  <headerFooter>
    <oddHeader>&amp;C&amp;14Tacoma Power's Bright Rebates Lighting Application</oddHeader>
    <oddFooter>&amp;L&amp;9&amp;A&amp;C&amp;P of &amp;N&amp;R&amp;9Printed on &amp;D</oddFooter>
  </headerFooter>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78D2B-D644-4E2B-9FE7-140A77AE0E2B}">
  <dimension ref="A1:B29"/>
  <sheetViews>
    <sheetView showGridLines="0" workbookViewId="0">
      <pane ySplit="4" topLeftCell="A5" activePane="bottomLeft" state="frozen"/>
      <selection pane="bottomLeft" activeCell="A3" sqref="A3"/>
    </sheetView>
  </sheetViews>
  <sheetFormatPr defaultRowHeight="14.4" x14ac:dyDescent="0.3"/>
  <cols>
    <col min="1" max="1" width="12.6640625" customWidth="1"/>
    <col min="2" max="2" width="20" bestFit="1" customWidth="1"/>
  </cols>
  <sheetData>
    <row r="1" spans="1:2" ht="21" x14ac:dyDescent="0.4">
      <c r="A1" s="283" t="s">
        <v>143</v>
      </c>
    </row>
    <row r="2" spans="1:2" x14ac:dyDescent="0.3">
      <c r="A2" t="s">
        <v>637</v>
      </c>
    </row>
    <row r="4" spans="1:2" x14ac:dyDescent="0.3">
      <c r="A4" s="47" t="s">
        <v>638</v>
      </c>
      <c r="B4" s="47" t="s">
        <v>639</v>
      </c>
    </row>
    <row r="5" spans="1:2" x14ac:dyDescent="0.3">
      <c r="A5" t="s">
        <v>640</v>
      </c>
      <c r="B5" t="s">
        <v>641</v>
      </c>
    </row>
    <row r="6" spans="1:2" x14ac:dyDescent="0.3">
      <c r="A6" t="s">
        <v>642</v>
      </c>
      <c r="B6" t="s">
        <v>643</v>
      </c>
    </row>
    <row r="7" spans="1:2" x14ac:dyDescent="0.3">
      <c r="A7" t="s">
        <v>413</v>
      </c>
      <c r="B7" t="s">
        <v>644</v>
      </c>
    </row>
    <row r="8" spans="1:2" x14ac:dyDescent="0.3">
      <c r="A8" t="s">
        <v>645</v>
      </c>
      <c r="B8" t="s">
        <v>646</v>
      </c>
    </row>
    <row r="9" spans="1:2" x14ac:dyDescent="0.3">
      <c r="A9" t="s">
        <v>647</v>
      </c>
      <c r="B9" t="s">
        <v>648</v>
      </c>
    </row>
    <row r="10" spans="1:2" x14ac:dyDescent="0.3">
      <c r="A10" t="s">
        <v>649</v>
      </c>
      <c r="B10" t="s">
        <v>650</v>
      </c>
    </row>
    <row r="11" spans="1:2" x14ac:dyDescent="0.3">
      <c r="A11" t="s">
        <v>651</v>
      </c>
      <c r="B11" t="s">
        <v>652</v>
      </c>
    </row>
    <row r="12" spans="1:2" x14ac:dyDescent="0.3">
      <c r="A12" t="s">
        <v>653</v>
      </c>
      <c r="B12" t="s">
        <v>654</v>
      </c>
    </row>
    <row r="13" spans="1:2" x14ac:dyDescent="0.3">
      <c r="A13" t="s">
        <v>418</v>
      </c>
      <c r="B13" t="s">
        <v>655</v>
      </c>
    </row>
    <row r="14" spans="1:2" x14ac:dyDescent="0.3">
      <c r="A14" t="s">
        <v>656</v>
      </c>
      <c r="B14" t="s">
        <v>657</v>
      </c>
    </row>
    <row r="15" spans="1:2" x14ac:dyDescent="0.3">
      <c r="A15" t="s">
        <v>658</v>
      </c>
      <c r="B15" t="s">
        <v>659</v>
      </c>
    </row>
    <row r="16" spans="1:2" x14ac:dyDescent="0.3">
      <c r="A16" t="s">
        <v>419</v>
      </c>
      <c r="B16" t="s">
        <v>660</v>
      </c>
    </row>
    <row r="17" spans="1:2" x14ac:dyDescent="0.3">
      <c r="A17" t="s">
        <v>398</v>
      </c>
      <c r="B17" t="s">
        <v>661</v>
      </c>
    </row>
    <row r="18" spans="1:2" x14ac:dyDescent="0.3">
      <c r="A18" t="s">
        <v>662</v>
      </c>
      <c r="B18" t="s">
        <v>663</v>
      </c>
    </row>
    <row r="19" spans="1:2" x14ac:dyDescent="0.3">
      <c r="A19" t="s">
        <v>664</v>
      </c>
      <c r="B19" t="s">
        <v>665</v>
      </c>
    </row>
    <row r="20" spans="1:2" x14ac:dyDescent="0.3">
      <c r="A20" t="s">
        <v>666</v>
      </c>
      <c r="B20" t="s">
        <v>667</v>
      </c>
    </row>
    <row r="21" spans="1:2" x14ac:dyDescent="0.3">
      <c r="A21" t="s">
        <v>668</v>
      </c>
      <c r="B21" t="s">
        <v>669</v>
      </c>
    </row>
    <row r="22" spans="1:2" x14ac:dyDescent="0.3">
      <c r="A22" t="s">
        <v>670</v>
      </c>
      <c r="B22" t="s">
        <v>671</v>
      </c>
    </row>
    <row r="23" spans="1:2" x14ac:dyDescent="0.3">
      <c r="A23" t="s">
        <v>672</v>
      </c>
      <c r="B23" t="s">
        <v>673</v>
      </c>
    </row>
    <row r="24" spans="1:2" x14ac:dyDescent="0.3">
      <c r="A24" t="s">
        <v>674</v>
      </c>
      <c r="B24" t="s">
        <v>675</v>
      </c>
    </row>
    <row r="25" spans="1:2" x14ac:dyDescent="0.3">
      <c r="A25" t="s">
        <v>676</v>
      </c>
      <c r="B25" t="s">
        <v>677</v>
      </c>
    </row>
    <row r="26" spans="1:2" x14ac:dyDescent="0.3">
      <c r="A26" t="s">
        <v>678</v>
      </c>
      <c r="B26" t="s">
        <v>679</v>
      </c>
    </row>
    <row r="27" spans="1:2" x14ac:dyDescent="0.3">
      <c r="A27" t="s">
        <v>680</v>
      </c>
      <c r="B27" t="s">
        <v>681</v>
      </c>
    </row>
    <row r="28" spans="1:2" x14ac:dyDescent="0.3">
      <c r="A28" t="s">
        <v>682</v>
      </c>
      <c r="B28" t="s">
        <v>683</v>
      </c>
    </row>
    <row r="29" spans="1:2" x14ac:dyDescent="0.3">
      <c r="A29" t="s">
        <v>684</v>
      </c>
      <c r="B29" t="s">
        <v>685</v>
      </c>
    </row>
  </sheetData>
  <sheetProtection algorithmName="SHA-512" hashValue="DG2aHuYJr6JaA8I6qtJ2L/nWltE2Huvd8hjnKB++uvQVsv3I3OKaJQGkt4vM7W1QooKxX/IVgM0nqmfhT43sUQ==" saltValue="3DIjb5rO8JxRElrjqn4lQQ==" spinCount="100000" sheet="1" objects="1" scenarios="1"/>
  <pageMargins left="0.45" right="0.45" top="0.75" bottom="0.75" header="0.3" footer="0.3"/>
  <pageSetup orientation="portrait" r:id="rId1"/>
  <headerFooter>
    <oddHeader>&amp;C&amp;14Tacoma Power's Bright Rebates Lighting Application</oddHeader>
    <oddFooter>&amp;L&amp;9&amp;A&amp;C&amp;P of &amp;N&amp;R&amp;9Printed on &amp;D</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2E4C16-95E9-4B5E-B095-8E4AA0A305D2}">
  <dimension ref="A1:J213"/>
  <sheetViews>
    <sheetView showGridLines="0" zoomScaleNormal="100" workbookViewId="0">
      <pane ySplit="1" topLeftCell="A2" activePane="bottomLeft" state="frozen"/>
      <selection pane="bottomLeft" activeCell="B2" sqref="B2"/>
    </sheetView>
  </sheetViews>
  <sheetFormatPr defaultColWidth="8.88671875" defaultRowHeight="14.4" outlineLevelRow="1" x14ac:dyDescent="0.3"/>
  <cols>
    <col min="1" max="1" width="94.5546875" style="14" customWidth="1"/>
    <col min="2" max="2" width="23.33203125" style="14" bestFit="1" customWidth="1"/>
    <col min="3" max="3" width="5.88671875" style="14" bestFit="1" customWidth="1"/>
    <col min="4" max="4" width="8.33203125" style="14" bestFit="1" customWidth="1"/>
    <col min="5" max="5" width="4" style="14" bestFit="1" customWidth="1"/>
    <col min="6" max="6" width="6.5546875" style="14" bestFit="1" customWidth="1"/>
    <col min="7" max="7" width="8.88671875" style="14" bestFit="1" customWidth="1"/>
    <col min="8" max="8" width="9.88671875" style="14" bestFit="1" customWidth="1"/>
    <col min="9" max="9" width="12.109375" style="14" bestFit="1" customWidth="1"/>
    <col min="10" max="10" width="11.6640625" style="14" bestFit="1" customWidth="1"/>
    <col min="11" max="16384" width="8.88671875" style="14"/>
  </cols>
  <sheetData>
    <row r="1" spans="1:10" s="53" customFormat="1" ht="21" x14ac:dyDescent="0.4">
      <c r="A1" s="113" t="s">
        <v>13</v>
      </c>
      <c r="B1" s="328" t="s">
        <v>14</v>
      </c>
      <c r="C1" s="374" t="s">
        <v>15</v>
      </c>
      <c r="D1" s="329" t="s">
        <v>16</v>
      </c>
      <c r="E1" s="329" t="s">
        <v>17</v>
      </c>
      <c r="F1" s="329" t="s">
        <v>18</v>
      </c>
      <c r="G1" s="329" t="s">
        <v>19</v>
      </c>
      <c r="H1" s="329" t="s">
        <v>20</v>
      </c>
      <c r="I1" s="374" t="s">
        <v>21</v>
      </c>
      <c r="J1" s="374" t="s">
        <v>22</v>
      </c>
    </row>
    <row r="2" spans="1:10" x14ac:dyDescent="0.3">
      <c r="A2" s="145"/>
    </row>
    <row r="3" spans="1:10" ht="18" x14ac:dyDescent="0.3">
      <c r="A3" s="470" t="s">
        <v>23</v>
      </c>
    </row>
    <row r="4" spans="1:10" x14ac:dyDescent="0.3">
      <c r="A4" s="145" t="s">
        <v>24</v>
      </c>
    </row>
    <row r="5" spans="1:10" x14ac:dyDescent="0.3">
      <c r="A5" s="462" t="s">
        <v>25</v>
      </c>
    </row>
    <row r="6" spans="1:10" x14ac:dyDescent="0.3">
      <c r="A6" s="145"/>
    </row>
    <row r="7" spans="1:10" x14ac:dyDescent="0.3">
      <c r="A7" s="145" t="s">
        <v>26</v>
      </c>
    </row>
    <row r="8" spans="1:10" x14ac:dyDescent="0.3">
      <c r="A8" s="391" t="s">
        <v>27</v>
      </c>
    </row>
    <row r="9" spans="1:10" x14ac:dyDescent="0.3">
      <c r="A9" s="391" t="s">
        <v>28</v>
      </c>
    </row>
    <row r="10" spans="1:10" x14ac:dyDescent="0.3">
      <c r="A10" s="145"/>
    </row>
    <row r="11" spans="1:10" x14ac:dyDescent="0.3">
      <c r="A11" s="145" t="s">
        <v>29</v>
      </c>
    </row>
    <row r="12" spans="1:10" x14ac:dyDescent="0.3">
      <c r="A12" s="145"/>
    </row>
    <row r="13" spans="1:10" ht="28.8" x14ac:dyDescent="0.3">
      <c r="A13" s="145" t="s">
        <v>30</v>
      </c>
    </row>
    <row r="14" spans="1:10" x14ac:dyDescent="0.3">
      <c r="A14" s="145"/>
    </row>
    <row r="15" spans="1:10" ht="28.8" x14ac:dyDescent="0.3">
      <c r="A15" s="145" t="s">
        <v>31</v>
      </c>
    </row>
    <row r="16" spans="1:10" x14ac:dyDescent="0.3">
      <c r="A16" s="145"/>
    </row>
    <row r="17" spans="1:1" ht="28.8" x14ac:dyDescent="0.3">
      <c r="A17" s="145" t="s">
        <v>32</v>
      </c>
    </row>
    <row r="18" spans="1:1" x14ac:dyDescent="0.3">
      <c r="A18" s="145"/>
    </row>
    <row r="19" spans="1:1" x14ac:dyDescent="0.3">
      <c r="A19" s="145"/>
    </row>
    <row r="20" spans="1:1" ht="18" x14ac:dyDescent="0.3">
      <c r="A20" s="470" t="s">
        <v>33</v>
      </c>
    </row>
    <row r="21" spans="1:1" x14ac:dyDescent="0.3">
      <c r="A21" s="145" t="s">
        <v>34</v>
      </c>
    </row>
    <row r="22" spans="1:1" x14ac:dyDescent="0.3">
      <c r="A22" s="391" t="s">
        <v>35</v>
      </c>
    </row>
    <row r="23" spans="1:1" ht="28.8" x14ac:dyDescent="0.3">
      <c r="A23" s="391" t="s">
        <v>36</v>
      </c>
    </row>
    <row r="24" spans="1:1" ht="28.8" x14ac:dyDescent="0.3">
      <c r="A24" s="391" t="s">
        <v>37</v>
      </c>
    </row>
    <row r="25" spans="1:1" x14ac:dyDescent="0.3">
      <c r="A25" s="145"/>
    </row>
    <row r="26" spans="1:1" x14ac:dyDescent="0.3">
      <c r="A26" s="145" t="s">
        <v>38</v>
      </c>
    </row>
    <row r="27" spans="1:1" x14ac:dyDescent="0.3">
      <c r="A27" s="145"/>
    </row>
    <row r="28" spans="1:1" x14ac:dyDescent="0.3">
      <c r="A28" s="145" t="s">
        <v>39</v>
      </c>
    </row>
    <row r="29" spans="1:1" x14ac:dyDescent="0.3">
      <c r="A29" s="391" t="s">
        <v>40</v>
      </c>
    </row>
    <row r="30" spans="1:1" x14ac:dyDescent="0.3">
      <c r="A30" s="145"/>
    </row>
    <row r="31" spans="1:1" ht="28.8" x14ac:dyDescent="0.3">
      <c r="A31" s="145" t="s">
        <v>41</v>
      </c>
    </row>
    <row r="32" spans="1:1" x14ac:dyDescent="0.3">
      <c r="A32" s="145"/>
    </row>
    <row r="33" spans="1:1" ht="28.8" x14ac:dyDescent="0.3">
      <c r="A33" s="145" t="s">
        <v>42</v>
      </c>
    </row>
    <row r="34" spans="1:1" x14ac:dyDescent="0.3">
      <c r="A34" s="391" t="s">
        <v>43</v>
      </c>
    </row>
    <row r="35" spans="1:1" ht="28.8" x14ac:dyDescent="0.3">
      <c r="A35" s="391" t="s">
        <v>44</v>
      </c>
    </row>
    <row r="36" spans="1:1" x14ac:dyDescent="0.3">
      <c r="A36" s="145"/>
    </row>
    <row r="37" spans="1:1" x14ac:dyDescent="0.3">
      <c r="A37" s="145"/>
    </row>
    <row r="38" spans="1:1" ht="18" x14ac:dyDescent="0.3">
      <c r="A38" s="470" t="s">
        <v>45</v>
      </c>
    </row>
    <row r="39" spans="1:1" x14ac:dyDescent="0.3">
      <c r="A39" s="145" t="s">
        <v>46</v>
      </c>
    </row>
    <row r="40" spans="1:1" ht="28.8" x14ac:dyDescent="0.3">
      <c r="A40" s="391" t="s">
        <v>47</v>
      </c>
    </row>
    <row r="41" spans="1:1" x14ac:dyDescent="0.3">
      <c r="A41" s="145"/>
    </row>
    <row r="42" spans="1:1" ht="28.8" x14ac:dyDescent="0.3">
      <c r="A42" s="145" t="s">
        <v>48</v>
      </c>
    </row>
    <row r="43" spans="1:1" x14ac:dyDescent="0.3">
      <c r="A43" s="145"/>
    </row>
    <row r="44" spans="1:1" ht="28.8" x14ac:dyDescent="0.3">
      <c r="A44" s="145" t="s">
        <v>49</v>
      </c>
    </row>
    <row r="45" spans="1:1" x14ac:dyDescent="0.3">
      <c r="A45" s="391" t="s">
        <v>50</v>
      </c>
    </row>
    <row r="46" spans="1:1" x14ac:dyDescent="0.3">
      <c r="A46" s="145"/>
    </row>
    <row r="47" spans="1:1" ht="28.8" x14ac:dyDescent="0.3">
      <c r="A47" s="145" t="s">
        <v>51</v>
      </c>
    </row>
    <row r="48" spans="1:1" x14ac:dyDescent="0.3">
      <c r="A48" s="391" t="s">
        <v>52</v>
      </c>
    </row>
    <row r="49" spans="1:1" x14ac:dyDescent="0.3">
      <c r="A49" s="145"/>
    </row>
    <row r="50" spans="1:1" x14ac:dyDescent="0.3">
      <c r="A50" s="145" t="s">
        <v>53</v>
      </c>
    </row>
    <row r="51" spans="1:1" ht="28.8" x14ac:dyDescent="0.3">
      <c r="A51" s="391" t="s">
        <v>54</v>
      </c>
    </row>
    <row r="52" spans="1:1" x14ac:dyDescent="0.3">
      <c r="A52" s="145"/>
    </row>
    <row r="53" spans="1:1" x14ac:dyDescent="0.3">
      <c r="A53" s="145"/>
    </row>
    <row r="54" spans="1:1" ht="18" x14ac:dyDescent="0.3">
      <c r="A54" s="470" t="s">
        <v>55</v>
      </c>
    </row>
    <row r="55" spans="1:1" x14ac:dyDescent="0.3">
      <c r="A55" s="145" t="s">
        <v>56</v>
      </c>
    </row>
    <row r="56" spans="1:1" x14ac:dyDescent="0.3">
      <c r="A56" s="145"/>
    </row>
    <row r="57" spans="1:1" x14ac:dyDescent="0.3">
      <c r="A57" s="145" t="s">
        <v>57</v>
      </c>
    </row>
    <row r="58" spans="1:1" ht="28.8" x14ac:dyDescent="0.3">
      <c r="A58" s="391" t="s">
        <v>58</v>
      </c>
    </row>
    <row r="59" spans="1:1" x14ac:dyDescent="0.3">
      <c r="A59" s="145"/>
    </row>
    <row r="60" spans="1:1" x14ac:dyDescent="0.3">
      <c r="A60" s="145" t="s">
        <v>59</v>
      </c>
    </row>
    <row r="61" spans="1:1" x14ac:dyDescent="0.3">
      <c r="A61" s="145"/>
    </row>
    <row r="62" spans="1:1" x14ac:dyDescent="0.3">
      <c r="A62" s="145" t="s">
        <v>60</v>
      </c>
    </row>
    <row r="63" spans="1:1" x14ac:dyDescent="0.3">
      <c r="A63" s="145"/>
    </row>
    <row r="64" spans="1:1" x14ac:dyDescent="0.3">
      <c r="A64" s="145"/>
    </row>
    <row r="65" spans="1:1" ht="18" x14ac:dyDescent="0.3">
      <c r="A65" s="470" t="s">
        <v>61</v>
      </c>
    </row>
    <row r="66" spans="1:1" x14ac:dyDescent="0.3">
      <c r="A66" s="145" t="s">
        <v>62</v>
      </c>
    </row>
    <row r="67" spans="1:1" x14ac:dyDescent="0.3">
      <c r="A67" s="145"/>
    </row>
    <row r="68" spans="1:1" x14ac:dyDescent="0.3">
      <c r="A68" s="145" t="s">
        <v>63</v>
      </c>
    </row>
    <row r="69" spans="1:1" ht="28.8" x14ac:dyDescent="0.3">
      <c r="A69" s="391" t="s">
        <v>64</v>
      </c>
    </row>
    <row r="70" spans="1:1" x14ac:dyDescent="0.3">
      <c r="A70" s="379"/>
    </row>
    <row r="71" spans="1:1" x14ac:dyDescent="0.3">
      <c r="A71" s="379" t="s">
        <v>65</v>
      </c>
    </row>
    <row r="72" spans="1:1" x14ac:dyDescent="0.3">
      <c r="A72" s="391" t="s">
        <v>66</v>
      </c>
    </row>
    <row r="73" spans="1:1" x14ac:dyDescent="0.3">
      <c r="A73" s="391" t="s">
        <v>67</v>
      </c>
    </row>
    <row r="74" spans="1:1" x14ac:dyDescent="0.3">
      <c r="A74" s="391" t="s">
        <v>68</v>
      </c>
    </row>
    <row r="75" spans="1:1" x14ac:dyDescent="0.3">
      <c r="A75" s="391" t="s">
        <v>69</v>
      </c>
    </row>
    <row r="76" spans="1:1" ht="28.8" x14ac:dyDescent="0.3">
      <c r="A76" s="391" t="s">
        <v>70</v>
      </c>
    </row>
    <row r="77" spans="1:1" x14ac:dyDescent="0.3">
      <c r="A77" s="391"/>
    </row>
    <row r="78" spans="1:1" ht="28.8" x14ac:dyDescent="0.3">
      <c r="A78" s="391" t="s">
        <v>71</v>
      </c>
    </row>
    <row r="79" spans="1:1" x14ac:dyDescent="0.3">
      <c r="A79" s="145"/>
    </row>
    <row r="80" spans="1:1" ht="28.8" x14ac:dyDescent="0.3">
      <c r="A80" s="145" t="s">
        <v>72</v>
      </c>
    </row>
    <row r="81" spans="1:1" x14ac:dyDescent="0.3">
      <c r="A81" s="145"/>
    </row>
    <row r="82" spans="1:1" x14ac:dyDescent="0.3">
      <c r="A82" s="145" t="s">
        <v>73</v>
      </c>
    </row>
    <row r="83" spans="1:1" x14ac:dyDescent="0.3">
      <c r="A83" s="391" t="s">
        <v>74</v>
      </c>
    </row>
    <row r="84" spans="1:1" x14ac:dyDescent="0.3">
      <c r="A84" s="145"/>
    </row>
    <row r="85" spans="1:1" ht="28.8" x14ac:dyDescent="0.3">
      <c r="A85" s="145" t="s">
        <v>75</v>
      </c>
    </row>
    <row r="86" spans="1:1" x14ac:dyDescent="0.3">
      <c r="A86" s="145"/>
    </row>
    <row r="87" spans="1:1" ht="28.8" x14ac:dyDescent="0.3">
      <c r="A87" s="145" t="s">
        <v>76</v>
      </c>
    </row>
    <row r="88" spans="1:1" x14ac:dyDescent="0.3">
      <c r="A88" s="391" t="s">
        <v>77</v>
      </c>
    </row>
    <row r="89" spans="1:1" x14ac:dyDescent="0.3">
      <c r="A89" s="145"/>
    </row>
    <row r="90" spans="1:1" x14ac:dyDescent="0.3">
      <c r="A90" s="380" t="s">
        <v>78</v>
      </c>
    </row>
    <row r="91" spans="1:1" x14ac:dyDescent="0.3">
      <c r="A91" s="145" t="s">
        <v>79</v>
      </c>
    </row>
    <row r="92" spans="1:1" x14ac:dyDescent="0.3">
      <c r="A92" s="391" t="s">
        <v>80</v>
      </c>
    </row>
    <row r="93" spans="1:1" x14ac:dyDescent="0.3">
      <c r="A93" s="145"/>
    </row>
    <row r="94" spans="1:1" x14ac:dyDescent="0.3">
      <c r="A94" s="145" t="s">
        <v>81</v>
      </c>
    </row>
    <row r="95" spans="1:1" x14ac:dyDescent="0.3">
      <c r="A95" s="391" t="s">
        <v>82</v>
      </c>
    </row>
    <row r="96" spans="1:1" x14ac:dyDescent="0.3">
      <c r="A96" s="145"/>
    </row>
    <row r="97" spans="1:1" x14ac:dyDescent="0.3">
      <c r="A97" s="145" t="s">
        <v>83</v>
      </c>
    </row>
    <row r="98" spans="1:1" x14ac:dyDescent="0.3">
      <c r="A98" s="391" t="s">
        <v>84</v>
      </c>
    </row>
    <row r="99" spans="1:1" x14ac:dyDescent="0.3">
      <c r="A99" s="145"/>
    </row>
    <row r="100" spans="1:1" x14ac:dyDescent="0.3">
      <c r="A100" s="145" t="s">
        <v>85</v>
      </c>
    </row>
    <row r="101" spans="1:1" x14ac:dyDescent="0.3">
      <c r="A101" s="391" t="s">
        <v>86</v>
      </c>
    </row>
    <row r="102" spans="1:1" x14ac:dyDescent="0.3">
      <c r="A102" s="145"/>
    </row>
    <row r="103" spans="1:1" ht="28.8" x14ac:dyDescent="0.3">
      <c r="A103" s="145" t="s">
        <v>87</v>
      </c>
    </row>
    <row r="104" spans="1:1" x14ac:dyDescent="0.3">
      <c r="A104" s="145"/>
    </row>
    <row r="106" spans="1:1" ht="18" x14ac:dyDescent="0.3">
      <c r="A106" s="469" t="s">
        <v>88</v>
      </c>
    </row>
    <row r="107" spans="1:1" x14ac:dyDescent="0.3">
      <c r="A107" s="11" t="s">
        <v>89</v>
      </c>
    </row>
    <row r="108" spans="1:1" ht="28.8" x14ac:dyDescent="0.3">
      <c r="A108" s="390" t="s">
        <v>90</v>
      </c>
    </row>
    <row r="109" spans="1:1" x14ac:dyDescent="0.3">
      <c r="A109" s="11"/>
    </row>
    <row r="110" spans="1:1" ht="28.8" x14ac:dyDescent="0.3">
      <c r="A110" s="11" t="s">
        <v>91</v>
      </c>
    </row>
    <row r="111" spans="1:1" ht="28.8" x14ac:dyDescent="0.3">
      <c r="A111" s="390" t="s">
        <v>92</v>
      </c>
    </row>
    <row r="112" spans="1:1" ht="28.8" x14ac:dyDescent="0.3">
      <c r="A112" s="390" t="s">
        <v>93</v>
      </c>
    </row>
    <row r="113" spans="1:1" x14ac:dyDescent="0.3">
      <c r="A113" s="11"/>
    </row>
    <row r="114" spans="1:1" x14ac:dyDescent="0.3">
      <c r="A114" s="11" t="s">
        <v>94</v>
      </c>
    </row>
    <row r="115" spans="1:1" ht="28.8" x14ac:dyDescent="0.3">
      <c r="A115" s="390" t="s">
        <v>95</v>
      </c>
    </row>
    <row r="116" spans="1:1" x14ac:dyDescent="0.3">
      <c r="A116" s="390" t="s">
        <v>96</v>
      </c>
    </row>
    <row r="117" spans="1:1" x14ac:dyDescent="0.3">
      <c r="A117" s="390" t="s">
        <v>97</v>
      </c>
    </row>
    <row r="118" spans="1:1" x14ac:dyDescent="0.3">
      <c r="A118" s="11"/>
    </row>
    <row r="119" spans="1:1" x14ac:dyDescent="0.3">
      <c r="A119" s="91" t="s">
        <v>98</v>
      </c>
    </row>
    <row r="120" spans="1:1" ht="28.8" x14ac:dyDescent="0.3">
      <c r="A120" s="11" t="s">
        <v>99</v>
      </c>
    </row>
    <row r="121" spans="1:1" ht="28.8" x14ac:dyDescent="0.3">
      <c r="A121" s="11" t="s">
        <v>100</v>
      </c>
    </row>
    <row r="122" spans="1:1" x14ac:dyDescent="0.3">
      <c r="A122" s="11"/>
    </row>
    <row r="123" spans="1:1" x14ac:dyDescent="0.3">
      <c r="A123" s="91" t="s">
        <v>101</v>
      </c>
    </row>
    <row r="124" spans="1:1" x14ac:dyDescent="0.3">
      <c r="A124" s="11" t="s">
        <v>102</v>
      </c>
    </row>
    <row r="125" spans="1:1" ht="28.8" x14ac:dyDescent="0.3">
      <c r="A125" s="390" t="s">
        <v>103</v>
      </c>
    </row>
    <row r="126" spans="1:1" x14ac:dyDescent="0.3">
      <c r="A126" s="11"/>
    </row>
    <row r="127" spans="1:1" x14ac:dyDescent="0.3">
      <c r="A127" s="91" t="s">
        <v>104</v>
      </c>
    </row>
    <row r="128" spans="1:1" x14ac:dyDescent="0.3">
      <c r="A128" s="11" t="s">
        <v>105</v>
      </c>
    </row>
    <row r="129" spans="1:1" x14ac:dyDescent="0.3">
      <c r="A129" s="390" t="s">
        <v>106</v>
      </c>
    </row>
    <row r="130" spans="1:1" x14ac:dyDescent="0.3">
      <c r="A130" s="11"/>
    </row>
    <row r="131" spans="1:1" x14ac:dyDescent="0.3">
      <c r="A131" s="91" t="s">
        <v>107</v>
      </c>
    </row>
    <row r="132" spans="1:1" x14ac:dyDescent="0.3">
      <c r="A132" s="11" t="s">
        <v>108</v>
      </c>
    </row>
    <row r="133" spans="1:1" x14ac:dyDescent="0.3">
      <c r="A133" s="390" t="s">
        <v>109</v>
      </c>
    </row>
    <row r="134" spans="1:1" x14ac:dyDescent="0.3">
      <c r="A134" s="11"/>
    </row>
    <row r="135" spans="1:1" x14ac:dyDescent="0.3">
      <c r="A135" s="91" t="s">
        <v>110</v>
      </c>
    </row>
    <row r="136" spans="1:1" x14ac:dyDescent="0.3">
      <c r="A136" s="11" t="s">
        <v>111</v>
      </c>
    </row>
    <row r="137" spans="1:1" x14ac:dyDescent="0.3">
      <c r="A137" s="390" t="s">
        <v>109</v>
      </c>
    </row>
    <row r="138" spans="1:1" x14ac:dyDescent="0.3">
      <c r="A138" s="11"/>
    </row>
    <row r="139" spans="1:1" x14ac:dyDescent="0.3">
      <c r="A139" s="91" t="s">
        <v>112</v>
      </c>
    </row>
    <row r="140" spans="1:1" ht="28.8" x14ac:dyDescent="0.3">
      <c r="A140" s="11" t="s">
        <v>113</v>
      </c>
    </row>
    <row r="141" spans="1:1" x14ac:dyDescent="0.3">
      <c r="A141" s="11"/>
    </row>
    <row r="142" spans="1:1" x14ac:dyDescent="0.3">
      <c r="A142" s="11" t="s">
        <v>114</v>
      </c>
    </row>
    <row r="143" spans="1:1" ht="43.2" x14ac:dyDescent="0.3">
      <c r="A143" s="390" t="s">
        <v>115</v>
      </c>
    </row>
    <row r="144" spans="1:1" x14ac:dyDescent="0.3">
      <c r="A144" s="11"/>
    </row>
    <row r="145" spans="1:1" x14ac:dyDescent="0.3">
      <c r="A145" s="11" t="s">
        <v>116</v>
      </c>
    </row>
    <row r="146" spans="1:1" ht="43.2" x14ac:dyDescent="0.3">
      <c r="A146" s="390" t="s">
        <v>117</v>
      </c>
    </row>
    <row r="147" spans="1:1" x14ac:dyDescent="0.3">
      <c r="A147" s="11"/>
    </row>
    <row r="148" spans="1:1" x14ac:dyDescent="0.3">
      <c r="A148" s="91" t="s">
        <v>118</v>
      </c>
    </row>
    <row r="149" spans="1:1" ht="28.8" x14ac:dyDescent="0.3">
      <c r="A149" s="11" t="s">
        <v>119</v>
      </c>
    </row>
    <row r="150" spans="1:1" ht="43.2" x14ac:dyDescent="0.3">
      <c r="A150" s="390" t="s">
        <v>120</v>
      </c>
    </row>
    <row r="151" spans="1:1" x14ac:dyDescent="0.3">
      <c r="A151" s="11" t="s">
        <v>121</v>
      </c>
    </row>
    <row r="152" spans="1:1" x14ac:dyDescent="0.3">
      <c r="A152" s="11"/>
    </row>
    <row r="153" spans="1:1" x14ac:dyDescent="0.3">
      <c r="A153" s="11"/>
    </row>
    <row r="154" spans="1:1" ht="18" x14ac:dyDescent="0.3">
      <c r="A154" s="468" t="s">
        <v>122</v>
      </c>
    </row>
    <row r="155" spans="1:1" x14ac:dyDescent="0.3">
      <c r="A155" s="11" t="s">
        <v>123</v>
      </c>
    </row>
    <row r="156" spans="1:1" ht="28.8" x14ac:dyDescent="0.3">
      <c r="A156" s="390" t="s">
        <v>124</v>
      </c>
    </row>
    <row r="157" spans="1:1" x14ac:dyDescent="0.3">
      <c r="A157" s="390" t="s">
        <v>125</v>
      </c>
    </row>
    <row r="158" spans="1:1" x14ac:dyDescent="0.3">
      <c r="A158" s="11"/>
    </row>
    <row r="159" spans="1:1" x14ac:dyDescent="0.3">
      <c r="A159" s="11"/>
    </row>
    <row r="160" spans="1:1" ht="18" x14ac:dyDescent="0.3">
      <c r="A160" s="468" t="s">
        <v>126</v>
      </c>
    </row>
    <row r="161" spans="1:1" x14ac:dyDescent="0.3">
      <c r="A161" s="11" t="s">
        <v>123</v>
      </c>
    </row>
    <row r="162" spans="1:1" ht="28.8" x14ac:dyDescent="0.3">
      <c r="A162" s="390" t="s">
        <v>127</v>
      </c>
    </row>
    <row r="163" spans="1:1" x14ac:dyDescent="0.3">
      <c r="A163" s="390" t="s">
        <v>125</v>
      </c>
    </row>
    <row r="164" spans="1:1" x14ac:dyDescent="0.3">
      <c r="A164" s="11"/>
    </row>
    <row r="165" spans="1:1" x14ac:dyDescent="0.3">
      <c r="A165" s="11"/>
    </row>
    <row r="166" spans="1:1" ht="18" x14ac:dyDescent="0.3">
      <c r="A166" s="468" t="s">
        <v>128</v>
      </c>
    </row>
    <row r="167" spans="1:1" x14ac:dyDescent="0.3">
      <c r="A167" s="11" t="s">
        <v>129</v>
      </c>
    </row>
    <row r="168" spans="1:1" x14ac:dyDescent="0.3">
      <c r="A168" s="390" t="s">
        <v>130</v>
      </c>
    </row>
    <row r="169" spans="1:1" x14ac:dyDescent="0.3">
      <c r="A169" s="390" t="s">
        <v>131</v>
      </c>
    </row>
    <row r="170" spans="1:1" x14ac:dyDescent="0.3">
      <c r="A170" s="390" t="s">
        <v>125</v>
      </c>
    </row>
    <row r="171" spans="1:1" x14ac:dyDescent="0.3">
      <c r="A171" s="11"/>
    </row>
    <row r="172" spans="1:1" x14ac:dyDescent="0.3">
      <c r="A172" s="11"/>
    </row>
    <row r="173" spans="1:1" ht="18" x14ac:dyDescent="0.3">
      <c r="A173" s="468" t="s">
        <v>132</v>
      </c>
    </row>
    <row r="174" spans="1:1" x14ac:dyDescent="0.3">
      <c r="A174" s="11" t="s">
        <v>123</v>
      </c>
    </row>
    <row r="175" spans="1:1" ht="28.8" x14ac:dyDescent="0.3">
      <c r="A175" s="390" t="s">
        <v>133</v>
      </c>
    </row>
    <row r="176" spans="1:1" x14ac:dyDescent="0.3">
      <c r="A176" s="390" t="s">
        <v>134</v>
      </c>
    </row>
    <row r="177" spans="1:1" x14ac:dyDescent="0.3">
      <c r="A177" s="390" t="s">
        <v>125</v>
      </c>
    </row>
    <row r="178" spans="1:1" x14ac:dyDescent="0.3">
      <c r="A178" s="11"/>
    </row>
    <row r="179" spans="1:1" x14ac:dyDescent="0.3">
      <c r="A179" s="11"/>
    </row>
    <row r="180" spans="1:1" ht="18" x14ac:dyDescent="0.3">
      <c r="A180" s="21" t="s">
        <v>135</v>
      </c>
    </row>
    <row r="181" spans="1:1" x14ac:dyDescent="0.3">
      <c r="A181" s="11" t="s">
        <v>136</v>
      </c>
    </row>
    <row r="182" spans="1:1" x14ac:dyDescent="0.3">
      <c r="A182" s="11" t="s">
        <v>137</v>
      </c>
    </row>
    <row r="183" spans="1:1" x14ac:dyDescent="0.3">
      <c r="A183" s="11"/>
    </row>
    <row r="184" spans="1:1" x14ac:dyDescent="0.3">
      <c r="A184" s="11"/>
    </row>
    <row r="185" spans="1:1" ht="18" x14ac:dyDescent="0.3">
      <c r="A185" s="21" t="s">
        <v>138</v>
      </c>
    </row>
    <row r="186" spans="1:1" x14ac:dyDescent="0.3">
      <c r="A186" s="11" t="s">
        <v>139</v>
      </c>
    </row>
    <row r="187" spans="1:1" x14ac:dyDescent="0.3">
      <c r="A187" s="390" t="s">
        <v>140</v>
      </c>
    </row>
    <row r="188" spans="1:1" x14ac:dyDescent="0.3">
      <c r="A188" s="11"/>
    </row>
    <row r="189" spans="1:1" x14ac:dyDescent="0.3">
      <c r="A189" s="11"/>
    </row>
    <row r="190" spans="1:1" ht="18" x14ac:dyDescent="0.3">
      <c r="A190" s="21" t="s">
        <v>141</v>
      </c>
    </row>
    <row r="191" spans="1:1" x14ac:dyDescent="0.3">
      <c r="A191" s="11" t="s">
        <v>142</v>
      </c>
    </row>
    <row r="192" spans="1:1" x14ac:dyDescent="0.3">
      <c r="A192" s="11"/>
    </row>
    <row r="193" spans="1:1" x14ac:dyDescent="0.3">
      <c r="A193" s="11"/>
    </row>
    <row r="194" spans="1:1" ht="18" x14ac:dyDescent="0.3">
      <c r="A194" s="21" t="s">
        <v>143</v>
      </c>
    </row>
    <row r="195" spans="1:1" x14ac:dyDescent="0.3">
      <c r="A195" s="381" t="s">
        <v>144</v>
      </c>
    </row>
    <row r="196" spans="1:1" x14ac:dyDescent="0.3">
      <c r="A196" s="11"/>
    </row>
    <row r="197" spans="1:1" x14ac:dyDescent="0.3">
      <c r="A197" s="11"/>
    </row>
    <row r="198" spans="1:1" ht="18" x14ac:dyDescent="0.3">
      <c r="A198" s="21" t="s">
        <v>145</v>
      </c>
    </row>
    <row r="199" spans="1:1" x14ac:dyDescent="0.3">
      <c r="A199" s="11"/>
    </row>
    <row r="200" spans="1:1" x14ac:dyDescent="0.3">
      <c r="A200" s="91" t="s">
        <v>146</v>
      </c>
    </row>
    <row r="201" spans="1:1" x14ac:dyDescent="0.3">
      <c r="A201" s="382" t="s">
        <v>147</v>
      </c>
    </row>
    <row r="202" spans="1:1" x14ac:dyDescent="0.3">
      <c r="A202" s="383" t="s">
        <v>148</v>
      </c>
    </row>
    <row r="203" spans="1:1" x14ac:dyDescent="0.3">
      <c r="A203" s="384" t="s">
        <v>149</v>
      </c>
    </row>
    <row r="204" spans="1:1" x14ac:dyDescent="0.3">
      <c r="A204" s="385" t="s">
        <v>150</v>
      </c>
    </row>
    <row r="205" spans="1:1" x14ac:dyDescent="0.3">
      <c r="A205" s="11"/>
    </row>
    <row r="206" spans="1:1" x14ac:dyDescent="0.3">
      <c r="A206" s="91" t="s">
        <v>151</v>
      </c>
    </row>
    <row r="207" spans="1:1" x14ac:dyDescent="0.3">
      <c r="A207" s="386" t="s">
        <v>152</v>
      </c>
    </row>
    <row r="208" spans="1:1" x14ac:dyDescent="0.3">
      <c r="A208" s="387" t="s">
        <v>153</v>
      </c>
    </row>
    <row r="209" spans="1:1" x14ac:dyDescent="0.3">
      <c r="A209" s="388" t="s">
        <v>154</v>
      </c>
    </row>
    <row r="210" spans="1:1" x14ac:dyDescent="0.3">
      <c r="A210" s="389" t="s">
        <v>155</v>
      </c>
    </row>
    <row r="211" spans="1:1" hidden="1" outlineLevel="1" x14ac:dyDescent="0.3">
      <c r="A211" s="383" t="s">
        <v>156</v>
      </c>
    </row>
    <row r="212" spans="1:1" hidden="1" outlineLevel="1" x14ac:dyDescent="0.3">
      <c r="A212" s="525" t="s">
        <v>157</v>
      </c>
    </row>
    <row r="213" spans="1:1" collapsed="1" x14ac:dyDescent="0.3"/>
  </sheetData>
  <sheetProtection algorithmName="SHA-512" hashValue="tOI9tHBI3G1WMSgeUfsiu3UcwqtT3XoPG8v5mHG5x2eEsRlHTtOk06ethnmPSY8RTfpFuVWqpUbyfZzmsDIOLQ==" saltValue="bl92MhwH8Qc3dl/55yfJfQ==" spinCount="100000" sheet="1" objects="1" scenarios="1"/>
  <hyperlinks>
    <hyperlink ref="D1" location="Instructions!A38" display="Contacts" xr:uid="{41E335DF-CBA5-4F7A-883E-3DE3E1D106C1}"/>
    <hyperlink ref="E1" location="Instructions!A54" display="Site" xr:uid="{D2AD0892-15D6-4D40-B7DB-5A9F4AC9CA90}"/>
    <hyperlink ref="F1" location="Instructions!A65" display="Spaces" xr:uid="{D3905929-2687-4486-BA50-D6EC7139B017}"/>
    <hyperlink ref="G1" location="Instructions!A106" display="Measures" xr:uid="{9D380A95-E461-4FF3-A608-B2E1C3ADD71C}"/>
    <hyperlink ref="H1" location="Instructions!A154" display="Summaries" xr:uid="{0627AB3A-6CFD-43AE-BF64-88699C800BC8}"/>
    <hyperlink ref="A195" location="Abbreviations!A1" display="Link to acronyms and abbreviations used in this application." xr:uid="{3FF81842-16C2-4744-B5AE-CA71319AE763}"/>
    <hyperlink ref="C1" location="Instructions!A20" display="Errors" xr:uid="{4DCF293B-AB2D-40F0-9456-B62904FEC208}"/>
    <hyperlink ref="I1" location="Instructions!A194" display="Abbreviations" xr:uid="{6CA4DF44-9909-4A03-A9FC-C9B92F7DC8AD}"/>
    <hyperlink ref="J1" location="Instructions!A198" display="Color Legend" xr:uid="{ACFACED6-9F6B-410D-8213-A8CBD805ABBF}"/>
  </hyperlinks>
  <printOptions horizontalCentered="1"/>
  <pageMargins left="0.45" right="0.45" top="0.75" bottom="0.75" header="0.3" footer="0.3"/>
  <pageSetup orientation="portrait" r:id="rId1"/>
  <headerFooter>
    <oddHeader>&amp;C&amp;14Tacoma Power's Bright Rebates Lighting Application</oddHeader>
    <oddFooter>&amp;L&amp;9&amp;A&amp;C&amp;P of &amp;N&amp;R&amp;9Printed on &amp;D</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32EA3E-504C-49F7-B5B3-E311DC87DF7A}">
  <dimension ref="A1:A80"/>
  <sheetViews>
    <sheetView showGridLines="0" zoomScaleNormal="100" workbookViewId="0">
      <pane ySplit="1" topLeftCell="A2" activePane="bottomLeft" state="frozen"/>
      <selection pane="bottomLeft" activeCell="A3" sqref="A3"/>
    </sheetView>
  </sheetViews>
  <sheetFormatPr defaultColWidth="8.88671875" defaultRowHeight="14.4" x14ac:dyDescent="0.3"/>
  <cols>
    <col min="1" max="1" width="94.5546875" style="11" customWidth="1"/>
    <col min="2" max="16384" width="8.88671875" style="14"/>
  </cols>
  <sheetData>
    <row r="1" spans="1:1" s="53" customFormat="1" ht="21" x14ac:dyDescent="0.4">
      <c r="A1" s="466" t="s">
        <v>686</v>
      </c>
    </row>
    <row r="2" spans="1:1" x14ac:dyDescent="0.3">
      <c r="A2" s="467" t="str">
        <f>_xlfn.CONCAT("Current ",Welcome!A36,". (The previous application was also known as the 'BPA calculator'.)")</f>
        <v>Current Application Version: July_6_2026. (The previous application was also known as the 'BPA calculator'.)</v>
      </c>
    </row>
    <row r="4" spans="1:1" x14ac:dyDescent="0.3">
      <c r="A4" s="484" t="s">
        <v>687</v>
      </c>
    </row>
    <row r="5" spans="1:1" x14ac:dyDescent="0.3">
      <c r="A5" s="91" t="s">
        <v>688</v>
      </c>
    </row>
    <row r="6" spans="1:1" ht="28.8" x14ac:dyDescent="0.3">
      <c r="A6" s="11" t="s">
        <v>689</v>
      </c>
    </row>
    <row r="7" spans="1:1" ht="28.8" x14ac:dyDescent="0.3">
      <c r="A7" s="11" t="s">
        <v>690</v>
      </c>
    </row>
    <row r="8" spans="1:1" x14ac:dyDescent="0.3">
      <c r="A8" s="11" t="s">
        <v>691</v>
      </c>
    </row>
    <row r="10" spans="1:1" x14ac:dyDescent="0.3">
      <c r="A10" s="91" t="s">
        <v>692</v>
      </c>
    </row>
    <row r="11" spans="1:1" x14ac:dyDescent="0.3">
      <c r="A11" s="11" t="s">
        <v>693</v>
      </c>
    </row>
    <row r="12" spans="1:1" x14ac:dyDescent="0.3">
      <c r="A12" s="11" t="s">
        <v>694</v>
      </c>
    </row>
    <row r="14" spans="1:1" x14ac:dyDescent="0.3">
      <c r="A14" s="91" t="s">
        <v>695</v>
      </c>
    </row>
    <row r="15" spans="1:1" x14ac:dyDescent="0.3">
      <c r="A15" s="11" t="s">
        <v>696</v>
      </c>
    </row>
    <row r="16" spans="1:1" x14ac:dyDescent="0.3">
      <c r="A16" s="11" t="s">
        <v>697</v>
      </c>
    </row>
    <row r="19" spans="1:1" x14ac:dyDescent="0.3">
      <c r="A19" s="484" t="s">
        <v>18</v>
      </c>
    </row>
    <row r="20" spans="1:1" x14ac:dyDescent="0.3">
      <c r="A20" s="91" t="s">
        <v>698</v>
      </c>
    </row>
    <row r="21" spans="1:1" x14ac:dyDescent="0.3">
      <c r="A21" s="11" t="s">
        <v>699</v>
      </c>
    </row>
    <row r="22" spans="1:1" x14ac:dyDescent="0.3">
      <c r="A22" s="11" t="s">
        <v>700</v>
      </c>
    </row>
    <row r="25" spans="1:1" x14ac:dyDescent="0.3">
      <c r="A25" s="484" t="s">
        <v>19</v>
      </c>
    </row>
    <row r="26" spans="1:1" x14ac:dyDescent="0.3">
      <c r="A26" s="91" t="s">
        <v>701</v>
      </c>
    </row>
    <row r="27" spans="1:1" ht="28.8" x14ac:dyDescent="0.3">
      <c r="A27" s="11" t="s">
        <v>702</v>
      </c>
    </row>
    <row r="28" spans="1:1" x14ac:dyDescent="0.3">
      <c r="A28" s="11" t="s">
        <v>703</v>
      </c>
    </row>
    <row r="29" spans="1:1" x14ac:dyDescent="0.3">
      <c r="A29" s="390" t="s">
        <v>704</v>
      </c>
    </row>
    <row r="31" spans="1:1" x14ac:dyDescent="0.3">
      <c r="A31" s="91" t="s">
        <v>705</v>
      </c>
    </row>
    <row r="32" spans="1:1" ht="28.8" x14ac:dyDescent="0.3">
      <c r="A32" s="11" t="s">
        <v>706</v>
      </c>
    </row>
    <row r="33" spans="1:1" ht="28.8" x14ac:dyDescent="0.3">
      <c r="A33" s="390" t="s">
        <v>707</v>
      </c>
    </row>
    <row r="34" spans="1:1" x14ac:dyDescent="0.3">
      <c r="A34" s="11" t="s">
        <v>708</v>
      </c>
    </row>
    <row r="36" spans="1:1" x14ac:dyDescent="0.3">
      <c r="A36" s="91" t="s">
        <v>709</v>
      </c>
    </row>
    <row r="37" spans="1:1" x14ac:dyDescent="0.3">
      <c r="A37" s="11" t="s">
        <v>710</v>
      </c>
    </row>
    <row r="38" spans="1:1" x14ac:dyDescent="0.3">
      <c r="A38" s="11" t="s">
        <v>711</v>
      </c>
    </row>
    <row r="40" spans="1:1" x14ac:dyDescent="0.3">
      <c r="A40" s="91" t="s">
        <v>712</v>
      </c>
    </row>
    <row r="41" spans="1:1" x14ac:dyDescent="0.3">
      <c r="A41" s="11" t="s">
        <v>713</v>
      </c>
    </row>
    <row r="42" spans="1:1" x14ac:dyDescent="0.3">
      <c r="A42" s="11" t="s">
        <v>714</v>
      </c>
    </row>
    <row r="44" spans="1:1" x14ac:dyDescent="0.3">
      <c r="A44" s="91" t="s">
        <v>715</v>
      </c>
    </row>
    <row r="45" spans="1:1" x14ac:dyDescent="0.3">
      <c r="A45" s="11" t="s">
        <v>716</v>
      </c>
    </row>
    <row r="46" spans="1:1" ht="28.8" x14ac:dyDescent="0.3">
      <c r="A46" s="11" t="s">
        <v>717</v>
      </c>
    </row>
    <row r="48" spans="1:1" x14ac:dyDescent="0.3">
      <c r="A48" s="91" t="s">
        <v>718</v>
      </c>
    </row>
    <row r="49" spans="1:1" x14ac:dyDescent="0.3">
      <c r="A49" s="11" t="s">
        <v>719</v>
      </c>
    </row>
    <row r="50" spans="1:1" x14ac:dyDescent="0.3">
      <c r="A50" s="11" t="s">
        <v>720</v>
      </c>
    </row>
    <row r="51" spans="1:1" x14ac:dyDescent="0.3">
      <c r="A51" s="11" t="s">
        <v>721</v>
      </c>
    </row>
    <row r="52" spans="1:1" x14ac:dyDescent="0.3">
      <c r="A52" s="390" t="s">
        <v>722</v>
      </c>
    </row>
    <row r="55" spans="1:1" x14ac:dyDescent="0.3">
      <c r="A55" s="484" t="s">
        <v>723</v>
      </c>
    </row>
    <row r="56" spans="1:1" x14ac:dyDescent="0.3">
      <c r="A56" s="91" t="s">
        <v>724</v>
      </c>
    </row>
    <row r="57" spans="1:1" x14ac:dyDescent="0.3">
      <c r="A57" s="11" t="s">
        <v>725</v>
      </c>
    </row>
    <row r="58" spans="1:1" ht="28.8" x14ac:dyDescent="0.3">
      <c r="A58" s="11" t="s">
        <v>726</v>
      </c>
    </row>
    <row r="59" spans="1:1" ht="14.4" customHeight="1" x14ac:dyDescent="0.3">
      <c r="A59" s="390" t="s">
        <v>727</v>
      </c>
    </row>
    <row r="62" spans="1:1" x14ac:dyDescent="0.3">
      <c r="A62" s="484" t="s">
        <v>728</v>
      </c>
    </row>
    <row r="63" spans="1:1" x14ac:dyDescent="0.3">
      <c r="A63" s="91" t="s">
        <v>729</v>
      </c>
    </row>
    <row r="64" spans="1:1" x14ac:dyDescent="0.3">
      <c r="A64" s="11" t="s">
        <v>730</v>
      </c>
    </row>
    <row r="65" spans="1:1" x14ac:dyDescent="0.3">
      <c r="A65" s="11" t="s">
        <v>731</v>
      </c>
    </row>
    <row r="66" spans="1:1" x14ac:dyDescent="0.3">
      <c r="A66" s="11" t="s">
        <v>732</v>
      </c>
    </row>
    <row r="68" spans="1:1" x14ac:dyDescent="0.3">
      <c r="A68" s="91" t="s">
        <v>733</v>
      </c>
    </row>
    <row r="69" spans="1:1" x14ac:dyDescent="0.3">
      <c r="A69" s="11" t="s">
        <v>734</v>
      </c>
    </row>
    <row r="70" spans="1:1" x14ac:dyDescent="0.3">
      <c r="A70" s="390" t="s">
        <v>735</v>
      </c>
    </row>
    <row r="71" spans="1:1" x14ac:dyDescent="0.3">
      <c r="A71" s="390" t="s">
        <v>736</v>
      </c>
    </row>
    <row r="72" spans="1:1" x14ac:dyDescent="0.3">
      <c r="A72" s="390" t="s">
        <v>737</v>
      </c>
    </row>
    <row r="73" spans="1:1" x14ac:dyDescent="0.3">
      <c r="A73" s="390" t="s">
        <v>738</v>
      </c>
    </row>
    <row r="76" spans="1:1" x14ac:dyDescent="0.3">
      <c r="A76" s="484" t="s">
        <v>739</v>
      </c>
    </row>
    <row r="77" spans="1:1" x14ac:dyDescent="0.3">
      <c r="A77" s="91" t="s">
        <v>740</v>
      </c>
    </row>
    <row r="78" spans="1:1" ht="28.8" x14ac:dyDescent="0.3">
      <c r="A78" s="11" t="s">
        <v>741</v>
      </c>
    </row>
    <row r="79" spans="1:1" x14ac:dyDescent="0.3">
      <c r="A79" s="11" t="s">
        <v>742</v>
      </c>
    </row>
    <row r="80" spans="1:1" ht="28.8" x14ac:dyDescent="0.3">
      <c r="A80" s="11" t="s">
        <v>743</v>
      </c>
    </row>
  </sheetData>
  <sheetProtection algorithmName="SHA-512" hashValue="x/9dVPN8bDh4yep6bQoF1P89mCW8D04lAwzkEo7ZWjJ5l38EO3bzo/lENwcRkN3l4nhGKzIOL9shxNH3U94r6Q==" saltValue="if/uwio5VMQp7ECM2fbIrA==" spinCount="100000" sheet="1" objects="1" scenarios="1"/>
  <printOptions horizontalCentered="1"/>
  <pageMargins left="0.45" right="0.45" top="0.75" bottom="0.75" header="0.3" footer="0.3"/>
  <pageSetup orientation="portrait" r:id="rId1"/>
  <headerFooter>
    <oddHeader>&amp;C&amp;14Tacoma Power's Bright Rebates Lighting Application</oddHeader>
    <oddFooter>&amp;L&amp;9&amp;A&amp;C&amp;P of &amp;N&amp;R&amp;9Printed on &amp;D</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DD343B-2F89-4289-9A27-50E9068C1A01}">
  <sheetPr codeName="Sheet6">
    <tabColor theme="5" tint="0.79998168889431442"/>
  </sheetPr>
  <dimension ref="A1:K48"/>
  <sheetViews>
    <sheetView showGridLines="0" workbookViewId="0">
      <pane xSplit="1" ySplit="4" topLeftCell="B5" activePane="bottomRight" state="frozen"/>
      <selection pane="topRight" activeCell="B1" sqref="B1"/>
      <selection pane="bottomLeft" activeCell="A3" sqref="A3"/>
      <selection pane="bottomRight" activeCell="A3" sqref="A3"/>
    </sheetView>
  </sheetViews>
  <sheetFormatPr defaultColWidth="8.88671875" defaultRowHeight="14.4" x14ac:dyDescent="0.3"/>
  <cols>
    <col min="1" max="1" width="40.44140625" style="9" customWidth="1"/>
    <col min="2" max="10" width="14.88671875" style="9" customWidth="1"/>
    <col min="11" max="11" width="15.6640625" style="9" customWidth="1"/>
    <col min="12" max="16384" width="8.88671875" style="9"/>
  </cols>
  <sheetData>
    <row r="1" spans="1:11" ht="21" x14ac:dyDescent="0.4">
      <c r="A1" s="327" t="s">
        <v>744</v>
      </c>
      <c r="B1" s="8"/>
      <c r="C1" s="204" t="s">
        <v>533</v>
      </c>
      <c r="D1" s="8"/>
      <c r="E1" s="8"/>
      <c r="F1" s="8"/>
      <c r="G1" s="8"/>
      <c r="H1" s="8"/>
      <c r="I1" s="8"/>
      <c r="J1" s="8"/>
      <c r="K1" s="8"/>
    </row>
    <row r="2" spans="1:11" customFormat="1" x14ac:dyDescent="0.3">
      <c r="A2" s="326" t="s">
        <v>745</v>
      </c>
      <c r="B2" s="9"/>
    </row>
    <row r="3" spans="1:11" customFormat="1" x14ac:dyDescent="0.3"/>
    <row r="4" spans="1:11" s="10" customFormat="1" ht="43.2" x14ac:dyDescent="0.3">
      <c r="A4" s="44" t="s">
        <v>186</v>
      </c>
      <c r="B4" s="44" t="s">
        <v>746</v>
      </c>
      <c r="C4" s="44" t="s">
        <v>747</v>
      </c>
      <c r="D4" s="44" t="s">
        <v>748</v>
      </c>
      <c r="E4" s="44" t="s">
        <v>749</v>
      </c>
      <c r="F4" s="44" t="s">
        <v>750</v>
      </c>
      <c r="G4" s="44" t="s">
        <v>751</v>
      </c>
      <c r="H4" s="44" t="s">
        <v>752</v>
      </c>
      <c r="I4" s="44" t="s">
        <v>753</v>
      </c>
      <c r="J4" s="44" t="s">
        <v>754</v>
      </c>
    </row>
    <row r="5" spans="1:11" x14ac:dyDescent="0.3">
      <c r="A5" s="45" t="s">
        <v>755</v>
      </c>
      <c r="B5" s="46">
        <v>0.82</v>
      </c>
      <c r="C5" s="46">
        <v>0.82</v>
      </c>
      <c r="D5" s="46">
        <v>1</v>
      </c>
      <c r="E5" s="46">
        <v>1</v>
      </c>
      <c r="F5" s="46">
        <v>1.03</v>
      </c>
      <c r="G5" s="46">
        <v>1.03</v>
      </c>
      <c r="H5" s="46">
        <v>1</v>
      </c>
      <c r="I5" s="46">
        <v>1.3</v>
      </c>
      <c r="J5" s="46">
        <v>1</v>
      </c>
    </row>
    <row r="6" spans="1:11" x14ac:dyDescent="0.3">
      <c r="A6" s="45" t="s">
        <v>756</v>
      </c>
      <c r="B6" s="46">
        <v>0.61</v>
      </c>
      <c r="C6" s="46">
        <v>0.61</v>
      </c>
      <c r="D6" s="46">
        <v>0.8</v>
      </c>
      <c r="E6" s="46">
        <v>0.8</v>
      </c>
      <c r="F6" s="46">
        <v>1.03</v>
      </c>
      <c r="G6" s="46">
        <v>1.03</v>
      </c>
      <c r="H6" s="46">
        <v>1</v>
      </c>
      <c r="I6" s="46">
        <v>1.3</v>
      </c>
      <c r="J6" s="46">
        <v>1</v>
      </c>
    </row>
    <row r="7" spans="1:11" x14ac:dyDescent="0.3">
      <c r="A7" s="45" t="s">
        <v>757</v>
      </c>
      <c r="B7" s="46">
        <v>0.53</v>
      </c>
      <c r="C7" s="46">
        <v>0.53</v>
      </c>
      <c r="D7" s="46">
        <v>0.76</v>
      </c>
      <c r="E7" s="46">
        <v>0.76</v>
      </c>
      <c r="F7" s="46">
        <v>1.1100000000000001</v>
      </c>
      <c r="G7" s="46">
        <v>1.1100000000000001</v>
      </c>
      <c r="H7" s="46">
        <v>1</v>
      </c>
      <c r="I7" s="46">
        <v>1.3</v>
      </c>
      <c r="J7" s="46">
        <v>1</v>
      </c>
    </row>
    <row r="8" spans="1:11" x14ac:dyDescent="0.3">
      <c r="A8" s="45" t="s">
        <v>758</v>
      </c>
      <c r="B8" s="46">
        <v>1</v>
      </c>
      <c r="C8" s="46">
        <v>1</v>
      </c>
      <c r="D8" s="46">
        <v>1</v>
      </c>
      <c r="E8" s="46">
        <v>1</v>
      </c>
      <c r="F8" s="46">
        <v>1</v>
      </c>
      <c r="G8" s="46">
        <v>1</v>
      </c>
      <c r="H8" s="46">
        <v>1</v>
      </c>
      <c r="I8" s="46">
        <v>1.3</v>
      </c>
      <c r="J8" s="46">
        <v>1</v>
      </c>
    </row>
    <row r="9" spans="1:11" x14ac:dyDescent="0.3">
      <c r="A9" s="45" t="s">
        <v>759</v>
      </c>
      <c r="B9" s="46">
        <v>0.36</v>
      </c>
      <c r="C9" s="46">
        <v>0.36</v>
      </c>
      <c r="D9" s="46">
        <v>0.69</v>
      </c>
      <c r="E9" s="46">
        <v>0.69</v>
      </c>
      <c r="F9" s="46">
        <v>0.94</v>
      </c>
      <c r="G9" s="46">
        <v>0.94</v>
      </c>
      <c r="H9" s="46">
        <v>1</v>
      </c>
      <c r="I9" s="46">
        <v>1.3</v>
      </c>
      <c r="J9" s="46">
        <v>1</v>
      </c>
    </row>
    <row r="10" spans="1:11" x14ac:dyDescent="0.3">
      <c r="A10" s="45" t="s">
        <v>760</v>
      </c>
      <c r="B10" s="46">
        <v>0.61</v>
      </c>
      <c r="C10" s="46">
        <v>0.61</v>
      </c>
      <c r="D10" s="46">
        <v>0.8</v>
      </c>
      <c r="E10" s="46">
        <v>0.8</v>
      </c>
      <c r="F10" s="46">
        <v>0.96</v>
      </c>
      <c r="G10" s="46">
        <v>0.96</v>
      </c>
      <c r="H10" s="46">
        <v>1</v>
      </c>
      <c r="I10" s="46">
        <v>1.3</v>
      </c>
      <c r="J10" s="46">
        <v>1</v>
      </c>
    </row>
    <row r="11" spans="1:11" x14ac:dyDescent="0.3">
      <c r="A11" s="45" t="s">
        <v>761</v>
      </c>
      <c r="B11" s="46">
        <v>0.61</v>
      </c>
      <c r="C11" s="46">
        <v>0.61</v>
      </c>
      <c r="D11" s="46">
        <v>0.8</v>
      </c>
      <c r="E11" s="46">
        <v>0.8</v>
      </c>
      <c r="F11" s="46">
        <v>0.96</v>
      </c>
      <c r="G11" s="46">
        <v>0.96</v>
      </c>
      <c r="H11" s="46">
        <v>1</v>
      </c>
      <c r="I11" s="46">
        <v>1.3</v>
      </c>
      <c r="J11" s="46">
        <v>1</v>
      </c>
    </row>
    <row r="12" spans="1:11" x14ac:dyDescent="0.3">
      <c r="A12" s="45" t="s">
        <v>762</v>
      </c>
      <c r="B12" s="46">
        <v>0.61</v>
      </c>
      <c r="C12" s="46">
        <v>0.61</v>
      </c>
      <c r="D12" s="46">
        <v>0.8</v>
      </c>
      <c r="E12" s="46">
        <v>0.8</v>
      </c>
      <c r="F12" s="46">
        <v>0.96</v>
      </c>
      <c r="G12" s="46">
        <v>0.96</v>
      </c>
      <c r="H12" s="46">
        <v>1</v>
      </c>
      <c r="I12" s="46">
        <v>1.3</v>
      </c>
      <c r="J12" s="46">
        <v>1</v>
      </c>
    </row>
    <row r="13" spans="1:11" x14ac:dyDescent="0.3">
      <c r="A13" s="45" t="s">
        <v>763</v>
      </c>
      <c r="B13" s="46">
        <v>0.53</v>
      </c>
      <c r="C13" s="46">
        <v>0.53</v>
      </c>
      <c r="D13" s="46">
        <v>0.76</v>
      </c>
      <c r="E13" s="46">
        <v>0.76</v>
      </c>
      <c r="F13" s="46">
        <v>1.03</v>
      </c>
      <c r="G13" s="46">
        <v>1.03</v>
      </c>
      <c r="H13" s="46">
        <v>1</v>
      </c>
      <c r="I13" s="46">
        <v>1.3</v>
      </c>
      <c r="J13" s="46">
        <v>1</v>
      </c>
    </row>
    <row r="14" spans="1:11" x14ac:dyDescent="0.3">
      <c r="A14" s="45" t="s">
        <v>764</v>
      </c>
      <c r="B14" s="46">
        <v>0.6</v>
      </c>
      <c r="C14" s="46">
        <v>0.6</v>
      </c>
      <c r="D14" s="46">
        <v>0.8</v>
      </c>
      <c r="E14" s="46">
        <v>0.8</v>
      </c>
      <c r="F14" s="46">
        <v>1.05</v>
      </c>
      <c r="G14" s="46">
        <v>1.05</v>
      </c>
      <c r="H14" s="46">
        <v>1</v>
      </c>
      <c r="I14" s="46">
        <v>1.3</v>
      </c>
      <c r="J14" s="46">
        <v>1</v>
      </c>
    </row>
    <row r="15" spans="1:11" x14ac:dyDescent="0.3">
      <c r="A15" s="45" t="s">
        <v>765</v>
      </c>
      <c r="B15" s="46">
        <v>0.61</v>
      </c>
      <c r="C15" s="46">
        <v>0.61</v>
      </c>
      <c r="D15" s="46">
        <v>0.8</v>
      </c>
      <c r="E15" s="46">
        <v>0.8</v>
      </c>
      <c r="F15" s="46">
        <v>0.96</v>
      </c>
      <c r="G15" s="46">
        <v>0.96</v>
      </c>
      <c r="H15" s="46">
        <v>1</v>
      </c>
      <c r="I15" s="46">
        <v>1.3</v>
      </c>
      <c r="J15" s="46">
        <v>1</v>
      </c>
    </row>
    <row r="16" spans="1:11" x14ac:dyDescent="0.3">
      <c r="A16" s="45" t="s">
        <v>766</v>
      </c>
      <c r="B16" s="46">
        <v>0.69</v>
      </c>
      <c r="C16" s="46">
        <v>0.69</v>
      </c>
      <c r="D16" s="46">
        <v>0.85</v>
      </c>
      <c r="E16" s="46">
        <v>0.85</v>
      </c>
      <c r="F16" s="46">
        <v>1.1200000000000001</v>
      </c>
      <c r="G16" s="46">
        <v>1.1200000000000001</v>
      </c>
      <c r="H16" s="46">
        <v>1</v>
      </c>
      <c r="I16" s="46">
        <v>1.3</v>
      </c>
      <c r="J16" s="46">
        <v>1</v>
      </c>
    </row>
    <row r="17" spans="1:10" x14ac:dyDescent="0.3">
      <c r="A17" s="45" t="s">
        <v>767</v>
      </c>
      <c r="B17" s="46">
        <v>0.69</v>
      </c>
      <c r="C17" s="46">
        <v>0.69</v>
      </c>
      <c r="D17" s="46">
        <v>0.85</v>
      </c>
      <c r="E17" s="46">
        <v>0.85</v>
      </c>
      <c r="F17" s="46">
        <v>1.07</v>
      </c>
      <c r="G17" s="46">
        <v>1.07</v>
      </c>
      <c r="H17" s="46">
        <v>1</v>
      </c>
      <c r="I17" s="46">
        <v>1.3</v>
      </c>
      <c r="J17" s="46">
        <v>1</v>
      </c>
    </row>
    <row r="18" spans="1:10" x14ac:dyDescent="0.3">
      <c r="A18" s="45" t="s">
        <v>187</v>
      </c>
      <c r="B18" s="46">
        <v>0.66</v>
      </c>
      <c r="C18" s="46">
        <v>0.66</v>
      </c>
      <c r="D18" s="46">
        <v>0.84</v>
      </c>
      <c r="E18" s="46">
        <v>0.84</v>
      </c>
      <c r="F18" s="46">
        <v>1.08</v>
      </c>
      <c r="G18" s="46">
        <v>1.08</v>
      </c>
      <c r="H18" s="46">
        <v>1</v>
      </c>
      <c r="I18" s="46">
        <v>1.3</v>
      </c>
      <c r="J18" s="46">
        <v>1</v>
      </c>
    </row>
    <row r="19" spans="1:10" x14ac:dyDescent="0.3">
      <c r="A19" s="45" t="s">
        <v>768</v>
      </c>
      <c r="B19" s="46">
        <v>0.81</v>
      </c>
      <c r="C19" s="46">
        <v>0.81</v>
      </c>
      <c r="D19" s="46">
        <v>1</v>
      </c>
      <c r="E19" s="46">
        <v>1</v>
      </c>
      <c r="F19" s="46">
        <v>1.08</v>
      </c>
      <c r="G19" s="46">
        <v>1.08</v>
      </c>
      <c r="H19" s="46">
        <v>1</v>
      </c>
      <c r="I19" s="46">
        <v>1.3</v>
      </c>
      <c r="J19" s="46">
        <v>1</v>
      </c>
    </row>
    <row r="20" spans="1:10" x14ac:dyDescent="0.3">
      <c r="A20" s="45" t="s">
        <v>769</v>
      </c>
      <c r="B20" s="46">
        <v>1</v>
      </c>
      <c r="C20" s="46">
        <v>1</v>
      </c>
      <c r="D20" s="46">
        <v>1</v>
      </c>
      <c r="E20" s="46">
        <v>1</v>
      </c>
      <c r="F20" s="46">
        <v>1</v>
      </c>
      <c r="G20" s="46">
        <v>1</v>
      </c>
      <c r="H20" s="46">
        <v>1</v>
      </c>
      <c r="I20" s="46">
        <v>1.3</v>
      </c>
      <c r="J20" s="46">
        <v>1</v>
      </c>
    </row>
    <row r="21" spans="1:10" x14ac:dyDescent="0.3">
      <c r="A21" s="45" t="s">
        <v>770</v>
      </c>
      <c r="B21" s="46">
        <v>0.74</v>
      </c>
      <c r="C21" s="46">
        <v>0.74</v>
      </c>
      <c r="D21" s="46">
        <v>0.88</v>
      </c>
      <c r="E21" s="46">
        <v>0.88</v>
      </c>
      <c r="F21" s="46">
        <v>0.96</v>
      </c>
      <c r="G21" s="46">
        <v>0.96</v>
      </c>
      <c r="H21" s="46">
        <v>1</v>
      </c>
      <c r="I21" s="46">
        <v>1.3</v>
      </c>
      <c r="J21" s="46">
        <v>1</v>
      </c>
    </row>
    <row r="22" spans="1:10" x14ac:dyDescent="0.3">
      <c r="A22" s="45" t="s">
        <v>771</v>
      </c>
      <c r="B22" s="46">
        <v>0.62</v>
      </c>
      <c r="C22" s="46">
        <v>0.62</v>
      </c>
      <c r="D22" s="46">
        <v>0.82</v>
      </c>
      <c r="E22" s="46">
        <v>0.82</v>
      </c>
      <c r="F22" s="46">
        <v>1.03</v>
      </c>
      <c r="G22" s="46">
        <v>1.03</v>
      </c>
      <c r="H22" s="46">
        <v>1</v>
      </c>
      <c r="I22" s="46">
        <v>1.3</v>
      </c>
      <c r="J22" s="46">
        <v>1</v>
      </c>
    </row>
    <row r="23" spans="1:10" x14ac:dyDescent="0.3">
      <c r="A23" s="45" t="s">
        <v>772</v>
      </c>
      <c r="B23" s="46">
        <v>0.62</v>
      </c>
      <c r="C23" s="46">
        <v>0.62</v>
      </c>
      <c r="D23" s="46">
        <v>0.82</v>
      </c>
      <c r="E23" s="46">
        <v>0.82</v>
      </c>
      <c r="F23" s="46">
        <v>1.1000000000000001</v>
      </c>
      <c r="G23" s="46">
        <v>1.1000000000000001</v>
      </c>
      <c r="H23" s="46">
        <v>1</v>
      </c>
      <c r="I23" s="46">
        <v>1.3</v>
      </c>
      <c r="J23" s="46">
        <v>1</v>
      </c>
    </row>
    <row r="24" spans="1:10" x14ac:dyDescent="0.3">
      <c r="A24" s="45" t="s">
        <v>773</v>
      </c>
      <c r="B24" s="46">
        <v>0.62</v>
      </c>
      <c r="C24" s="46">
        <v>0.62</v>
      </c>
      <c r="D24" s="46">
        <v>0.82</v>
      </c>
      <c r="E24" s="46">
        <v>0.82</v>
      </c>
      <c r="F24" s="46">
        <v>1.1200000000000001</v>
      </c>
      <c r="G24" s="46">
        <v>1.1200000000000001</v>
      </c>
      <c r="H24" s="46">
        <v>1</v>
      </c>
      <c r="I24" s="46">
        <v>1.3</v>
      </c>
      <c r="J24" s="46">
        <v>1</v>
      </c>
    </row>
    <row r="25" spans="1:10" x14ac:dyDescent="0.3">
      <c r="A25" s="45" t="s">
        <v>774</v>
      </c>
      <c r="B25" s="46">
        <v>0.54</v>
      </c>
      <c r="C25" s="46">
        <v>0.54</v>
      </c>
      <c r="D25" s="46">
        <v>0.78</v>
      </c>
      <c r="E25" s="46">
        <v>0.78</v>
      </c>
      <c r="F25" s="46">
        <v>1.04</v>
      </c>
      <c r="G25" s="46">
        <v>1.04</v>
      </c>
      <c r="H25" s="46">
        <v>1</v>
      </c>
      <c r="I25" s="46">
        <v>1.3</v>
      </c>
      <c r="J25" s="46">
        <v>1</v>
      </c>
    </row>
    <row r="26" spans="1:10" x14ac:dyDescent="0.3">
      <c r="A26" s="45" t="s">
        <v>775</v>
      </c>
      <c r="B26" s="46">
        <v>0.45</v>
      </c>
      <c r="C26" s="46">
        <v>0.45</v>
      </c>
      <c r="D26" s="46">
        <v>0.74</v>
      </c>
      <c r="E26" s="46">
        <v>0.74</v>
      </c>
      <c r="F26" s="46">
        <v>1.05</v>
      </c>
      <c r="G26" s="46">
        <v>1.05</v>
      </c>
      <c r="H26" s="46">
        <v>1</v>
      </c>
      <c r="I26" s="46">
        <v>1.3</v>
      </c>
      <c r="J26" s="46">
        <v>1</v>
      </c>
    </row>
    <row r="27" spans="1:10" x14ac:dyDescent="0.3">
      <c r="A27" s="45" t="s">
        <v>776</v>
      </c>
      <c r="B27" s="46">
        <v>0.45</v>
      </c>
      <c r="C27" s="46">
        <v>0.45</v>
      </c>
      <c r="D27" s="46">
        <v>0.74</v>
      </c>
      <c r="E27" s="46">
        <v>0.74</v>
      </c>
      <c r="F27" s="46">
        <v>1.05</v>
      </c>
      <c r="G27" s="46">
        <v>1.05</v>
      </c>
      <c r="H27" s="46">
        <v>1</v>
      </c>
      <c r="I27" s="46">
        <v>1.3</v>
      </c>
      <c r="J27" s="46">
        <v>1</v>
      </c>
    </row>
    <row r="28" spans="1:10" x14ac:dyDescent="0.3">
      <c r="A28" s="45" t="s">
        <v>777</v>
      </c>
      <c r="B28" s="46">
        <v>0.59</v>
      </c>
      <c r="C28" s="46">
        <v>0.59</v>
      </c>
      <c r="D28" s="46">
        <v>0.8</v>
      </c>
      <c r="E28" s="46">
        <v>0.8</v>
      </c>
      <c r="F28" s="46">
        <v>1</v>
      </c>
      <c r="G28" s="46">
        <v>1</v>
      </c>
      <c r="H28" s="46">
        <v>1</v>
      </c>
      <c r="I28" s="46">
        <v>1.3</v>
      </c>
      <c r="J28" s="46">
        <v>1</v>
      </c>
    </row>
    <row r="29" spans="1:10" x14ac:dyDescent="0.3">
      <c r="A29" s="45" t="s">
        <v>778</v>
      </c>
      <c r="B29" s="46">
        <v>1</v>
      </c>
      <c r="C29" s="46">
        <v>1</v>
      </c>
      <c r="D29" s="46">
        <v>1</v>
      </c>
      <c r="E29" s="46">
        <v>1</v>
      </c>
      <c r="F29" s="46">
        <v>1</v>
      </c>
      <c r="G29" s="46">
        <v>1</v>
      </c>
      <c r="H29" s="46">
        <v>1</v>
      </c>
      <c r="I29" s="46">
        <v>1.3</v>
      </c>
      <c r="J29" s="46">
        <v>1</v>
      </c>
    </row>
    <row r="30" spans="1:10" x14ac:dyDescent="0.3">
      <c r="A30" s="45" t="s">
        <v>779</v>
      </c>
      <c r="B30" s="46">
        <v>0.82</v>
      </c>
      <c r="C30" s="46">
        <v>0.82</v>
      </c>
      <c r="D30" s="46">
        <v>1</v>
      </c>
      <c r="E30" s="46">
        <v>1</v>
      </c>
      <c r="F30" s="46">
        <v>0.96</v>
      </c>
      <c r="G30" s="46">
        <v>0.96</v>
      </c>
      <c r="H30" s="46">
        <v>1</v>
      </c>
      <c r="I30" s="46">
        <v>1.3</v>
      </c>
      <c r="J30" s="46">
        <v>1</v>
      </c>
    </row>
    <row r="31" spans="1:10" x14ac:dyDescent="0.3">
      <c r="A31" s="45" t="s">
        <v>780</v>
      </c>
      <c r="B31" s="46">
        <v>0.82</v>
      </c>
      <c r="C31" s="46">
        <v>0.82</v>
      </c>
      <c r="D31" s="46">
        <v>1</v>
      </c>
      <c r="E31" s="46">
        <v>1</v>
      </c>
      <c r="F31" s="46">
        <v>1.03</v>
      </c>
      <c r="G31" s="46">
        <v>1.03</v>
      </c>
      <c r="H31" s="46">
        <v>1</v>
      </c>
      <c r="I31" s="46">
        <v>1.3</v>
      </c>
      <c r="J31" s="46">
        <v>1</v>
      </c>
    </row>
    <row r="33" spans="1:5" x14ac:dyDescent="0.3">
      <c r="A33" s="9" t="s">
        <v>781</v>
      </c>
    </row>
    <row r="35" spans="1:5" ht="18" x14ac:dyDescent="0.35">
      <c r="A35" s="43" t="s">
        <v>782</v>
      </c>
    </row>
    <row r="36" spans="1:5" ht="43.2" x14ac:dyDescent="0.3">
      <c r="A36" s="38" t="s">
        <v>203</v>
      </c>
      <c r="B36" s="38" t="s">
        <v>204</v>
      </c>
      <c r="C36" s="40" t="s">
        <v>783</v>
      </c>
      <c r="E36" s="38"/>
    </row>
    <row r="37" spans="1:5" x14ac:dyDescent="0.3">
      <c r="A37" s="41" t="s">
        <v>246</v>
      </c>
      <c r="B37" s="41" t="s">
        <v>247</v>
      </c>
      <c r="C37" s="42" t="s">
        <v>754</v>
      </c>
      <c r="E37" s="39"/>
    </row>
    <row r="38" spans="1:5" ht="28.8" x14ac:dyDescent="0.3">
      <c r="A38" s="41" t="s">
        <v>246</v>
      </c>
      <c r="B38" s="41" t="s">
        <v>250</v>
      </c>
      <c r="C38" s="42" t="s">
        <v>752</v>
      </c>
    </row>
    <row r="39" spans="1:5" ht="28.8" x14ac:dyDescent="0.3">
      <c r="A39" s="41" t="s">
        <v>246</v>
      </c>
      <c r="B39" s="41" t="s">
        <v>784</v>
      </c>
      <c r="C39" s="42" t="s">
        <v>753</v>
      </c>
    </row>
    <row r="40" spans="1:5" ht="43.2" x14ac:dyDescent="0.3">
      <c r="A40" s="41" t="s">
        <v>785</v>
      </c>
      <c r="B40" s="41" t="s">
        <v>247</v>
      </c>
      <c r="C40" s="42" t="s">
        <v>747</v>
      </c>
    </row>
    <row r="41" spans="1:5" ht="43.2" x14ac:dyDescent="0.3">
      <c r="A41" s="41" t="s">
        <v>785</v>
      </c>
      <c r="B41" s="41" t="s">
        <v>250</v>
      </c>
      <c r="C41" s="42" t="s">
        <v>746</v>
      </c>
    </row>
    <row r="42" spans="1:5" ht="28.8" x14ac:dyDescent="0.3">
      <c r="A42" s="41" t="s">
        <v>785</v>
      </c>
      <c r="B42" s="41" t="s">
        <v>784</v>
      </c>
      <c r="C42" s="42" t="s">
        <v>753</v>
      </c>
    </row>
    <row r="43" spans="1:5" ht="43.2" x14ac:dyDescent="0.3">
      <c r="A43" s="41" t="s">
        <v>259</v>
      </c>
      <c r="B43" s="41" t="s">
        <v>247</v>
      </c>
      <c r="C43" s="42" t="s">
        <v>749</v>
      </c>
    </row>
    <row r="44" spans="1:5" ht="28.8" x14ac:dyDescent="0.3">
      <c r="A44" s="41" t="s">
        <v>259</v>
      </c>
      <c r="B44" s="41" t="s">
        <v>250</v>
      </c>
      <c r="C44" s="42" t="s">
        <v>748</v>
      </c>
    </row>
    <row r="45" spans="1:5" ht="28.8" x14ac:dyDescent="0.3">
      <c r="A45" s="41" t="s">
        <v>259</v>
      </c>
      <c r="B45" s="41" t="s">
        <v>784</v>
      </c>
      <c r="C45" s="42" t="s">
        <v>753</v>
      </c>
    </row>
    <row r="46" spans="1:5" ht="43.2" x14ac:dyDescent="0.3">
      <c r="A46" s="41" t="s">
        <v>249</v>
      </c>
      <c r="B46" s="41" t="s">
        <v>247</v>
      </c>
      <c r="C46" s="42" t="s">
        <v>751</v>
      </c>
    </row>
    <row r="47" spans="1:5" ht="43.2" x14ac:dyDescent="0.3">
      <c r="A47" s="41" t="s">
        <v>249</v>
      </c>
      <c r="B47" s="41" t="s">
        <v>250</v>
      </c>
      <c r="C47" s="42" t="s">
        <v>750</v>
      </c>
    </row>
    <row r="48" spans="1:5" ht="28.8" x14ac:dyDescent="0.3">
      <c r="A48" s="41" t="s">
        <v>249</v>
      </c>
      <c r="B48" s="41" t="s">
        <v>784</v>
      </c>
      <c r="C48" s="42" t="s">
        <v>753</v>
      </c>
    </row>
  </sheetData>
  <pageMargins left="0.7" right="0.7" top="0.75" bottom="0.75" header="0.3" footer="0.3"/>
  <tableParts count="2">
    <tablePart r:id="rId1"/>
    <tablePart r:id="rId2"/>
  </tablePart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4D3F8-BCC4-4D74-81BC-FDFBAAE23A95}">
  <sheetPr>
    <tabColor theme="5" tint="0.79998168889431442"/>
  </sheetPr>
  <dimension ref="A1:AT118"/>
  <sheetViews>
    <sheetView showGridLines="0" workbookViewId="0">
      <pane ySplit="7" topLeftCell="A8" activePane="bottomLeft" state="frozen"/>
      <selection pane="bottomLeft" activeCell="A5" sqref="A5"/>
    </sheetView>
  </sheetViews>
  <sheetFormatPr defaultColWidth="8.88671875" defaultRowHeight="14.4" x14ac:dyDescent="0.3"/>
  <cols>
    <col min="1" max="1" width="13.5546875" style="14" customWidth="1"/>
    <col min="2" max="2" width="22.88671875" style="11" bestFit="1" customWidth="1"/>
    <col min="3" max="3" width="29.33203125" style="11" customWidth="1"/>
    <col min="4" max="4" width="14.33203125" style="12" bestFit="1" customWidth="1"/>
    <col min="5" max="5" width="15.6640625" style="11" bestFit="1" customWidth="1"/>
    <col min="6" max="6" width="15.6640625" style="60" customWidth="1"/>
    <col min="7" max="7" width="16.44140625" style="11" customWidth="1"/>
    <col min="8" max="8" width="14" style="11" customWidth="1"/>
    <col min="9" max="9" width="51.6640625" style="14" bestFit="1" customWidth="1"/>
    <col min="11" max="16" width="8.88671875" style="14"/>
    <col min="17" max="16384" width="8.88671875" style="11"/>
  </cols>
  <sheetData>
    <row r="1" spans="1:46" customFormat="1" ht="21" x14ac:dyDescent="0.4">
      <c r="A1" s="283" t="s">
        <v>786</v>
      </c>
      <c r="F1" s="204" t="s">
        <v>533</v>
      </c>
      <c r="I1" s="53"/>
      <c r="K1" s="302"/>
    </row>
    <row r="2" spans="1:46" customFormat="1" x14ac:dyDescent="0.3">
      <c r="A2" s="326" t="s">
        <v>787</v>
      </c>
      <c r="B2" s="11"/>
      <c r="C2" s="11"/>
      <c r="F2" s="60"/>
      <c r="I2" s="14"/>
    </row>
    <row r="3" spans="1:46" customFormat="1" x14ac:dyDescent="0.3">
      <c r="A3" s="326" t="s">
        <v>788</v>
      </c>
      <c r="B3" s="11"/>
      <c r="C3" s="11"/>
      <c r="F3" s="60"/>
      <c r="I3" s="14"/>
    </row>
    <row r="4" spans="1:46" x14ac:dyDescent="0.3">
      <c r="A4" s="49" t="s">
        <v>789</v>
      </c>
      <c r="B4"/>
    </row>
    <row r="5" spans="1:46" x14ac:dyDescent="0.3">
      <c r="A5" s="11"/>
      <c r="B5"/>
    </row>
    <row r="6" spans="1:46" customFormat="1" ht="18" x14ac:dyDescent="0.35">
      <c r="A6" s="17" t="s">
        <v>790</v>
      </c>
      <c r="F6" s="58"/>
      <c r="I6" s="53"/>
      <c r="K6" s="302"/>
    </row>
    <row r="7" spans="1:46" s="7" customFormat="1" ht="43.2" x14ac:dyDescent="0.3">
      <c r="A7" s="7" t="s">
        <v>791</v>
      </c>
      <c r="B7" s="15" t="s">
        <v>792</v>
      </c>
      <c r="C7" s="7" t="s">
        <v>793</v>
      </c>
      <c r="D7" s="59" t="s">
        <v>794</v>
      </c>
      <c r="E7" s="7" t="s">
        <v>795</v>
      </c>
      <c r="F7" s="7" t="s">
        <v>796</v>
      </c>
      <c r="G7" s="15" t="s">
        <v>797</v>
      </c>
      <c r="H7" s="15" t="s">
        <v>798</v>
      </c>
      <c r="I7" s="13" t="s">
        <v>799</v>
      </c>
      <c r="J7" s="7" t="s">
        <v>800</v>
      </c>
      <c r="K7" s="7" t="s">
        <v>801</v>
      </c>
      <c r="L7" s="7" t="s">
        <v>802</v>
      </c>
      <c r="M7" s="7" t="s">
        <v>803</v>
      </c>
      <c r="N7" s="7" t="s">
        <v>804</v>
      </c>
      <c r="O7" s="7" t="s">
        <v>805</v>
      </c>
      <c r="P7" s="7" t="s">
        <v>806</v>
      </c>
      <c r="Q7" s="7" t="s">
        <v>807</v>
      </c>
      <c r="R7" s="7" t="s">
        <v>808</v>
      </c>
      <c r="S7" s="7" t="s">
        <v>809</v>
      </c>
      <c r="T7" s="7" t="s">
        <v>810</v>
      </c>
      <c r="U7" s="7" t="s">
        <v>811</v>
      </c>
      <c r="V7" s="7" t="s">
        <v>812</v>
      </c>
      <c r="W7" s="7" t="s">
        <v>813</v>
      </c>
      <c r="X7" s="7" t="s">
        <v>814</v>
      </c>
      <c r="Y7" s="7" t="s">
        <v>815</v>
      </c>
      <c r="Z7" s="7" t="s">
        <v>816</v>
      </c>
      <c r="AA7" s="7" t="s">
        <v>817</v>
      </c>
      <c r="AB7" s="7" t="s">
        <v>818</v>
      </c>
      <c r="AC7" s="7" t="s">
        <v>819</v>
      </c>
      <c r="AD7" s="7" t="s">
        <v>820</v>
      </c>
      <c r="AE7" s="7" t="s">
        <v>821</v>
      </c>
      <c r="AF7" s="7" t="s">
        <v>822</v>
      </c>
      <c r="AG7" s="7" t="s">
        <v>823</v>
      </c>
      <c r="AH7" s="7" t="s">
        <v>824</v>
      </c>
      <c r="AI7" s="7" t="s">
        <v>825</v>
      </c>
      <c r="AJ7" s="7" t="s">
        <v>826</v>
      </c>
      <c r="AK7" s="7" t="s">
        <v>827</v>
      </c>
      <c r="AL7" s="7" t="s">
        <v>828</v>
      </c>
      <c r="AM7" s="7" t="s">
        <v>829</v>
      </c>
      <c r="AN7" s="7" t="s">
        <v>830</v>
      </c>
      <c r="AO7" s="7" t="s">
        <v>831</v>
      </c>
      <c r="AP7" s="7" t="s">
        <v>832</v>
      </c>
      <c r="AQ7" s="7" t="s">
        <v>833</v>
      </c>
      <c r="AR7" s="7" t="s">
        <v>834</v>
      </c>
      <c r="AS7" s="7" t="s">
        <v>835</v>
      </c>
      <c r="AT7" s="7" t="s">
        <v>836</v>
      </c>
    </row>
    <row r="8" spans="1:46" x14ac:dyDescent="0.3">
      <c r="A8" s="11" t="s">
        <v>413</v>
      </c>
      <c r="B8" s="12" t="s">
        <v>837</v>
      </c>
      <c r="C8" s="11" t="s">
        <v>838</v>
      </c>
      <c r="D8" s="60">
        <v>1</v>
      </c>
      <c r="E8" s="11" t="s">
        <v>839</v>
      </c>
      <c r="F8" s="11" t="s">
        <v>840</v>
      </c>
      <c r="I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wattlist_cfl_cold_cathode_dimmable_or_flashable</v>
      </c>
      <c r="J8" s="11">
        <v>3</v>
      </c>
      <c r="K8" s="11">
        <v>4</v>
      </c>
      <c r="L8" s="11">
        <v>5</v>
      </c>
      <c r="M8" s="11">
        <v>6</v>
      </c>
      <c r="N8" s="499">
        <v>7</v>
      </c>
      <c r="O8" s="499">
        <v>8</v>
      </c>
      <c r="P8" s="499">
        <v>9</v>
      </c>
      <c r="Q8" s="499">
        <v>10</v>
      </c>
      <c r="R8" s="499">
        <v>12</v>
      </c>
      <c r="S8" s="499">
        <v>14</v>
      </c>
      <c r="T8" s="499">
        <v>16</v>
      </c>
      <c r="U8" s="499">
        <v>18</v>
      </c>
      <c r="V8" s="499">
        <v>20</v>
      </c>
      <c r="W8" s="499"/>
      <c r="X8" s="499"/>
      <c r="Y8" s="499"/>
      <c r="Z8" s="499"/>
      <c r="AA8" s="499"/>
      <c r="AB8" s="499"/>
      <c r="AC8" s="499"/>
      <c r="AD8" s="499"/>
      <c r="AE8" s="499"/>
      <c r="AF8" s="499"/>
      <c r="AG8" s="499"/>
      <c r="AH8" s="499"/>
      <c r="AI8" s="499"/>
      <c r="AJ8" s="499"/>
      <c r="AK8" s="499"/>
      <c r="AL8" s="499"/>
      <c r="AM8" s="499"/>
      <c r="AN8" s="499"/>
      <c r="AO8" s="499"/>
      <c r="AP8" s="499"/>
      <c r="AQ8" s="499"/>
      <c r="AR8" s="499"/>
      <c r="AS8" s="499"/>
      <c r="AT8" s="499"/>
    </row>
    <row r="9" spans="1:46" x14ac:dyDescent="0.3">
      <c r="A9" s="11" t="s">
        <v>413</v>
      </c>
      <c r="B9" s="12" t="s">
        <v>414</v>
      </c>
      <c r="C9" s="11" t="s">
        <v>415</v>
      </c>
      <c r="D9" s="60">
        <v>1</v>
      </c>
      <c r="E9" s="11" t="s">
        <v>839</v>
      </c>
      <c r="F9" s="11" t="s">
        <v>840</v>
      </c>
      <c r="I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wattlist_cfl_hard_wired_or_gu_24_1_to_24_w</v>
      </c>
      <c r="J9" s="11">
        <v>1</v>
      </c>
      <c r="K9" s="11">
        <v>2</v>
      </c>
      <c r="L9" s="11">
        <v>3</v>
      </c>
      <c r="M9" s="11">
        <v>4</v>
      </c>
      <c r="N9" s="499">
        <v>5</v>
      </c>
      <c r="O9" s="499">
        <v>6</v>
      </c>
      <c r="P9" s="499">
        <v>7</v>
      </c>
      <c r="Q9" s="499">
        <v>8</v>
      </c>
      <c r="R9" s="499">
        <v>9</v>
      </c>
      <c r="S9" s="499">
        <v>10</v>
      </c>
      <c r="T9" s="499">
        <v>11</v>
      </c>
      <c r="U9" s="499">
        <v>12</v>
      </c>
      <c r="V9" s="499">
        <v>13</v>
      </c>
      <c r="W9" s="499">
        <v>14</v>
      </c>
      <c r="X9" s="499">
        <v>15</v>
      </c>
      <c r="Y9" s="499">
        <v>16</v>
      </c>
      <c r="Z9" s="499">
        <v>17</v>
      </c>
      <c r="AA9" s="499">
        <v>18</v>
      </c>
      <c r="AB9" s="499">
        <v>19</v>
      </c>
      <c r="AC9" s="499">
        <v>20</v>
      </c>
      <c r="AD9" s="499">
        <v>21</v>
      </c>
      <c r="AE9" s="499">
        <v>22</v>
      </c>
      <c r="AF9" s="499">
        <v>23</v>
      </c>
      <c r="AG9" s="499">
        <v>24</v>
      </c>
      <c r="AH9" s="499"/>
      <c r="AI9" s="499"/>
      <c r="AJ9" s="499"/>
      <c r="AK9" s="499"/>
      <c r="AL9" s="499"/>
      <c r="AM9" s="499"/>
      <c r="AN9" s="499"/>
      <c r="AO9" s="499"/>
      <c r="AP9" s="499"/>
      <c r="AQ9" s="499"/>
      <c r="AR9" s="499"/>
      <c r="AS9" s="499"/>
      <c r="AT9" s="499"/>
    </row>
    <row r="10" spans="1:46" x14ac:dyDescent="0.3">
      <c r="A10" s="11" t="s">
        <v>413</v>
      </c>
      <c r="B10" s="12" t="s">
        <v>414</v>
      </c>
      <c r="C10" s="11" t="s">
        <v>841</v>
      </c>
      <c r="D10" s="60">
        <v>1</v>
      </c>
      <c r="E10" s="11" t="s">
        <v>839</v>
      </c>
      <c r="F10" s="11" t="s">
        <v>840</v>
      </c>
      <c r="I1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wattlist_cfl_hard_wired_or_gu_24_25_to_45_w</v>
      </c>
      <c r="J10" s="11">
        <v>25</v>
      </c>
      <c r="K10" s="11">
        <v>26</v>
      </c>
      <c r="L10" s="11">
        <v>27</v>
      </c>
      <c r="M10" s="11">
        <v>28</v>
      </c>
      <c r="N10" s="499">
        <v>29</v>
      </c>
      <c r="O10" s="499">
        <v>30</v>
      </c>
      <c r="P10" s="499">
        <v>31</v>
      </c>
      <c r="Q10" s="499">
        <v>32</v>
      </c>
      <c r="R10" s="499">
        <v>33</v>
      </c>
      <c r="S10" s="499">
        <v>34</v>
      </c>
      <c r="T10" s="499">
        <v>35</v>
      </c>
      <c r="U10" s="499">
        <v>36</v>
      </c>
      <c r="V10" s="499">
        <v>37</v>
      </c>
      <c r="W10" s="499">
        <v>38</v>
      </c>
      <c r="X10" s="499">
        <v>39</v>
      </c>
      <c r="Y10" s="499">
        <v>40</v>
      </c>
      <c r="Z10" s="499">
        <v>41</v>
      </c>
      <c r="AA10" s="499">
        <v>42</v>
      </c>
      <c r="AB10" s="499">
        <v>43</v>
      </c>
      <c r="AC10" s="499">
        <v>44</v>
      </c>
      <c r="AD10" s="499">
        <v>45</v>
      </c>
      <c r="AE10" s="499"/>
      <c r="AF10" s="499"/>
      <c r="AG10" s="499"/>
      <c r="AH10" s="499"/>
      <c r="AI10" s="499"/>
      <c r="AJ10" s="499"/>
      <c r="AK10" s="499"/>
      <c r="AL10" s="499"/>
      <c r="AM10" s="499"/>
      <c r="AN10" s="499"/>
      <c r="AO10" s="499"/>
      <c r="AP10" s="499"/>
      <c r="AQ10" s="499"/>
      <c r="AR10" s="499"/>
      <c r="AS10" s="499"/>
      <c r="AT10" s="499"/>
    </row>
    <row r="11" spans="1:46" x14ac:dyDescent="0.3">
      <c r="A11" s="11" t="s">
        <v>413</v>
      </c>
      <c r="B11" s="12" t="s">
        <v>414</v>
      </c>
      <c r="C11" s="11" t="s">
        <v>842</v>
      </c>
      <c r="D11" s="60">
        <v>1</v>
      </c>
      <c r="E11" s="11" t="s">
        <v>839</v>
      </c>
      <c r="F11" s="11" t="s">
        <v>840</v>
      </c>
      <c r="I1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wattlist_cfl_hard_wired_or_gu_24__45_w</v>
      </c>
      <c r="J11" s="11">
        <v>46</v>
      </c>
      <c r="K11" s="11">
        <v>50</v>
      </c>
      <c r="L11" s="11">
        <v>55</v>
      </c>
      <c r="M11" s="11">
        <v>60</v>
      </c>
      <c r="N11" s="499">
        <v>65</v>
      </c>
      <c r="O11" s="499">
        <v>70</v>
      </c>
      <c r="P11" s="499">
        <v>75</v>
      </c>
      <c r="Q11" s="499">
        <v>80</v>
      </c>
      <c r="R11" s="499">
        <v>85</v>
      </c>
      <c r="S11" s="499">
        <v>90</v>
      </c>
      <c r="T11" s="499">
        <v>95</v>
      </c>
      <c r="U11" s="499">
        <v>100</v>
      </c>
      <c r="V11" s="499">
        <v>110</v>
      </c>
      <c r="W11" s="499">
        <v>120</v>
      </c>
      <c r="X11" s="499">
        <v>130</v>
      </c>
      <c r="Y11" s="499">
        <v>140</v>
      </c>
      <c r="Z11" s="499">
        <v>150</v>
      </c>
      <c r="AA11" s="499">
        <v>160</v>
      </c>
      <c r="AB11" s="499">
        <v>170</v>
      </c>
      <c r="AC11" s="499">
        <v>180</v>
      </c>
      <c r="AD11" s="499">
        <v>190</v>
      </c>
      <c r="AE11" s="499">
        <v>200</v>
      </c>
      <c r="AF11" s="499"/>
      <c r="AG11" s="499"/>
      <c r="AH11" s="499"/>
      <c r="AI11" s="499"/>
      <c r="AJ11" s="499"/>
      <c r="AK11" s="499"/>
      <c r="AL11" s="499"/>
      <c r="AM11" s="499"/>
      <c r="AN11" s="499"/>
      <c r="AO11" s="499"/>
      <c r="AP11" s="499"/>
      <c r="AQ11" s="499"/>
      <c r="AR11" s="499"/>
      <c r="AS11" s="499"/>
      <c r="AT11" s="499"/>
    </row>
    <row r="12" spans="1:46" x14ac:dyDescent="0.3">
      <c r="A12" s="11" t="s">
        <v>413</v>
      </c>
      <c r="B12" s="12" t="s">
        <v>843</v>
      </c>
      <c r="C12" s="11" t="s">
        <v>415</v>
      </c>
      <c r="D12" s="60">
        <v>1</v>
      </c>
      <c r="E12" s="11" t="s">
        <v>839</v>
      </c>
      <c r="F12" s="11" t="s">
        <v>840</v>
      </c>
      <c r="I1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wattlist_cfl_screw_in_1_to_24_w</v>
      </c>
      <c r="J12" s="11">
        <v>1</v>
      </c>
      <c r="K12" s="11">
        <v>2</v>
      </c>
      <c r="L12" s="11">
        <v>3</v>
      </c>
      <c r="M12" s="11">
        <v>4</v>
      </c>
      <c r="N12" s="499">
        <v>5</v>
      </c>
      <c r="O12" s="499">
        <v>6</v>
      </c>
      <c r="P12" s="499">
        <v>7</v>
      </c>
      <c r="Q12" s="499">
        <v>8</v>
      </c>
      <c r="R12" s="499">
        <v>9</v>
      </c>
      <c r="S12" s="499">
        <v>10</v>
      </c>
      <c r="T12" s="499">
        <v>11</v>
      </c>
      <c r="U12" s="499">
        <v>12</v>
      </c>
      <c r="V12" s="499">
        <v>13</v>
      </c>
      <c r="W12" s="499">
        <v>14</v>
      </c>
      <c r="X12" s="499">
        <v>15</v>
      </c>
      <c r="Y12" s="499">
        <v>16</v>
      </c>
      <c r="Z12" s="499">
        <v>17</v>
      </c>
      <c r="AA12" s="499">
        <v>18</v>
      </c>
      <c r="AB12" s="499">
        <v>19</v>
      </c>
      <c r="AC12" s="499">
        <v>20</v>
      </c>
      <c r="AD12" s="499">
        <v>21</v>
      </c>
      <c r="AE12" s="499">
        <v>22</v>
      </c>
      <c r="AF12" s="499">
        <v>23</v>
      </c>
      <c r="AG12" s="499">
        <v>24</v>
      </c>
      <c r="AH12" s="499"/>
      <c r="AI12" s="499"/>
      <c r="AJ12" s="499"/>
      <c r="AK12" s="499"/>
      <c r="AL12" s="499"/>
      <c r="AM12" s="499"/>
      <c r="AN12" s="499"/>
      <c r="AO12" s="499"/>
      <c r="AP12" s="499"/>
      <c r="AQ12" s="499"/>
      <c r="AR12" s="499"/>
      <c r="AS12" s="499"/>
      <c r="AT12" s="499"/>
    </row>
    <row r="13" spans="1:46" x14ac:dyDescent="0.3">
      <c r="A13" s="11" t="s">
        <v>413</v>
      </c>
      <c r="B13" s="12" t="s">
        <v>843</v>
      </c>
      <c r="C13" s="11" t="s">
        <v>841</v>
      </c>
      <c r="D13" s="60">
        <v>1</v>
      </c>
      <c r="E13" s="11" t="s">
        <v>839</v>
      </c>
      <c r="F13" s="11" t="s">
        <v>840</v>
      </c>
      <c r="I1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wattlist_cfl_screw_in_25_to_45_w</v>
      </c>
      <c r="J13" s="11">
        <v>25</v>
      </c>
      <c r="K13" s="11">
        <v>26</v>
      </c>
      <c r="L13" s="11">
        <v>27</v>
      </c>
      <c r="M13" s="11">
        <v>28</v>
      </c>
      <c r="N13" s="499">
        <v>29</v>
      </c>
      <c r="O13" s="499">
        <v>30</v>
      </c>
      <c r="P13" s="499">
        <v>31</v>
      </c>
      <c r="Q13" s="499">
        <v>32</v>
      </c>
      <c r="R13" s="499">
        <v>33</v>
      </c>
      <c r="S13" s="499">
        <v>34</v>
      </c>
      <c r="T13" s="499">
        <v>35</v>
      </c>
      <c r="U13" s="499">
        <v>36</v>
      </c>
      <c r="V13" s="499">
        <v>37</v>
      </c>
      <c r="W13" s="499">
        <v>38</v>
      </c>
      <c r="X13" s="499">
        <v>39</v>
      </c>
      <c r="Y13" s="499">
        <v>40</v>
      </c>
      <c r="Z13" s="499">
        <v>41</v>
      </c>
      <c r="AA13" s="499">
        <v>42</v>
      </c>
      <c r="AB13" s="499">
        <v>43</v>
      </c>
      <c r="AC13" s="499">
        <v>44</v>
      </c>
      <c r="AD13" s="499">
        <v>45</v>
      </c>
      <c r="AE13" s="499"/>
      <c r="AF13" s="499"/>
      <c r="AG13" s="499"/>
      <c r="AH13" s="499"/>
      <c r="AI13" s="499"/>
      <c r="AJ13" s="499"/>
      <c r="AK13" s="499"/>
      <c r="AL13" s="499"/>
      <c r="AM13" s="499"/>
      <c r="AN13" s="499"/>
      <c r="AO13" s="499"/>
      <c r="AP13" s="499"/>
      <c r="AQ13" s="499"/>
      <c r="AR13" s="499"/>
      <c r="AS13" s="499"/>
      <c r="AT13" s="499"/>
    </row>
    <row r="14" spans="1:46" x14ac:dyDescent="0.3">
      <c r="A14" s="11" t="s">
        <v>413</v>
      </c>
      <c r="B14" s="12" t="s">
        <v>843</v>
      </c>
      <c r="C14" s="11" t="s">
        <v>842</v>
      </c>
      <c r="D14" s="60">
        <v>1</v>
      </c>
      <c r="E14" s="11" t="s">
        <v>839</v>
      </c>
      <c r="F14" s="11" t="s">
        <v>840</v>
      </c>
      <c r="I1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wattlist_cfl_screw_in__45_w</v>
      </c>
      <c r="J14" s="11">
        <v>46</v>
      </c>
      <c r="K14" s="11">
        <v>50</v>
      </c>
      <c r="L14" s="11">
        <v>55</v>
      </c>
      <c r="M14" s="11">
        <v>60</v>
      </c>
      <c r="N14" s="499">
        <v>65</v>
      </c>
      <c r="O14" s="499">
        <v>70</v>
      </c>
      <c r="P14" s="499">
        <v>75</v>
      </c>
      <c r="Q14" s="499">
        <v>80</v>
      </c>
      <c r="R14" s="499">
        <v>85</v>
      </c>
      <c r="S14" s="499">
        <v>90</v>
      </c>
      <c r="T14" s="499">
        <v>95</v>
      </c>
      <c r="U14" s="499">
        <v>100</v>
      </c>
      <c r="V14" s="499">
        <v>110</v>
      </c>
      <c r="W14" s="499">
        <v>120</v>
      </c>
      <c r="X14" s="499">
        <v>130</v>
      </c>
      <c r="Y14" s="499">
        <v>140</v>
      </c>
      <c r="Z14" s="499">
        <v>150</v>
      </c>
      <c r="AA14" s="499">
        <v>160</v>
      </c>
      <c r="AB14" s="499">
        <v>170</v>
      </c>
      <c r="AC14" s="499">
        <v>180</v>
      </c>
      <c r="AD14" s="499">
        <v>190</v>
      </c>
      <c r="AE14" s="499">
        <v>200</v>
      </c>
      <c r="AF14" s="499"/>
      <c r="AG14" s="499"/>
      <c r="AH14" s="499"/>
      <c r="AI14" s="499"/>
      <c r="AJ14" s="499"/>
      <c r="AK14" s="499"/>
      <c r="AL14" s="499"/>
      <c r="AM14" s="499"/>
      <c r="AN14" s="499"/>
      <c r="AO14" s="499"/>
      <c r="AP14" s="499"/>
      <c r="AQ14" s="499"/>
      <c r="AR14" s="499"/>
      <c r="AS14" s="499"/>
      <c r="AT14" s="499"/>
    </row>
    <row r="15" spans="1:46" x14ac:dyDescent="0.3">
      <c r="A15" s="11" t="s">
        <v>427</v>
      </c>
      <c r="B15" s="12" t="s">
        <v>413</v>
      </c>
      <c r="C15" s="11" t="s">
        <v>844</v>
      </c>
      <c r="D15" s="60">
        <v>1.3</v>
      </c>
      <c r="E15" s="11" t="s">
        <v>839</v>
      </c>
      <c r="F15" s="11" t="s">
        <v>840</v>
      </c>
      <c r="I1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wattlist_exit_sign_cfl_screw_in_or_plug_in</v>
      </c>
      <c r="J15" s="11">
        <v>3</v>
      </c>
      <c r="K15" s="11">
        <v>5</v>
      </c>
      <c r="L15" s="11">
        <v>7</v>
      </c>
      <c r="M15" s="11">
        <v>9</v>
      </c>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c r="AM15" s="499"/>
      <c r="AN15" s="499"/>
      <c r="AO15" s="499"/>
      <c r="AP15" s="499"/>
      <c r="AQ15" s="499"/>
      <c r="AR15" s="499"/>
      <c r="AS15" s="499"/>
      <c r="AT15" s="499"/>
    </row>
    <row r="16" spans="1:46" x14ac:dyDescent="0.3">
      <c r="A16" s="11" t="s">
        <v>427</v>
      </c>
      <c r="B16" s="12" t="s">
        <v>845</v>
      </c>
      <c r="C16" s="11" t="s">
        <v>844</v>
      </c>
      <c r="D16" s="60">
        <v>1</v>
      </c>
      <c r="E16" s="11" t="s">
        <v>839</v>
      </c>
      <c r="F16" s="11" t="s">
        <v>840</v>
      </c>
      <c r="I1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wattlist_exit_sign_incandescent_screw_in_or_plug_in</v>
      </c>
      <c r="J16" s="11">
        <v>10</v>
      </c>
      <c r="K16" s="11">
        <v>15</v>
      </c>
      <c r="L16" s="11">
        <v>20</v>
      </c>
      <c r="M16" s="11">
        <v>25</v>
      </c>
      <c r="N16" s="499">
        <v>30</v>
      </c>
      <c r="O16" s="499">
        <v>35</v>
      </c>
      <c r="P16" s="499">
        <v>40</v>
      </c>
      <c r="Q16" s="499"/>
      <c r="R16" s="499"/>
      <c r="S16" s="499"/>
      <c r="T16" s="499"/>
      <c r="U16" s="499"/>
      <c r="V16" s="499"/>
      <c r="W16" s="499"/>
      <c r="X16" s="499"/>
      <c r="Y16" s="499"/>
      <c r="Z16" s="499"/>
      <c r="AA16" s="499"/>
      <c r="AB16" s="499"/>
      <c r="AC16" s="499"/>
      <c r="AD16" s="499"/>
      <c r="AE16" s="499"/>
      <c r="AF16" s="499"/>
      <c r="AG16" s="499"/>
      <c r="AH16" s="499"/>
      <c r="AI16" s="499"/>
      <c r="AJ16" s="499"/>
      <c r="AK16" s="499"/>
      <c r="AL16" s="499"/>
      <c r="AM16" s="499"/>
      <c r="AN16" s="499"/>
      <c r="AO16" s="499"/>
      <c r="AP16" s="499"/>
      <c r="AQ16" s="499"/>
      <c r="AR16" s="499"/>
      <c r="AS16" s="499"/>
      <c r="AT16" s="499"/>
    </row>
    <row r="17" spans="1:46" x14ac:dyDescent="0.3">
      <c r="A17" s="11" t="s">
        <v>427</v>
      </c>
      <c r="B17" s="12" t="s">
        <v>398</v>
      </c>
      <c r="C17" s="11" t="s">
        <v>428</v>
      </c>
      <c r="D17" s="60">
        <v>1</v>
      </c>
      <c r="E17" s="11" t="s">
        <v>839</v>
      </c>
      <c r="F17" s="11" t="s">
        <v>840</v>
      </c>
      <c r="I1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wattlist_exit_sign_led_new_fixture_or_retrofit_kit</v>
      </c>
      <c r="J17" s="11">
        <v>1.5</v>
      </c>
      <c r="K17" s="11">
        <v>3</v>
      </c>
      <c r="L17" s="11">
        <v>6</v>
      </c>
      <c r="M17" s="11">
        <v>9</v>
      </c>
      <c r="N17" s="499"/>
      <c r="O17" s="499"/>
      <c r="P17" s="499"/>
      <c r="Q17" s="499"/>
      <c r="R17" s="499"/>
      <c r="S17" s="499"/>
      <c r="T17" s="499"/>
      <c r="U17" s="499"/>
      <c r="V17" s="499"/>
      <c r="W17" s="499"/>
      <c r="X17" s="499"/>
      <c r="Y17" s="499"/>
      <c r="Z17" s="499"/>
      <c r="AA17" s="499"/>
      <c r="AB17" s="499"/>
      <c r="AC17" s="499"/>
      <c r="AD17" s="499"/>
      <c r="AE17" s="499"/>
      <c r="AF17" s="499"/>
      <c r="AG17" s="499"/>
      <c r="AH17" s="499"/>
      <c r="AI17" s="499"/>
      <c r="AJ17" s="499"/>
      <c r="AK17" s="499"/>
      <c r="AL17" s="499"/>
      <c r="AM17" s="499"/>
      <c r="AN17" s="499"/>
      <c r="AO17" s="499"/>
      <c r="AP17" s="499"/>
      <c r="AQ17" s="499"/>
      <c r="AR17" s="499"/>
      <c r="AS17" s="499"/>
      <c r="AT17" s="499"/>
    </row>
    <row r="18" spans="1:46" x14ac:dyDescent="0.3">
      <c r="A18" s="11" t="s">
        <v>427</v>
      </c>
      <c r="B18" s="12" t="s">
        <v>846</v>
      </c>
      <c r="C18" s="11" t="s">
        <v>847</v>
      </c>
      <c r="D18" s="60">
        <v>1.3</v>
      </c>
      <c r="E18" s="11" t="s">
        <v>839</v>
      </c>
      <c r="F18" s="11" t="s">
        <v>840</v>
      </c>
      <c r="I1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wattlist_exit_sign_linear_fluorescent_f4t5</v>
      </c>
      <c r="J18" s="11">
        <v>4</v>
      </c>
      <c r="K18" s="11"/>
      <c r="L18" s="11"/>
      <c r="M18" s="11"/>
      <c r="N18" s="499"/>
      <c r="O18" s="499"/>
      <c r="P18" s="499"/>
      <c r="Q18" s="499"/>
      <c r="R18" s="499"/>
      <c r="S18" s="499"/>
      <c r="T18" s="499"/>
      <c r="U18" s="499"/>
      <c r="V18" s="499"/>
      <c r="W18" s="499"/>
      <c r="X18" s="499"/>
      <c r="Y18" s="499"/>
      <c r="Z18" s="499"/>
      <c r="AA18" s="499"/>
      <c r="AB18" s="499"/>
      <c r="AC18" s="499"/>
      <c r="AD18" s="499"/>
      <c r="AE18" s="499"/>
      <c r="AF18" s="499"/>
      <c r="AG18" s="499"/>
      <c r="AH18" s="499"/>
      <c r="AI18" s="499"/>
      <c r="AJ18" s="499"/>
      <c r="AK18" s="499"/>
      <c r="AL18" s="499"/>
      <c r="AM18" s="499"/>
      <c r="AN18" s="499"/>
      <c r="AO18" s="499"/>
      <c r="AP18" s="499"/>
      <c r="AQ18" s="499"/>
      <c r="AR18" s="499"/>
      <c r="AS18" s="499"/>
      <c r="AT18" s="499"/>
    </row>
    <row r="19" spans="1:46" x14ac:dyDescent="0.3">
      <c r="A19" s="11" t="s">
        <v>427</v>
      </c>
      <c r="B19" s="12" t="s">
        <v>846</v>
      </c>
      <c r="C19" s="11" t="s">
        <v>848</v>
      </c>
      <c r="D19" s="60">
        <v>1.3</v>
      </c>
      <c r="E19" s="11" t="s">
        <v>839</v>
      </c>
      <c r="F19" s="11" t="s">
        <v>840</v>
      </c>
      <c r="I1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wattlist_exit_sign_linear_fluorescent_f6t5</v>
      </c>
      <c r="J19" s="11">
        <v>6</v>
      </c>
      <c r="K19" s="11"/>
      <c r="L19" s="11"/>
      <c r="M19" s="11"/>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499"/>
      <c r="AM19" s="499"/>
      <c r="AN19" s="499"/>
      <c r="AO19" s="499"/>
      <c r="AP19" s="499"/>
      <c r="AQ19" s="499"/>
      <c r="AR19" s="499"/>
      <c r="AS19" s="499"/>
      <c r="AT19" s="499"/>
    </row>
    <row r="20" spans="1:46" x14ac:dyDescent="0.3">
      <c r="A20" s="11" t="s">
        <v>427</v>
      </c>
      <c r="B20" s="12" t="s">
        <v>846</v>
      </c>
      <c r="C20" s="11" t="s">
        <v>849</v>
      </c>
      <c r="D20" s="60">
        <v>1.3</v>
      </c>
      <c r="E20" s="11" t="s">
        <v>839</v>
      </c>
      <c r="F20" s="11" t="s">
        <v>840</v>
      </c>
      <c r="I2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wattlist_exit_sign_linear_fluorescent_f8t5</v>
      </c>
      <c r="J20" s="11">
        <v>8</v>
      </c>
      <c r="K20" s="11"/>
      <c r="L20" s="11"/>
      <c r="M20" s="11"/>
      <c r="N20" s="499"/>
      <c r="O20" s="499"/>
      <c r="P20" s="499"/>
      <c r="Q20" s="499"/>
      <c r="R20" s="499"/>
      <c r="S20" s="499"/>
      <c r="T20" s="499"/>
      <c r="U20" s="499"/>
      <c r="V20" s="499"/>
      <c r="W20" s="499"/>
      <c r="X20" s="499"/>
      <c r="Y20" s="499"/>
      <c r="Z20" s="499"/>
      <c r="AA20" s="499"/>
      <c r="AB20" s="499"/>
      <c r="AC20" s="499"/>
      <c r="AD20" s="499"/>
      <c r="AE20" s="499"/>
      <c r="AF20" s="499"/>
      <c r="AG20" s="499"/>
      <c r="AH20" s="499"/>
      <c r="AI20" s="499"/>
      <c r="AJ20" s="499"/>
      <c r="AK20" s="499"/>
      <c r="AL20" s="499"/>
      <c r="AM20" s="499"/>
      <c r="AN20" s="499"/>
      <c r="AO20" s="499"/>
      <c r="AP20" s="499"/>
      <c r="AQ20" s="499"/>
      <c r="AR20" s="499"/>
      <c r="AS20" s="499"/>
      <c r="AT20" s="499"/>
    </row>
    <row r="21" spans="1:46" x14ac:dyDescent="0.3">
      <c r="A21" s="11" t="s">
        <v>418</v>
      </c>
      <c r="B21" s="12" t="s">
        <v>419</v>
      </c>
      <c r="C21" s="11" t="s">
        <v>420</v>
      </c>
      <c r="D21" s="60">
        <v>1.1499999999999999</v>
      </c>
      <c r="E21" s="11" t="s">
        <v>839</v>
      </c>
      <c r="F21" s="11" t="s">
        <v>840</v>
      </c>
      <c r="I2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wattlist_hid_hps_mag__ballast</v>
      </c>
      <c r="J21" s="11">
        <v>35</v>
      </c>
      <c r="K21" s="11">
        <v>50</v>
      </c>
      <c r="L21" s="11">
        <v>70</v>
      </c>
      <c r="M21" s="11">
        <v>100</v>
      </c>
      <c r="N21" s="499">
        <v>110</v>
      </c>
      <c r="O21" s="499">
        <v>150</v>
      </c>
      <c r="P21" s="499">
        <v>200</v>
      </c>
      <c r="Q21" s="499">
        <v>250</v>
      </c>
      <c r="R21" s="499">
        <v>310</v>
      </c>
      <c r="S21" s="499">
        <v>400</v>
      </c>
      <c r="T21" s="499">
        <v>600</v>
      </c>
      <c r="U21" s="499">
        <v>750</v>
      </c>
      <c r="V21" s="499">
        <v>1000</v>
      </c>
      <c r="W21" s="499">
        <v>1500</v>
      </c>
      <c r="X21" s="499"/>
      <c r="Y21" s="499"/>
      <c r="Z21" s="499"/>
      <c r="AA21" s="499"/>
      <c r="AB21" s="499"/>
      <c r="AC21" s="499"/>
      <c r="AD21" s="499"/>
      <c r="AE21" s="499"/>
      <c r="AF21" s="499"/>
      <c r="AG21" s="499"/>
      <c r="AH21" s="499"/>
      <c r="AI21" s="499"/>
      <c r="AJ21" s="499"/>
      <c r="AK21" s="499"/>
      <c r="AL21" s="499"/>
      <c r="AM21" s="499"/>
      <c r="AN21" s="499"/>
      <c r="AO21" s="499"/>
      <c r="AP21" s="499"/>
      <c r="AQ21" s="499"/>
      <c r="AR21" s="499"/>
      <c r="AS21" s="499"/>
      <c r="AT21" s="499"/>
    </row>
    <row r="22" spans="1:46" x14ac:dyDescent="0.3">
      <c r="A22" s="11" t="s">
        <v>418</v>
      </c>
      <c r="B22" s="12" t="s">
        <v>666</v>
      </c>
      <c r="C22" s="11" t="s">
        <v>850</v>
      </c>
      <c r="D22" s="60">
        <v>1.06</v>
      </c>
      <c r="E22" s="11" t="s">
        <v>839</v>
      </c>
      <c r="F22" s="11" t="s">
        <v>840</v>
      </c>
      <c r="I2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wattlist_hid_mh_ee_ballast</v>
      </c>
      <c r="J22" s="11">
        <v>20</v>
      </c>
      <c r="K22" s="11">
        <v>22</v>
      </c>
      <c r="L22" s="11">
        <v>24</v>
      </c>
      <c r="M22" s="11">
        <v>26</v>
      </c>
      <c r="N22" s="499">
        <v>28</v>
      </c>
      <c r="O22" s="499">
        <v>30</v>
      </c>
      <c r="P22" s="499">
        <v>35</v>
      </c>
      <c r="Q22" s="499">
        <v>40</v>
      </c>
      <c r="R22" s="499">
        <v>45</v>
      </c>
      <c r="S22" s="499">
        <v>50</v>
      </c>
      <c r="T22" s="499">
        <v>60</v>
      </c>
      <c r="U22" s="499">
        <v>70</v>
      </c>
      <c r="V22" s="499">
        <v>90</v>
      </c>
      <c r="W22" s="499">
        <v>100</v>
      </c>
      <c r="X22" s="499">
        <v>140</v>
      </c>
      <c r="Y22" s="499">
        <v>150</v>
      </c>
      <c r="Z22" s="499">
        <v>175</v>
      </c>
      <c r="AA22" s="499">
        <v>200</v>
      </c>
      <c r="AB22" s="499">
        <v>210</v>
      </c>
      <c r="AC22" s="499">
        <v>250</v>
      </c>
      <c r="AD22" s="499">
        <v>300</v>
      </c>
      <c r="AE22" s="499">
        <v>315</v>
      </c>
      <c r="AF22" s="499">
        <v>320</v>
      </c>
      <c r="AG22" s="499">
        <v>350</v>
      </c>
      <c r="AH22" s="499">
        <v>375</v>
      </c>
      <c r="AI22" s="499">
        <v>400</v>
      </c>
      <c r="AJ22" s="499">
        <v>450</v>
      </c>
      <c r="AK22" s="499">
        <v>575</v>
      </c>
      <c r="AL22" s="499">
        <v>600</v>
      </c>
      <c r="AM22" s="499">
        <v>750</v>
      </c>
      <c r="AN22" s="499">
        <v>1000</v>
      </c>
      <c r="AO22" s="499"/>
      <c r="AP22" s="499"/>
      <c r="AQ22" s="499"/>
      <c r="AR22" s="499"/>
      <c r="AS22" s="499"/>
      <c r="AT22" s="499"/>
    </row>
    <row r="23" spans="1:46" x14ac:dyDescent="0.3">
      <c r="A23" s="11" t="s">
        <v>418</v>
      </c>
      <c r="B23" s="12" t="s">
        <v>666</v>
      </c>
      <c r="C23" s="11" t="s">
        <v>420</v>
      </c>
      <c r="D23" s="60">
        <v>1.1499999999999999</v>
      </c>
      <c r="E23" s="11" t="s">
        <v>839</v>
      </c>
      <c r="F23" s="11" t="s">
        <v>840</v>
      </c>
      <c r="I2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wattlist_hid_mh_mag__ballast</v>
      </c>
      <c r="J23" s="11">
        <v>50</v>
      </c>
      <c r="K23" s="11">
        <v>70</v>
      </c>
      <c r="L23" s="11">
        <v>100</v>
      </c>
      <c r="M23" s="11">
        <v>120</v>
      </c>
      <c r="N23" s="499">
        <v>150</v>
      </c>
      <c r="O23" s="499">
        <v>175</v>
      </c>
      <c r="P23" s="499">
        <v>250</v>
      </c>
      <c r="Q23" s="499">
        <v>320</v>
      </c>
      <c r="R23" s="499">
        <v>400</v>
      </c>
      <c r="S23" s="499">
        <v>750</v>
      </c>
      <c r="T23" s="499">
        <v>1000</v>
      </c>
      <c r="U23" s="499">
        <v>1500</v>
      </c>
      <c r="V23" s="499"/>
      <c r="W23" s="499"/>
      <c r="X23" s="499"/>
      <c r="Y23" s="499"/>
      <c r="Z23" s="499"/>
      <c r="AA23" s="499"/>
      <c r="AB23" s="499"/>
      <c r="AC23" s="499"/>
      <c r="AD23" s="499"/>
      <c r="AE23" s="499"/>
      <c r="AF23" s="499"/>
      <c r="AG23" s="499"/>
      <c r="AH23" s="499"/>
      <c r="AI23" s="499"/>
      <c r="AJ23" s="499"/>
      <c r="AK23" s="499"/>
      <c r="AL23" s="499"/>
      <c r="AM23" s="499"/>
      <c r="AN23" s="499"/>
      <c r="AO23" s="499"/>
      <c r="AP23" s="499"/>
      <c r="AQ23" s="499"/>
      <c r="AR23" s="499"/>
      <c r="AS23" s="499"/>
      <c r="AT23" s="499"/>
    </row>
    <row r="24" spans="1:46" x14ac:dyDescent="0.3">
      <c r="A24" s="11" t="s">
        <v>418</v>
      </c>
      <c r="B24" s="12" t="s">
        <v>666</v>
      </c>
      <c r="C24" s="11" t="s">
        <v>851</v>
      </c>
      <c r="D24" s="60">
        <v>1.1200000000000001</v>
      </c>
      <c r="E24" s="11" t="s">
        <v>839</v>
      </c>
      <c r="F24" s="11" t="s">
        <v>840</v>
      </c>
      <c r="I2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wattlist_hid_mh_pulse_start</v>
      </c>
      <c r="J24" s="11">
        <v>50</v>
      </c>
      <c r="K24" s="11">
        <v>70</v>
      </c>
      <c r="L24" s="11">
        <v>100</v>
      </c>
      <c r="M24" s="11">
        <v>120</v>
      </c>
      <c r="N24" s="499">
        <v>150</v>
      </c>
      <c r="O24" s="499">
        <v>175</v>
      </c>
      <c r="P24" s="499">
        <v>200</v>
      </c>
      <c r="Q24" s="499">
        <v>250</v>
      </c>
      <c r="R24" s="499">
        <v>300</v>
      </c>
      <c r="S24" s="499">
        <v>320</v>
      </c>
      <c r="T24" s="499">
        <v>350</v>
      </c>
      <c r="U24" s="499">
        <v>400</v>
      </c>
      <c r="V24" s="499">
        <v>450</v>
      </c>
      <c r="W24" s="499">
        <v>750</v>
      </c>
      <c r="X24" s="499">
        <v>875</v>
      </c>
      <c r="Y24" s="499">
        <v>1000</v>
      </c>
      <c r="Z24" s="499">
        <v>1500</v>
      </c>
      <c r="AA24" s="499"/>
      <c r="AB24" s="499"/>
      <c r="AC24" s="499"/>
      <c r="AD24" s="499"/>
      <c r="AE24" s="499"/>
      <c r="AF24" s="499"/>
      <c r="AG24" s="499"/>
      <c r="AH24" s="499"/>
      <c r="AI24" s="499"/>
      <c r="AJ24" s="499"/>
      <c r="AK24" s="499"/>
      <c r="AL24" s="499"/>
      <c r="AM24" s="499"/>
      <c r="AN24" s="499"/>
      <c r="AO24" s="499"/>
      <c r="AP24" s="499"/>
      <c r="AQ24" s="499"/>
      <c r="AR24" s="499"/>
      <c r="AS24" s="499"/>
      <c r="AT24" s="499"/>
    </row>
    <row r="25" spans="1:46" x14ac:dyDescent="0.3">
      <c r="A25" s="11" t="s">
        <v>418</v>
      </c>
      <c r="B25" s="12" t="s">
        <v>668</v>
      </c>
      <c r="C25" s="11" t="s">
        <v>420</v>
      </c>
      <c r="D25" s="60">
        <v>1.17</v>
      </c>
      <c r="E25" s="11" t="s">
        <v>839</v>
      </c>
      <c r="F25" s="11" t="s">
        <v>840</v>
      </c>
      <c r="I2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wattlist_hid_mv_mag__ballast</v>
      </c>
      <c r="J25" s="11">
        <v>100</v>
      </c>
      <c r="K25" s="11">
        <v>160</v>
      </c>
      <c r="L25" s="11">
        <v>175</v>
      </c>
      <c r="M25" s="11">
        <v>250</v>
      </c>
      <c r="N25" s="499">
        <v>400</v>
      </c>
      <c r="O25" s="499">
        <v>450</v>
      </c>
      <c r="P25" s="499">
        <v>750</v>
      </c>
      <c r="Q25" s="499">
        <v>1000</v>
      </c>
      <c r="R25" s="499">
        <v>1500</v>
      </c>
      <c r="S25" s="499"/>
      <c r="T25" s="499"/>
      <c r="U25" s="499"/>
      <c r="V25" s="499"/>
      <c r="W25" s="499"/>
      <c r="X25" s="499"/>
      <c r="Y25" s="499"/>
      <c r="Z25" s="499"/>
      <c r="AA25" s="499"/>
      <c r="AB25" s="499"/>
      <c r="AC25" s="499"/>
      <c r="AD25" s="499"/>
      <c r="AE25" s="499"/>
      <c r="AF25" s="499"/>
      <c r="AG25" s="499"/>
      <c r="AH25" s="499"/>
      <c r="AI25" s="499"/>
      <c r="AJ25" s="499"/>
      <c r="AK25" s="499"/>
      <c r="AL25" s="499"/>
      <c r="AM25" s="499"/>
      <c r="AN25" s="499"/>
      <c r="AO25" s="499"/>
      <c r="AP25" s="499"/>
      <c r="AQ25" s="499"/>
      <c r="AR25" s="499"/>
      <c r="AS25" s="499"/>
      <c r="AT25" s="499"/>
    </row>
    <row r="26" spans="1:46" x14ac:dyDescent="0.3">
      <c r="A26" s="11" t="s">
        <v>852</v>
      </c>
      <c r="B26" s="12" t="s">
        <v>853</v>
      </c>
      <c r="C26" s="11" t="s">
        <v>853</v>
      </c>
      <c r="D26" s="60">
        <v>1</v>
      </c>
      <c r="E26" s="11" t="s">
        <v>839</v>
      </c>
      <c r="F26" s="11" t="s">
        <v>840</v>
      </c>
      <c r="I2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wattlist_induction_any_type_any_type</v>
      </c>
      <c r="J26" s="11">
        <v>10</v>
      </c>
      <c r="K26" s="11">
        <v>15</v>
      </c>
      <c r="L26" s="11">
        <v>20</v>
      </c>
      <c r="M26" s="11">
        <v>25</v>
      </c>
      <c r="N26" s="499">
        <v>30</v>
      </c>
      <c r="O26" s="499">
        <v>35</v>
      </c>
      <c r="P26" s="499">
        <v>40</v>
      </c>
      <c r="Q26" s="499">
        <v>45</v>
      </c>
      <c r="R26" s="499">
        <v>50</v>
      </c>
      <c r="S26" s="499">
        <v>55</v>
      </c>
      <c r="T26" s="499">
        <v>60</v>
      </c>
      <c r="U26" s="499">
        <v>65</v>
      </c>
      <c r="V26" s="499">
        <v>70</v>
      </c>
      <c r="W26" s="499">
        <v>75</v>
      </c>
      <c r="X26" s="499">
        <v>80</v>
      </c>
      <c r="Y26" s="499">
        <v>85</v>
      </c>
      <c r="Z26" s="499">
        <v>90</v>
      </c>
      <c r="AA26" s="499">
        <v>95</v>
      </c>
      <c r="AB26" s="499">
        <v>100</v>
      </c>
      <c r="AC26" s="499">
        <v>120</v>
      </c>
      <c r="AD26" s="499">
        <v>130</v>
      </c>
      <c r="AE26" s="499">
        <v>140</v>
      </c>
      <c r="AF26" s="499">
        <v>150</v>
      </c>
      <c r="AG26" s="499">
        <v>160</v>
      </c>
      <c r="AH26" s="499">
        <v>165</v>
      </c>
      <c r="AI26" s="499">
        <v>170</v>
      </c>
      <c r="AJ26" s="499">
        <v>180</v>
      </c>
      <c r="AK26" s="499">
        <v>190</v>
      </c>
      <c r="AL26" s="499">
        <v>200</v>
      </c>
      <c r="AM26" s="499">
        <v>210</v>
      </c>
      <c r="AN26" s="499">
        <v>220</v>
      </c>
      <c r="AO26" s="499">
        <v>230</v>
      </c>
      <c r="AP26" s="499">
        <v>240</v>
      </c>
      <c r="AQ26" s="499">
        <v>250</v>
      </c>
      <c r="AR26" s="499">
        <v>300</v>
      </c>
      <c r="AS26" s="499">
        <v>400</v>
      </c>
      <c r="AT26" s="499">
        <v>500</v>
      </c>
    </row>
    <row r="27" spans="1:46" x14ac:dyDescent="0.3">
      <c r="A27" s="11" t="s">
        <v>398</v>
      </c>
      <c r="B27" s="12" t="s">
        <v>427</v>
      </c>
      <c r="C27" s="11" t="s">
        <v>428</v>
      </c>
      <c r="D27" s="60">
        <v>1</v>
      </c>
      <c r="E27" s="11" t="s">
        <v>840</v>
      </c>
      <c r="F27" s="11" t="s">
        <v>839</v>
      </c>
      <c r="G27" s="11" t="s">
        <v>854</v>
      </c>
      <c r="H27" s="11" t="s">
        <v>855</v>
      </c>
      <c r="I2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27" s="14" t="s">
        <v>856</v>
      </c>
      <c r="K27" s="11"/>
      <c r="L27" s="11"/>
      <c r="M27" s="11"/>
      <c r="N27" s="499"/>
      <c r="O27" s="499"/>
      <c r="P27" s="499"/>
      <c r="Q27" s="499"/>
      <c r="R27" s="499"/>
      <c r="S27" s="499"/>
      <c r="T27" s="499"/>
      <c r="U27" s="499"/>
      <c r="V27" s="499"/>
      <c r="W27" s="499"/>
      <c r="X27" s="499"/>
      <c r="Y27" s="499"/>
      <c r="Z27" s="499"/>
      <c r="AA27" s="499"/>
      <c r="AB27" s="499"/>
      <c r="AC27" s="499"/>
      <c r="AD27" s="499"/>
      <c r="AE27" s="499"/>
      <c r="AF27" s="499"/>
      <c r="AG27" s="499"/>
      <c r="AH27" s="499"/>
      <c r="AI27" s="499"/>
      <c r="AJ27" s="499"/>
      <c r="AK27" s="499"/>
      <c r="AL27" s="499"/>
      <c r="AM27" s="499"/>
      <c r="AN27" s="499"/>
      <c r="AO27" s="499"/>
      <c r="AP27" s="499"/>
      <c r="AQ27" s="499"/>
      <c r="AR27" s="499"/>
      <c r="AS27" s="499"/>
      <c r="AT27" s="499"/>
    </row>
    <row r="28" spans="1:46" x14ac:dyDescent="0.3">
      <c r="A28" s="11" t="s">
        <v>398</v>
      </c>
      <c r="B28" s="12" t="s">
        <v>244</v>
      </c>
      <c r="C28" s="11" t="s">
        <v>422</v>
      </c>
      <c r="D28" s="60">
        <v>1</v>
      </c>
      <c r="E28" s="11" t="s">
        <v>839</v>
      </c>
      <c r="F28" s="11" t="s">
        <v>839</v>
      </c>
      <c r="G28" s="11" t="s">
        <v>857</v>
      </c>
      <c r="H28" s="11" t="s">
        <v>858</v>
      </c>
      <c r="I2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28" s="14" t="s">
        <v>856</v>
      </c>
      <c r="K28" s="11"/>
      <c r="L28" s="11"/>
      <c r="M28" s="11"/>
      <c r="N28" s="499"/>
      <c r="O28" s="499"/>
      <c r="P28" s="499"/>
      <c r="Q28" s="499"/>
      <c r="R28" s="499"/>
      <c r="S28" s="499"/>
      <c r="T28" s="499"/>
      <c r="U28" s="499"/>
      <c r="V28" s="499"/>
      <c r="W28" s="499"/>
      <c r="X28" s="499"/>
      <c r="Y28" s="499"/>
      <c r="Z28" s="499"/>
      <c r="AA28" s="499"/>
      <c r="AB28" s="499"/>
      <c r="AC28" s="499"/>
      <c r="AD28" s="499"/>
      <c r="AE28" s="499"/>
      <c r="AF28" s="499"/>
      <c r="AG28" s="499"/>
      <c r="AH28" s="499"/>
      <c r="AI28" s="499"/>
      <c r="AJ28" s="499"/>
      <c r="AK28" s="499"/>
      <c r="AL28" s="499"/>
      <c r="AM28" s="499"/>
      <c r="AN28" s="499"/>
      <c r="AO28" s="499"/>
      <c r="AP28" s="499"/>
      <c r="AQ28" s="499"/>
      <c r="AR28" s="499"/>
      <c r="AS28" s="499"/>
      <c r="AT28" s="499"/>
    </row>
    <row r="29" spans="1:46" x14ac:dyDescent="0.3">
      <c r="A29" s="11" t="s">
        <v>398</v>
      </c>
      <c r="B29" s="12" t="s">
        <v>244</v>
      </c>
      <c r="C29" s="11" t="s">
        <v>859</v>
      </c>
      <c r="D29" s="60">
        <v>1</v>
      </c>
      <c r="E29" s="11" t="s">
        <v>839</v>
      </c>
      <c r="F29" s="11" t="s">
        <v>839</v>
      </c>
      <c r="G29" s="11" t="s">
        <v>857</v>
      </c>
      <c r="H29" s="11" t="s">
        <v>858</v>
      </c>
      <c r="I2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29" s="14" t="s">
        <v>856</v>
      </c>
      <c r="K29" s="11"/>
      <c r="L29" s="11"/>
      <c r="M29" s="11"/>
      <c r="N29" s="499"/>
      <c r="O29" s="499"/>
      <c r="P29" s="499"/>
      <c r="Q29" s="499"/>
      <c r="R29" s="499"/>
      <c r="S29" s="499"/>
      <c r="T29" s="499"/>
      <c r="U29" s="499"/>
      <c r="V29" s="499"/>
      <c r="W29" s="499"/>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499"/>
    </row>
    <row r="30" spans="1:46" x14ac:dyDescent="0.3">
      <c r="A30" s="11" t="s">
        <v>398</v>
      </c>
      <c r="B30" s="12" t="s">
        <v>244</v>
      </c>
      <c r="C30" s="11" t="s">
        <v>860</v>
      </c>
      <c r="D30" s="60">
        <v>1</v>
      </c>
      <c r="E30" s="11" t="s">
        <v>839</v>
      </c>
      <c r="F30" s="11" t="s">
        <v>839</v>
      </c>
      <c r="G30" s="11" t="s">
        <v>857</v>
      </c>
      <c r="H30" s="11" t="s">
        <v>858</v>
      </c>
      <c r="I3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0" s="14" t="s">
        <v>856</v>
      </c>
      <c r="K30" s="11"/>
      <c r="L30" s="11"/>
      <c r="M30" s="11"/>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row>
    <row r="31" spans="1:46" x14ac:dyDescent="0.3">
      <c r="A31" s="11" t="s">
        <v>398</v>
      </c>
      <c r="B31" s="12" t="s">
        <v>244</v>
      </c>
      <c r="C31" s="11" t="s">
        <v>861</v>
      </c>
      <c r="D31" s="60">
        <v>1</v>
      </c>
      <c r="E31" s="11" t="s">
        <v>839</v>
      </c>
      <c r="F31" s="11" t="s">
        <v>839</v>
      </c>
      <c r="G31" s="11" t="s">
        <v>857</v>
      </c>
      <c r="H31" s="11" t="s">
        <v>858</v>
      </c>
      <c r="I3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1" s="14" t="s">
        <v>856</v>
      </c>
      <c r="K31" s="11"/>
      <c r="L31" s="11"/>
      <c r="M31" s="11"/>
      <c r="N31" s="499"/>
      <c r="O31" s="499"/>
      <c r="P31" s="499"/>
      <c r="Q31" s="499"/>
      <c r="R31" s="499"/>
      <c r="S31" s="499"/>
      <c r="T31" s="499"/>
      <c r="U31" s="499"/>
      <c r="V31" s="499"/>
      <c r="W31" s="499"/>
      <c r="X31" s="499"/>
      <c r="Y31" s="499"/>
      <c r="Z31" s="499"/>
      <c r="AA31" s="499"/>
      <c r="AB31" s="499"/>
      <c r="AC31" s="499"/>
      <c r="AD31" s="499"/>
      <c r="AE31" s="499"/>
      <c r="AF31" s="499"/>
      <c r="AG31" s="499"/>
      <c r="AH31" s="499"/>
      <c r="AI31" s="499"/>
      <c r="AJ31" s="499"/>
      <c r="AK31" s="499"/>
      <c r="AL31" s="499"/>
      <c r="AM31" s="499"/>
      <c r="AN31" s="499"/>
      <c r="AO31" s="499"/>
      <c r="AP31" s="499"/>
      <c r="AQ31" s="499"/>
      <c r="AR31" s="499"/>
      <c r="AS31" s="499"/>
      <c r="AT31" s="499"/>
    </row>
    <row r="32" spans="1:46" x14ac:dyDescent="0.3">
      <c r="A32" s="11" t="s">
        <v>398</v>
      </c>
      <c r="B32" s="12" t="s">
        <v>244</v>
      </c>
      <c r="C32" s="11" t="s">
        <v>435</v>
      </c>
      <c r="D32" s="60">
        <v>1</v>
      </c>
      <c r="E32" s="11" t="s">
        <v>839</v>
      </c>
      <c r="F32" s="11" t="s">
        <v>839</v>
      </c>
      <c r="G32" s="11" t="s">
        <v>857</v>
      </c>
      <c r="H32" s="11" t="s">
        <v>858</v>
      </c>
      <c r="I3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2" s="14" t="s">
        <v>856</v>
      </c>
      <c r="K32" s="11"/>
      <c r="L32" s="11"/>
      <c r="M32" s="11"/>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row>
    <row r="33" spans="1:46" x14ac:dyDescent="0.3">
      <c r="A33" s="11" t="s">
        <v>398</v>
      </c>
      <c r="B33" s="12" t="s">
        <v>244</v>
      </c>
      <c r="C33" s="11" t="s">
        <v>769</v>
      </c>
      <c r="D33" s="60">
        <v>1</v>
      </c>
      <c r="E33" s="11" t="s">
        <v>839</v>
      </c>
      <c r="F33" s="11" t="s">
        <v>839</v>
      </c>
      <c r="G33" s="11" t="s">
        <v>857</v>
      </c>
      <c r="H33" s="11" t="s">
        <v>858</v>
      </c>
      <c r="I3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3" s="14" t="s">
        <v>856</v>
      </c>
      <c r="K33" s="11"/>
      <c r="L33" s="11"/>
      <c r="M33" s="11"/>
      <c r="N33" s="499"/>
      <c r="O33" s="499"/>
      <c r="P33" s="499"/>
      <c r="Q33" s="499"/>
      <c r="R33" s="499"/>
      <c r="S33" s="499"/>
      <c r="T33" s="499"/>
      <c r="U33" s="499"/>
      <c r="V33" s="499"/>
      <c r="W33" s="499"/>
      <c r="X33" s="499"/>
      <c r="Y33" s="499"/>
      <c r="Z33" s="499"/>
      <c r="AA33" s="499"/>
      <c r="AB33" s="499"/>
      <c r="AC33" s="499"/>
      <c r="AD33" s="499"/>
      <c r="AE33" s="499"/>
      <c r="AF33" s="499"/>
      <c r="AG33" s="499"/>
      <c r="AH33" s="499"/>
      <c r="AI33" s="499"/>
      <c r="AJ33" s="499"/>
      <c r="AK33" s="499"/>
      <c r="AL33" s="499"/>
      <c r="AM33" s="499"/>
      <c r="AN33" s="499"/>
      <c r="AO33" s="499"/>
      <c r="AP33" s="499"/>
      <c r="AQ33" s="499"/>
      <c r="AR33" s="499"/>
      <c r="AS33" s="499"/>
      <c r="AT33" s="499"/>
    </row>
    <row r="34" spans="1:46" x14ac:dyDescent="0.3">
      <c r="A34" s="11" t="s">
        <v>398</v>
      </c>
      <c r="B34" s="12" t="s">
        <v>244</v>
      </c>
      <c r="C34" s="11" t="s">
        <v>862</v>
      </c>
      <c r="D34" s="60">
        <v>1</v>
      </c>
      <c r="E34" s="11" t="s">
        <v>839</v>
      </c>
      <c r="F34" s="11" t="s">
        <v>839</v>
      </c>
      <c r="G34" s="11" t="s">
        <v>857</v>
      </c>
      <c r="H34" s="11" t="s">
        <v>858</v>
      </c>
      <c r="I3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4" s="14" t="s">
        <v>856</v>
      </c>
      <c r="K34" s="11"/>
      <c r="L34" s="11"/>
      <c r="M34" s="11"/>
      <c r="N34" s="499"/>
      <c r="O34" s="499"/>
      <c r="P34" s="499"/>
      <c r="Q34" s="499"/>
      <c r="R34" s="499"/>
      <c r="S34" s="499"/>
      <c r="T34" s="499"/>
      <c r="U34" s="499"/>
      <c r="V34" s="499"/>
      <c r="W34" s="499"/>
      <c r="X34" s="499"/>
      <c r="Y34" s="499"/>
      <c r="Z34" s="499"/>
      <c r="AA34" s="499"/>
      <c r="AB34" s="499"/>
      <c r="AC34" s="499"/>
      <c r="AD34" s="499"/>
      <c r="AE34" s="499"/>
      <c r="AF34" s="499"/>
      <c r="AG34" s="499"/>
      <c r="AH34" s="499"/>
      <c r="AI34" s="499"/>
      <c r="AJ34" s="499"/>
      <c r="AK34" s="499"/>
      <c r="AL34" s="499"/>
      <c r="AM34" s="499"/>
      <c r="AN34" s="499"/>
      <c r="AO34" s="499"/>
      <c r="AP34" s="499"/>
      <c r="AQ34" s="499"/>
      <c r="AR34" s="499"/>
      <c r="AS34" s="499"/>
      <c r="AT34" s="499"/>
    </row>
    <row r="35" spans="1:46" x14ac:dyDescent="0.3">
      <c r="A35" s="11" t="s">
        <v>398</v>
      </c>
      <c r="B35" s="12" t="s">
        <v>244</v>
      </c>
      <c r="C35" s="11" t="s">
        <v>434</v>
      </c>
      <c r="D35" s="60">
        <v>1</v>
      </c>
      <c r="E35" s="11" t="s">
        <v>839</v>
      </c>
      <c r="F35" s="11" t="s">
        <v>839</v>
      </c>
      <c r="G35" s="11" t="s">
        <v>857</v>
      </c>
      <c r="H35" s="11" t="s">
        <v>858</v>
      </c>
      <c r="I3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5" s="14" t="s">
        <v>856</v>
      </c>
      <c r="K35" s="11"/>
      <c r="L35" s="11"/>
      <c r="M35" s="11"/>
      <c r="N35" s="499"/>
      <c r="O35" s="499"/>
      <c r="P35" s="499"/>
      <c r="Q35" s="499"/>
      <c r="R35" s="499"/>
      <c r="S35" s="499"/>
      <c r="T35" s="499"/>
      <c r="U35" s="499"/>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row>
    <row r="36" spans="1:46" x14ac:dyDescent="0.3">
      <c r="A36" s="11" t="s">
        <v>398</v>
      </c>
      <c r="B36" s="12" t="s">
        <v>244</v>
      </c>
      <c r="C36" s="11" t="s">
        <v>780</v>
      </c>
      <c r="D36" s="60">
        <v>1</v>
      </c>
      <c r="E36" s="11" t="s">
        <v>839</v>
      </c>
      <c r="F36" s="11" t="s">
        <v>839</v>
      </c>
      <c r="G36" s="11" t="s">
        <v>857</v>
      </c>
      <c r="H36" s="11" t="s">
        <v>858</v>
      </c>
      <c r="I3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6" s="14" t="s">
        <v>856</v>
      </c>
      <c r="K36" s="11"/>
      <c r="L36" s="11"/>
      <c r="M36" s="11"/>
      <c r="N36" s="499"/>
      <c r="O36" s="499"/>
      <c r="P36" s="499"/>
      <c r="Q36" s="499"/>
      <c r="R36" s="499"/>
      <c r="S36" s="499"/>
      <c r="T36" s="499"/>
      <c r="U36" s="499"/>
      <c r="V36" s="499"/>
      <c r="W36" s="499"/>
      <c r="X36" s="499"/>
      <c r="Y36" s="499"/>
      <c r="Z36" s="499"/>
      <c r="AA36" s="499"/>
      <c r="AB36" s="499"/>
      <c r="AC36" s="499"/>
      <c r="AD36" s="499"/>
      <c r="AE36" s="499"/>
      <c r="AF36" s="499"/>
      <c r="AG36" s="499"/>
      <c r="AH36" s="499"/>
      <c r="AI36" s="499"/>
      <c r="AJ36" s="499"/>
      <c r="AK36" s="499"/>
      <c r="AL36" s="499"/>
      <c r="AM36" s="499"/>
      <c r="AN36" s="499"/>
      <c r="AO36" s="499"/>
      <c r="AP36" s="499"/>
      <c r="AQ36" s="499"/>
      <c r="AR36" s="499"/>
      <c r="AS36" s="499"/>
      <c r="AT36" s="499"/>
    </row>
    <row r="37" spans="1:46" x14ac:dyDescent="0.3">
      <c r="A37" s="11" t="s">
        <v>398</v>
      </c>
      <c r="B37" s="12" t="s">
        <v>399</v>
      </c>
      <c r="C37" s="12" t="s">
        <v>400</v>
      </c>
      <c r="D37" s="60">
        <v>1</v>
      </c>
      <c r="E37" s="11" t="s">
        <v>839</v>
      </c>
      <c r="F37" s="11" t="s">
        <v>839</v>
      </c>
      <c r="G37" s="11" t="s">
        <v>863</v>
      </c>
      <c r="H37" s="11" t="s">
        <v>864</v>
      </c>
      <c r="I3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7" s="14" t="s">
        <v>856</v>
      </c>
      <c r="K37" s="11"/>
      <c r="L37" s="11"/>
      <c r="M37" s="11"/>
      <c r="N37" s="499"/>
      <c r="O37" s="499"/>
      <c r="P37" s="499"/>
      <c r="Q37" s="499"/>
      <c r="R37" s="499"/>
      <c r="S37" s="499"/>
      <c r="T37" s="499"/>
      <c r="U37" s="499"/>
      <c r="V37" s="499"/>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row>
    <row r="38" spans="1:46" x14ac:dyDescent="0.3">
      <c r="A38" s="11" t="s">
        <v>398</v>
      </c>
      <c r="B38" s="12" t="s">
        <v>432</v>
      </c>
      <c r="C38" s="11" t="s">
        <v>421</v>
      </c>
      <c r="D38" s="60">
        <v>1</v>
      </c>
      <c r="E38" s="11" t="s">
        <v>839</v>
      </c>
      <c r="F38" s="11" t="s">
        <v>839</v>
      </c>
      <c r="G38" s="11" t="s">
        <v>865</v>
      </c>
      <c r="H38" s="11" t="s">
        <v>866</v>
      </c>
      <c r="I3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8" s="14" t="s">
        <v>856</v>
      </c>
      <c r="K38" s="11"/>
      <c r="L38" s="11"/>
      <c r="M38" s="11"/>
      <c r="N38" s="499"/>
      <c r="O38" s="499"/>
      <c r="P38" s="499"/>
      <c r="Q38" s="499"/>
      <c r="R38" s="499"/>
      <c r="S38" s="499"/>
      <c r="T38" s="499"/>
      <c r="U38" s="499"/>
      <c r="V38" s="499"/>
      <c r="W38" s="499"/>
      <c r="X38" s="499"/>
      <c r="Y38" s="499"/>
      <c r="Z38" s="499"/>
      <c r="AA38" s="499"/>
      <c r="AB38" s="499"/>
      <c r="AC38" s="499"/>
      <c r="AD38" s="499"/>
      <c r="AE38" s="499"/>
      <c r="AF38" s="499"/>
      <c r="AG38" s="499"/>
      <c r="AH38" s="499"/>
      <c r="AI38" s="499"/>
      <c r="AJ38" s="499"/>
      <c r="AK38" s="499"/>
      <c r="AL38" s="499"/>
      <c r="AM38" s="499"/>
      <c r="AN38" s="499"/>
      <c r="AO38" s="499"/>
      <c r="AP38" s="499"/>
      <c r="AQ38" s="499"/>
      <c r="AR38" s="499"/>
      <c r="AS38" s="499"/>
      <c r="AT38" s="499"/>
    </row>
    <row r="39" spans="1:46" x14ac:dyDescent="0.3">
      <c r="A39" s="11" t="s">
        <v>398</v>
      </c>
      <c r="B39" s="12" t="s">
        <v>432</v>
      </c>
      <c r="C39" s="11" t="s">
        <v>422</v>
      </c>
      <c r="D39" s="60">
        <v>1</v>
      </c>
      <c r="E39" s="11" t="s">
        <v>839</v>
      </c>
      <c r="F39" s="11" t="s">
        <v>839</v>
      </c>
      <c r="G39" s="11" t="s">
        <v>865</v>
      </c>
      <c r="H39" s="11" t="s">
        <v>866</v>
      </c>
      <c r="I3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39" s="14" t="s">
        <v>856</v>
      </c>
      <c r="K39" s="11"/>
      <c r="L39" s="11"/>
      <c r="M39" s="11"/>
      <c r="N39" s="499"/>
      <c r="O39" s="499"/>
      <c r="P39" s="499"/>
      <c r="Q39" s="499"/>
      <c r="R39" s="499"/>
      <c r="S39" s="499"/>
      <c r="T39" s="499"/>
      <c r="U39" s="499"/>
      <c r="V39" s="499"/>
      <c r="W39" s="499"/>
      <c r="X39" s="499"/>
      <c r="Y39" s="499"/>
      <c r="Z39" s="499"/>
      <c r="AA39" s="499"/>
      <c r="AB39" s="499"/>
      <c r="AC39" s="499"/>
      <c r="AD39" s="499"/>
      <c r="AE39" s="499"/>
      <c r="AF39" s="499"/>
      <c r="AG39" s="499"/>
      <c r="AH39" s="499"/>
      <c r="AI39" s="499"/>
      <c r="AJ39" s="499"/>
      <c r="AK39" s="499"/>
      <c r="AL39" s="499"/>
      <c r="AM39" s="499"/>
      <c r="AN39" s="499"/>
      <c r="AO39" s="499"/>
      <c r="AP39" s="499"/>
      <c r="AQ39" s="499"/>
      <c r="AR39" s="499"/>
      <c r="AS39" s="499"/>
      <c r="AT39" s="499"/>
    </row>
    <row r="40" spans="1:46" x14ac:dyDescent="0.3">
      <c r="A40" s="11" t="s">
        <v>398</v>
      </c>
      <c r="B40" s="12" t="s">
        <v>432</v>
      </c>
      <c r="C40" s="11" t="s">
        <v>859</v>
      </c>
      <c r="D40" s="60">
        <v>1</v>
      </c>
      <c r="E40" s="11" t="s">
        <v>839</v>
      </c>
      <c r="F40" s="11" t="s">
        <v>839</v>
      </c>
      <c r="G40" s="11" t="s">
        <v>865</v>
      </c>
      <c r="H40" s="11" t="s">
        <v>866</v>
      </c>
      <c r="I4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0" s="14" t="s">
        <v>856</v>
      </c>
      <c r="K40" s="11"/>
      <c r="L40" s="11"/>
      <c r="M40" s="11"/>
      <c r="N40" s="499"/>
      <c r="O40" s="499"/>
      <c r="P40" s="499"/>
      <c r="Q40" s="499"/>
      <c r="R40" s="499"/>
      <c r="S40" s="499"/>
      <c r="T40" s="499"/>
      <c r="U40" s="499"/>
      <c r="V40" s="499"/>
      <c r="W40" s="499"/>
      <c r="X40" s="499"/>
      <c r="Y40" s="499"/>
      <c r="Z40" s="499"/>
      <c r="AA40" s="499"/>
      <c r="AB40" s="499"/>
      <c r="AC40" s="499"/>
      <c r="AD40" s="499"/>
      <c r="AE40" s="499"/>
      <c r="AF40" s="499"/>
      <c r="AG40" s="499"/>
      <c r="AH40" s="499"/>
      <c r="AI40" s="499"/>
      <c r="AJ40" s="499"/>
      <c r="AK40" s="499"/>
      <c r="AL40" s="499"/>
      <c r="AM40" s="499"/>
      <c r="AN40" s="499"/>
      <c r="AO40" s="499"/>
      <c r="AP40" s="499"/>
      <c r="AQ40" s="499"/>
      <c r="AR40" s="499"/>
      <c r="AS40" s="499"/>
      <c r="AT40" s="499"/>
    </row>
    <row r="41" spans="1:46" x14ac:dyDescent="0.3">
      <c r="A41" s="11" t="s">
        <v>398</v>
      </c>
      <c r="B41" s="12" t="s">
        <v>432</v>
      </c>
      <c r="C41" s="11" t="s">
        <v>769</v>
      </c>
      <c r="D41" s="60">
        <v>1</v>
      </c>
      <c r="E41" s="11" t="s">
        <v>839</v>
      </c>
      <c r="F41" s="11" t="s">
        <v>839</v>
      </c>
      <c r="G41" s="11" t="s">
        <v>865</v>
      </c>
      <c r="H41" s="11" t="s">
        <v>866</v>
      </c>
      <c r="I4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1" s="14" t="s">
        <v>856</v>
      </c>
      <c r="K41" s="11"/>
      <c r="L41" s="11"/>
      <c r="M41" s="11"/>
      <c r="N41" s="499"/>
      <c r="O41" s="499"/>
      <c r="P41" s="499"/>
      <c r="Q41" s="499"/>
      <c r="R41" s="499"/>
      <c r="S41" s="499"/>
      <c r="T41" s="499"/>
      <c r="U41" s="499"/>
      <c r="V41" s="499"/>
      <c r="W41" s="499"/>
      <c r="X41" s="499"/>
      <c r="Y41" s="499"/>
      <c r="Z41" s="499"/>
      <c r="AA41" s="499"/>
      <c r="AB41" s="499"/>
      <c r="AC41" s="499"/>
      <c r="AD41" s="499"/>
      <c r="AE41" s="499"/>
      <c r="AF41" s="499"/>
      <c r="AG41" s="499"/>
      <c r="AH41" s="499"/>
      <c r="AI41" s="499"/>
      <c r="AJ41" s="499"/>
      <c r="AK41" s="499"/>
      <c r="AL41" s="499"/>
      <c r="AM41" s="499"/>
      <c r="AN41" s="499"/>
      <c r="AO41" s="499"/>
      <c r="AP41" s="499"/>
      <c r="AQ41" s="499"/>
      <c r="AR41" s="499"/>
      <c r="AS41" s="499"/>
      <c r="AT41" s="499"/>
    </row>
    <row r="42" spans="1:46" x14ac:dyDescent="0.3">
      <c r="A42" s="11" t="s">
        <v>398</v>
      </c>
      <c r="B42" s="12" t="s">
        <v>432</v>
      </c>
      <c r="C42" s="11" t="s">
        <v>860</v>
      </c>
      <c r="D42" s="60">
        <v>1</v>
      </c>
      <c r="E42" s="11" t="s">
        <v>839</v>
      </c>
      <c r="F42" s="11" t="s">
        <v>839</v>
      </c>
      <c r="G42" s="11" t="s">
        <v>865</v>
      </c>
      <c r="H42" s="11" t="s">
        <v>866</v>
      </c>
      <c r="I4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2" s="14" t="s">
        <v>856</v>
      </c>
      <c r="K42" s="11"/>
      <c r="L42" s="11"/>
      <c r="M42" s="11"/>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row>
    <row r="43" spans="1:46" x14ac:dyDescent="0.3">
      <c r="A43" s="11" t="s">
        <v>398</v>
      </c>
      <c r="B43" s="12" t="s">
        <v>432</v>
      </c>
      <c r="C43" s="11" t="s">
        <v>861</v>
      </c>
      <c r="D43" s="60">
        <v>1</v>
      </c>
      <c r="E43" s="11" t="s">
        <v>839</v>
      </c>
      <c r="F43" s="11" t="s">
        <v>839</v>
      </c>
      <c r="G43" s="11" t="s">
        <v>865</v>
      </c>
      <c r="H43" s="11" t="s">
        <v>866</v>
      </c>
      <c r="I4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3" s="14" t="s">
        <v>856</v>
      </c>
      <c r="K43" s="11"/>
      <c r="L43" s="11"/>
      <c r="M43" s="11"/>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row>
    <row r="44" spans="1:46" x14ac:dyDescent="0.3">
      <c r="A44" s="11" t="s">
        <v>398</v>
      </c>
      <c r="B44" s="12" t="s">
        <v>432</v>
      </c>
      <c r="C44" s="11" t="s">
        <v>435</v>
      </c>
      <c r="D44" s="60">
        <v>1</v>
      </c>
      <c r="E44" s="11" t="s">
        <v>839</v>
      </c>
      <c r="F44" s="11" t="s">
        <v>839</v>
      </c>
      <c r="G44" s="11" t="s">
        <v>865</v>
      </c>
      <c r="H44" s="11" t="s">
        <v>866</v>
      </c>
      <c r="I4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4" s="14" t="s">
        <v>856</v>
      </c>
      <c r="K44" s="11"/>
      <c r="L44" s="11"/>
      <c r="M44" s="11"/>
      <c r="N44" s="499"/>
      <c r="O44" s="499"/>
      <c r="P44" s="499"/>
      <c r="Q44" s="499"/>
      <c r="R44" s="499"/>
      <c r="S44" s="499"/>
      <c r="T44" s="499"/>
      <c r="U44" s="499"/>
      <c r="V44" s="499"/>
      <c r="W44" s="499"/>
      <c r="X44" s="499"/>
      <c r="Y44" s="499"/>
      <c r="Z44" s="499"/>
      <c r="AA44" s="499"/>
      <c r="AB44" s="499"/>
      <c r="AC44" s="499"/>
      <c r="AD44" s="499"/>
      <c r="AE44" s="499"/>
      <c r="AF44" s="499"/>
      <c r="AG44" s="499"/>
      <c r="AH44" s="499"/>
      <c r="AI44" s="499"/>
      <c r="AJ44" s="499"/>
      <c r="AK44" s="499"/>
      <c r="AL44" s="499"/>
      <c r="AM44" s="499"/>
      <c r="AN44" s="499"/>
      <c r="AO44" s="499"/>
      <c r="AP44" s="499"/>
      <c r="AQ44" s="499"/>
      <c r="AR44" s="499"/>
      <c r="AS44" s="499"/>
      <c r="AT44" s="499"/>
    </row>
    <row r="45" spans="1:46" x14ac:dyDescent="0.3">
      <c r="A45" s="11" t="s">
        <v>398</v>
      </c>
      <c r="B45" s="12" t="s">
        <v>432</v>
      </c>
      <c r="C45" s="11" t="s">
        <v>862</v>
      </c>
      <c r="D45" s="60">
        <v>1</v>
      </c>
      <c r="E45" s="11" t="s">
        <v>839</v>
      </c>
      <c r="F45" s="11" t="s">
        <v>839</v>
      </c>
      <c r="G45" s="11" t="s">
        <v>865</v>
      </c>
      <c r="H45" s="11" t="s">
        <v>866</v>
      </c>
      <c r="I4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5" s="14" t="s">
        <v>856</v>
      </c>
      <c r="K45" s="11"/>
      <c r="L45" s="11"/>
      <c r="M45" s="11"/>
      <c r="N45" s="499"/>
      <c r="O45" s="499"/>
      <c r="P45" s="499"/>
      <c r="Q45" s="499"/>
      <c r="R45" s="499"/>
      <c r="S45" s="499"/>
      <c r="T45" s="499"/>
      <c r="U45" s="499"/>
      <c r="V45" s="499"/>
      <c r="W45" s="499"/>
      <c r="X45" s="499"/>
      <c r="Y45" s="499"/>
      <c r="Z45" s="499"/>
      <c r="AA45" s="499"/>
      <c r="AB45" s="499"/>
      <c r="AC45" s="499"/>
      <c r="AD45" s="499"/>
      <c r="AE45" s="499"/>
      <c r="AF45" s="499"/>
      <c r="AG45" s="499"/>
      <c r="AH45" s="499"/>
      <c r="AI45" s="499"/>
      <c r="AJ45" s="499"/>
      <c r="AK45" s="499"/>
      <c r="AL45" s="499"/>
      <c r="AM45" s="499"/>
      <c r="AN45" s="499"/>
      <c r="AO45" s="499"/>
      <c r="AP45" s="499"/>
      <c r="AQ45" s="499"/>
      <c r="AR45" s="499"/>
      <c r="AS45" s="499"/>
      <c r="AT45" s="499"/>
    </row>
    <row r="46" spans="1:46" x14ac:dyDescent="0.3">
      <c r="A46" s="11" t="s">
        <v>398</v>
      </c>
      <c r="B46" s="12" t="s">
        <v>432</v>
      </c>
      <c r="C46" s="11" t="s">
        <v>780</v>
      </c>
      <c r="D46" s="60">
        <v>1</v>
      </c>
      <c r="E46" s="11" t="s">
        <v>839</v>
      </c>
      <c r="F46" s="11" t="s">
        <v>839</v>
      </c>
      <c r="G46" s="11" t="s">
        <v>865</v>
      </c>
      <c r="H46" s="11" t="s">
        <v>866</v>
      </c>
      <c r="I4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6" s="14" t="s">
        <v>856</v>
      </c>
      <c r="K46" s="11"/>
      <c r="L46" s="11"/>
      <c r="M46" s="11"/>
      <c r="N46" s="499"/>
      <c r="O46" s="499"/>
      <c r="P46" s="499"/>
      <c r="Q46" s="499"/>
      <c r="R46" s="499"/>
      <c r="S46" s="499"/>
      <c r="T46" s="499"/>
      <c r="U46" s="499"/>
      <c r="V46" s="499"/>
      <c r="W46" s="499"/>
      <c r="X46" s="499"/>
      <c r="Y46" s="499"/>
      <c r="Z46" s="499"/>
      <c r="AA46" s="499"/>
      <c r="AB46" s="499"/>
      <c r="AC46" s="499"/>
      <c r="AD46" s="499"/>
      <c r="AE46" s="499"/>
      <c r="AF46" s="499"/>
      <c r="AG46" s="499"/>
      <c r="AH46" s="499"/>
      <c r="AI46" s="499"/>
      <c r="AJ46" s="499"/>
      <c r="AK46" s="499"/>
      <c r="AL46" s="499"/>
      <c r="AM46" s="499"/>
      <c r="AN46" s="499"/>
      <c r="AO46" s="499"/>
      <c r="AP46" s="499"/>
      <c r="AQ46" s="499"/>
      <c r="AR46" s="499"/>
      <c r="AS46" s="499"/>
      <c r="AT46" s="499"/>
    </row>
    <row r="47" spans="1:46" x14ac:dyDescent="0.3">
      <c r="A47" s="11" t="s">
        <v>398</v>
      </c>
      <c r="B47" s="12" t="s">
        <v>421</v>
      </c>
      <c r="C47" s="12" t="s">
        <v>400</v>
      </c>
      <c r="D47" s="60">
        <v>1</v>
      </c>
      <c r="E47" s="11" t="s">
        <v>839</v>
      </c>
      <c r="F47" s="11" t="s">
        <v>839</v>
      </c>
      <c r="G47" s="11" t="s">
        <v>867</v>
      </c>
      <c r="H47" s="11" t="s">
        <v>868</v>
      </c>
      <c r="I4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7" s="14" t="s">
        <v>856</v>
      </c>
      <c r="K47" s="11"/>
      <c r="L47" s="11"/>
      <c r="M47" s="11"/>
      <c r="N47" s="499"/>
      <c r="O47" s="499"/>
      <c r="P47" s="499"/>
      <c r="Q47" s="499"/>
      <c r="R47" s="499"/>
      <c r="S47" s="499"/>
      <c r="T47" s="499"/>
      <c r="U47" s="499"/>
      <c r="V47" s="499"/>
      <c r="W47" s="499"/>
      <c r="X47" s="499"/>
      <c r="Y47" s="499"/>
      <c r="Z47" s="499"/>
      <c r="AA47" s="499"/>
      <c r="AB47" s="499"/>
      <c r="AC47" s="499"/>
      <c r="AD47" s="499"/>
      <c r="AE47" s="499"/>
      <c r="AF47" s="499"/>
      <c r="AG47" s="499"/>
      <c r="AH47" s="499"/>
      <c r="AI47" s="499"/>
      <c r="AJ47" s="499"/>
      <c r="AK47" s="499"/>
      <c r="AL47" s="499"/>
      <c r="AM47" s="499"/>
      <c r="AN47" s="499"/>
      <c r="AO47" s="499"/>
      <c r="AP47" s="499"/>
      <c r="AQ47" s="499"/>
      <c r="AR47" s="499"/>
      <c r="AS47" s="499"/>
      <c r="AT47" s="499"/>
    </row>
    <row r="48" spans="1:46" x14ac:dyDescent="0.3">
      <c r="A48" s="11" t="s">
        <v>398</v>
      </c>
      <c r="B48" s="12" t="s">
        <v>430</v>
      </c>
      <c r="C48" s="11" t="s">
        <v>431</v>
      </c>
      <c r="D48" s="60">
        <v>1</v>
      </c>
      <c r="E48" s="11" t="s">
        <v>839</v>
      </c>
      <c r="F48" s="11" t="s">
        <v>839</v>
      </c>
      <c r="G48" s="11" t="s">
        <v>869</v>
      </c>
      <c r="H48" s="11" t="s">
        <v>870</v>
      </c>
      <c r="I4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8" s="14" t="s">
        <v>856</v>
      </c>
      <c r="K48" s="11"/>
      <c r="L48" s="11"/>
      <c r="M48" s="11"/>
      <c r="N48" s="499"/>
      <c r="O48" s="499"/>
      <c r="P48" s="499"/>
      <c r="Q48" s="499"/>
      <c r="R48" s="499"/>
      <c r="S48" s="499"/>
      <c r="T48" s="499"/>
      <c r="U48" s="499"/>
      <c r="V48" s="499"/>
      <c r="W48" s="499"/>
      <c r="X48" s="499"/>
      <c r="Y48" s="499"/>
      <c r="Z48" s="499"/>
      <c r="AA48" s="499"/>
      <c r="AB48" s="499"/>
      <c r="AC48" s="499"/>
      <c r="AD48" s="499"/>
      <c r="AE48" s="499"/>
      <c r="AF48" s="499"/>
      <c r="AG48" s="499"/>
      <c r="AH48" s="499"/>
      <c r="AI48" s="499"/>
      <c r="AJ48" s="499"/>
      <c r="AK48" s="499"/>
      <c r="AL48" s="499"/>
      <c r="AM48" s="499"/>
      <c r="AN48" s="499"/>
      <c r="AO48" s="499"/>
      <c r="AP48" s="499"/>
      <c r="AQ48" s="499"/>
      <c r="AR48" s="499"/>
      <c r="AS48" s="499"/>
      <c r="AT48" s="499"/>
    </row>
    <row r="49" spans="1:46" x14ac:dyDescent="0.3">
      <c r="A49" s="11" t="s">
        <v>398</v>
      </c>
      <c r="B49" s="12" t="s">
        <v>871</v>
      </c>
      <c r="C49" s="11" t="s">
        <v>853</v>
      </c>
      <c r="D49" s="60">
        <v>1</v>
      </c>
      <c r="E49" s="11" t="s">
        <v>839</v>
      </c>
      <c r="F49" s="11" t="s">
        <v>839</v>
      </c>
      <c r="G49" s="11" t="s">
        <v>869</v>
      </c>
      <c r="H49" s="11" t="s">
        <v>870</v>
      </c>
      <c r="I4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49" s="14" t="s">
        <v>856</v>
      </c>
      <c r="K49" s="11"/>
      <c r="L49" s="11"/>
      <c r="M49" s="11"/>
      <c r="N49" s="499"/>
      <c r="O49" s="499"/>
      <c r="P49" s="499"/>
      <c r="Q49" s="499"/>
      <c r="R49" s="499"/>
      <c r="S49" s="499"/>
      <c r="T49" s="499"/>
      <c r="U49" s="499"/>
      <c r="V49" s="499"/>
      <c r="W49" s="499"/>
      <c r="X49" s="499"/>
      <c r="Y49" s="499"/>
      <c r="Z49" s="499"/>
      <c r="AA49" s="499"/>
      <c r="AB49" s="499"/>
      <c r="AC49" s="499"/>
      <c r="AD49" s="499"/>
      <c r="AE49" s="499"/>
      <c r="AF49" s="499"/>
      <c r="AG49" s="499"/>
      <c r="AH49" s="499"/>
      <c r="AI49" s="499"/>
      <c r="AJ49" s="499"/>
      <c r="AK49" s="499"/>
      <c r="AL49" s="499"/>
      <c r="AM49" s="499"/>
      <c r="AN49" s="499"/>
      <c r="AO49" s="499"/>
      <c r="AP49" s="499"/>
      <c r="AQ49" s="499"/>
      <c r="AR49" s="499"/>
      <c r="AS49" s="499"/>
      <c r="AT49" s="499"/>
    </row>
    <row r="50" spans="1:46" x14ac:dyDescent="0.3">
      <c r="A50" s="11" t="s">
        <v>398</v>
      </c>
      <c r="B50" s="12" t="s">
        <v>416</v>
      </c>
      <c r="C50" s="11" t="s">
        <v>872</v>
      </c>
      <c r="D50" s="60">
        <v>1</v>
      </c>
      <c r="E50" s="11" t="s">
        <v>839</v>
      </c>
      <c r="F50" s="11" t="s">
        <v>839</v>
      </c>
      <c r="G50" s="11" t="s">
        <v>873</v>
      </c>
      <c r="H50" s="11" t="s">
        <v>874</v>
      </c>
      <c r="I5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50" s="14" t="s">
        <v>856</v>
      </c>
      <c r="K50" s="11"/>
      <c r="L50" s="11"/>
      <c r="M50" s="11"/>
      <c r="N50" s="499"/>
      <c r="O50" s="499"/>
      <c r="P50" s="499"/>
      <c r="Q50" s="499"/>
      <c r="R50" s="499"/>
      <c r="S50" s="499"/>
      <c r="T50" s="499"/>
      <c r="U50" s="499"/>
      <c r="V50" s="499"/>
      <c r="W50" s="499"/>
      <c r="X50" s="499"/>
      <c r="Y50" s="499"/>
      <c r="Z50" s="499"/>
      <c r="AA50" s="499"/>
      <c r="AB50" s="499"/>
      <c r="AC50" s="499"/>
      <c r="AD50" s="499"/>
      <c r="AE50" s="499"/>
      <c r="AF50" s="499"/>
      <c r="AG50" s="499"/>
      <c r="AH50" s="499"/>
      <c r="AI50" s="499"/>
      <c r="AJ50" s="499"/>
      <c r="AK50" s="499"/>
      <c r="AL50" s="499"/>
      <c r="AM50" s="499"/>
      <c r="AN50" s="499"/>
      <c r="AO50" s="499"/>
      <c r="AP50" s="499"/>
      <c r="AQ50" s="499"/>
      <c r="AR50" s="499"/>
      <c r="AS50" s="499"/>
      <c r="AT50" s="499"/>
    </row>
    <row r="51" spans="1:46" x14ac:dyDescent="0.3">
      <c r="A51" s="11" t="s">
        <v>398</v>
      </c>
      <c r="B51" s="12" t="s">
        <v>416</v>
      </c>
      <c r="C51" s="11" t="s">
        <v>875</v>
      </c>
      <c r="D51" s="60">
        <v>1</v>
      </c>
      <c r="E51" s="11" t="s">
        <v>839</v>
      </c>
      <c r="F51" s="11" t="s">
        <v>839</v>
      </c>
      <c r="G51" s="11" t="s">
        <v>873</v>
      </c>
      <c r="H51" s="11" t="s">
        <v>874</v>
      </c>
      <c r="I5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51" s="14" t="s">
        <v>856</v>
      </c>
      <c r="K51" s="11"/>
      <c r="L51" s="11"/>
      <c r="M51" s="11"/>
      <c r="N51" s="499"/>
      <c r="O51" s="499"/>
      <c r="P51" s="499"/>
      <c r="Q51" s="499"/>
      <c r="R51" s="499"/>
      <c r="S51" s="499"/>
      <c r="T51" s="499"/>
      <c r="U51" s="499"/>
      <c r="V51" s="499"/>
      <c r="W51" s="499"/>
      <c r="X51" s="499"/>
      <c r="Y51" s="499"/>
      <c r="Z51" s="499"/>
      <c r="AA51" s="499"/>
      <c r="AB51" s="499"/>
      <c r="AC51" s="499"/>
      <c r="AD51" s="499"/>
      <c r="AE51" s="499"/>
      <c r="AF51" s="499"/>
      <c r="AG51" s="499"/>
      <c r="AH51" s="499"/>
      <c r="AI51" s="499"/>
      <c r="AJ51" s="499"/>
      <c r="AK51" s="499"/>
      <c r="AL51" s="499"/>
      <c r="AM51" s="499"/>
      <c r="AN51" s="499"/>
      <c r="AO51" s="499"/>
      <c r="AP51" s="499"/>
      <c r="AQ51" s="499"/>
      <c r="AR51" s="499"/>
      <c r="AS51" s="499"/>
      <c r="AT51" s="499"/>
    </row>
    <row r="52" spans="1:46" x14ac:dyDescent="0.3">
      <c r="A52" s="11" t="s">
        <v>398</v>
      </c>
      <c r="B52" s="12" t="s">
        <v>416</v>
      </c>
      <c r="C52" s="11" t="s">
        <v>417</v>
      </c>
      <c r="D52" s="60">
        <v>1</v>
      </c>
      <c r="E52" s="11" t="s">
        <v>839</v>
      </c>
      <c r="F52" s="11" t="s">
        <v>839</v>
      </c>
      <c r="G52" s="11" t="s">
        <v>873</v>
      </c>
      <c r="H52" s="11" t="s">
        <v>874</v>
      </c>
      <c r="I5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52" s="14" t="s">
        <v>856</v>
      </c>
      <c r="K52" s="11"/>
      <c r="L52" s="11"/>
      <c r="M52" s="11"/>
      <c r="N52" s="499"/>
      <c r="O52" s="499"/>
      <c r="P52" s="499"/>
      <c r="Q52" s="499"/>
      <c r="R52" s="499"/>
      <c r="S52" s="499"/>
      <c r="T52" s="499"/>
      <c r="U52" s="499"/>
      <c r="V52" s="499"/>
      <c r="W52" s="499"/>
      <c r="X52" s="499"/>
      <c r="Y52" s="499"/>
      <c r="Z52" s="499"/>
      <c r="AA52" s="499"/>
      <c r="AB52" s="499"/>
      <c r="AC52" s="499"/>
      <c r="AD52" s="499"/>
      <c r="AE52" s="499"/>
      <c r="AF52" s="499"/>
      <c r="AG52" s="499"/>
      <c r="AH52" s="499"/>
      <c r="AI52" s="499"/>
      <c r="AJ52" s="499"/>
      <c r="AK52" s="499"/>
      <c r="AL52" s="499"/>
      <c r="AM52" s="499"/>
      <c r="AN52" s="499"/>
      <c r="AO52" s="499"/>
      <c r="AP52" s="499"/>
      <c r="AQ52" s="499"/>
      <c r="AR52" s="499"/>
      <c r="AS52" s="499"/>
      <c r="AT52" s="499"/>
    </row>
    <row r="53" spans="1:46" x14ac:dyDescent="0.3">
      <c r="A53" s="11" t="s">
        <v>398</v>
      </c>
      <c r="B53" s="12" t="s">
        <v>416</v>
      </c>
      <c r="C53" s="11" t="s">
        <v>876</v>
      </c>
      <c r="D53" s="60">
        <v>1</v>
      </c>
      <c r="E53" s="11" t="s">
        <v>839</v>
      </c>
      <c r="F53" s="11" t="s">
        <v>839</v>
      </c>
      <c r="G53" s="11" t="s">
        <v>873</v>
      </c>
      <c r="H53" s="11" t="s">
        <v>874</v>
      </c>
      <c r="I5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53" s="14" t="s">
        <v>856</v>
      </c>
      <c r="K53" s="11"/>
      <c r="L53" s="11"/>
      <c r="M53" s="11"/>
      <c r="N53" s="499"/>
      <c r="O53" s="499"/>
      <c r="P53" s="499"/>
      <c r="Q53" s="499"/>
      <c r="R53" s="499"/>
      <c r="S53" s="499"/>
      <c r="T53" s="499"/>
      <c r="U53" s="499"/>
      <c r="V53" s="499"/>
      <c r="W53" s="499"/>
      <c r="X53" s="499"/>
      <c r="Y53" s="499"/>
      <c r="Z53" s="499"/>
      <c r="AA53" s="499"/>
      <c r="AB53" s="499"/>
      <c r="AC53" s="499"/>
      <c r="AD53" s="499"/>
      <c r="AE53" s="499"/>
      <c r="AF53" s="499"/>
      <c r="AG53" s="499"/>
      <c r="AH53" s="499"/>
      <c r="AI53" s="499"/>
      <c r="AJ53" s="499"/>
      <c r="AK53" s="499"/>
      <c r="AL53" s="499"/>
      <c r="AM53" s="499"/>
      <c r="AN53" s="499"/>
      <c r="AO53" s="499"/>
      <c r="AP53" s="499"/>
      <c r="AQ53" s="499"/>
      <c r="AR53" s="499"/>
      <c r="AS53" s="499"/>
      <c r="AT53" s="499"/>
    </row>
    <row r="54" spans="1:46" x14ac:dyDescent="0.3">
      <c r="A54" s="11" t="s">
        <v>398</v>
      </c>
      <c r="B54" s="12" t="s">
        <v>416</v>
      </c>
      <c r="C54" s="11" t="s">
        <v>877</v>
      </c>
      <c r="D54" s="60">
        <v>1</v>
      </c>
      <c r="E54" s="11" t="s">
        <v>839</v>
      </c>
      <c r="F54" s="11" t="s">
        <v>839</v>
      </c>
      <c r="G54" s="11" t="s">
        <v>873</v>
      </c>
      <c r="H54" s="11" t="s">
        <v>874</v>
      </c>
      <c r="I5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54" s="14" t="s">
        <v>856</v>
      </c>
      <c r="K54" s="11"/>
      <c r="L54" s="11"/>
      <c r="M54" s="11"/>
      <c r="N54" s="499"/>
      <c r="O54" s="499"/>
      <c r="P54" s="499"/>
      <c r="Q54" s="499"/>
      <c r="R54" s="499"/>
      <c r="S54" s="499"/>
      <c r="T54" s="499"/>
      <c r="U54" s="499"/>
      <c r="V54" s="499"/>
      <c r="W54" s="499"/>
      <c r="X54" s="499"/>
      <c r="Y54" s="499"/>
      <c r="Z54" s="499"/>
      <c r="AA54" s="499"/>
      <c r="AB54" s="499"/>
      <c r="AC54" s="499"/>
      <c r="AD54" s="499"/>
      <c r="AE54" s="499"/>
      <c r="AF54" s="499"/>
      <c r="AG54" s="499"/>
      <c r="AH54" s="499"/>
      <c r="AI54" s="499"/>
      <c r="AJ54" s="499"/>
      <c r="AK54" s="499"/>
      <c r="AL54" s="499"/>
      <c r="AM54" s="499"/>
      <c r="AN54" s="499"/>
      <c r="AO54" s="499"/>
      <c r="AP54" s="499"/>
      <c r="AQ54" s="499"/>
      <c r="AR54" s="499"/>
      <c r="AS54" s="499"/>
      <c r="AT54" s="499"/>
    </row>
    <row r="55" spans="1:46" x14ac:dyDescent="0.3">
      <c r="A55" s="11" t="s">
        <v>398</v>
      </c>
      <c r="B55" s="12" t="s">
        <v>416</v>
      </c>
      <c r="C55" s="11" t="s">
        <v>780</v>
      </c>
      <c r="D55" s="60">
        <v>1</v>
      </c>
      <c r="E55" s="11" t="s">
        <v>839</v>
      </c>
      <c r="F55" s="11" t="s">
        <v>839</v>
      </c>
      <c r="G55" s="11" t="s">
        <v>873</v>
      </c>
      <c r="H55" s="11" t="s">
        <v>874</v>
      </c>
      <c r="I5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55" s="14" t="s">
        <v>856</v>
      </c>
      <c r="K55" s="11"/>
      <c r="L55" s="11"/>
      <c r="M55" s="11"/>
      <c r="N55" s="499"/>
      <c r="O55" s="499"/>
      <c r="P55" s="499"/>
      <c r="Q55" s="499"/>
      <c r="R55" s="499"/>
      <c r="S55" s="499"/>
      <c r="T55" s="499"/>
      <c r="U55" s="499"/>
      <c r="V55" s="499"/>
      <c r="W55" s="499"/>
      <c r="X55" s="499"/>
      <c r="Y55" s="499"/>
      <c r="Z55" s="499"/>
      <c r="AA55" s="499"/>
      <c r="AB55" s="499"/>
      <c r="AC55" s="499"/>
      <c r="AD55" s="499"/>
      <c r="AE55" s="499"/>
      <c r="AF55" s="499"/>
      <c r="AG55" s="499"/>
      <c r="AH55" s="499"/>
      <c r="AI55" s="499"/>
      <c r="AJ55" s="499"/>
      <c r="AK55" s="499"/>
      <c r="AL55" s="499"/>
      <c r="AM55" s="499"/>
      <c r="AN55" s="499"/>
      <c r="AO55" s="499"/>
      <c r="AP55" s="499"/>
      <c r="AQ55" s="499"/>
      <c r="AR55" s="499"/>
      <c r="AS55" s="499"/>
      <c r="AT55" s="499"/>
    </row>
    <row r="56" spans="1:46" x14ac:dyDescent="0.3">
      <c r="A56" s="11" t="s">
        <v>398</v>
      </c>
      <c r="B56" s="12" t="s">
        <v>410</v>
      </c>
      <c r="C56" s="11" t="s">
        <v>433</v>
      </c>
      <c r="D56" s="60">
        <v>1</v>
      </c>
      <c r="E56" s="11" t="s">
        <v>839</v>
      </c>
      <c r="F56" s="11" t="s">
        <v>839</v>
      </c>
      <c r="G56" s="11" t="s">
        <v>878</v>
      </c>
      <c r="H56" s="11" t="s">
        <v>879</v>
      </c>
      <c r="I5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56" s="14" t="s">
        <v>856</v>
      </c>
      <c r="K56" s="11"/>
      <c r="L56" s="11"/>
      <c r="M56" s="11"/>
      <c r="N56" s="499"/>
      <c r="O56" s="499"/>
      <c r="P56" s="499"/>
      <c r="Q56" s="499"/>
      <c r="R56" s="499"/>
      <c r="S56" s="499"/>
      <c r="T56" s="499"/>
      <c r="U56" s="499"/>
      <c r="V56" s="499"/>
      <c r="W56" s="499"/>
      <c r="X56" s="499"/>
      <c r="Y56" s="499"/>
      <c r="Z56" s="499"/>
      <c r="AA56" s="499"/>
      <c r="AB56" s="499"/>
      <c r="AC56" s="499"/>
      <c r="AD56" s="499"/>
      <c r="AE56" s="499"/>
      <c r="AF56" s="499"/>
      <c r="AG56" s="499"/>
      <c r="AH56" s="499"/>
      <c r="AI56" s="499"/>
      <c r="AJ56" s="499"/>
      <c r="AK56" s="499"/>
      <c r="AL56" s="499"/>
      <c r="AM56" s="499"/>
      <c r="AN56" s="499"/>
      <c r="AO56" s="499"/>
      <c r="AP56" s="499"/>
      <c r="AQ56" s="499"/>
      <c r="AR56" s="499"/>
      <c r="AS56" s="499"/>
      <c r="AT56" s="499"/>
    </row>
    <row r="57" spans="1:46" x14ac:dyDescent="0.3">
      <c r="A57" s="11" t="s">
        <v>398</v>
      </c>
      <c r="B57" s="12" t="s">
        <v>410</v>
      </c>
      <c r="C57" s="11" t="s">
        <v>411</v>
      </c>
      <c r="D57" s="60">
        <v>1</v>
      </c>
      <c r="E57" s="11" t="s">
        <v>839</v>
      </c>
      <c r="F57" s="11" t="s">
        <v>839</v>
      </c>
      <c r="G57" s="11" t="s">
        <v>878</v>
      </c>
      <c r="H57" s="11" t="s">
        <v>879</v>
      </c>
      <c r="I5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57" s="14" t="s">
        <v>856</v>
      </c>
      <c r="K57" s="11"/>
      <c r="L57" s="11"/>
      <c r="M57" s="11"/>
      <c r="N57" s="499"/>
      <c r="O57" s="499"/>
      <c r="P57" s="499"/>
      <c r="Q57" s="499"/>
      <c r="R57" s="499"/>
      <c r="S57" s="499"/>
      <c r="T57" s="499"/>
      <c r="U57" s="499"/>
      <c r="V57" s="499"/>
      <c r="W57" s="499"/>
      <c r="X57" s="499"/>
      <c r="Y57" s="499"/>
      <c r="Z57" s="499"/>
      <c r="AA57" s="499"/>
      <c r="AB57" s="499"/>
      <c r="AC57" s="499"/>
      <c r="AD57" s="499"/>
      <c r="AE57" s="499"/>
      <c r="AF57" s="499"/>
      <c r="AG57" s="499"/>
      <c r="AH57" s="499"/>
      <c r="AI57" s="499"/>
      <c r="AJ57" s="499"/>
      <c r="AK57" s="499"/>
      <c r="AL57" s="499"/>
      <c r="AM57" s="499"/>
      <c r="AN57" s="499"/>
      <c r="AO57" s="499"/>
      <c r="AP57" s="499"/>
      <c r="AQ57" s="499"/>
      <c r="AR57" s="499"/>
      <c r="AS57" s="499"/>
      <c r="AT57" s="499"/>
    </row>
    <row r="58" spans="1:46" x14ac:dyDescent="0.3">
      <c r="A58" s="11" t="s">
        <v>398</v>
      </c>
      <c r="B58" s="12" t="s">
        <v>410</v>
      </c>
      <c r="C58" s="11" t="s">
        <v>880</v>
      </c>
      <c r="D58" s="60">
        <v>1</v>
      </c>
      <c r="E58" s="11" t="s">
        <v>839</v>
      </c>
      <c r="F58" s="11" t="s">
        <v>839</v>
      </c>
      <c r="G58" s="11" t="s">
        <v>878</v>
      </c>
      <c r="H58" s="11" t="s">
        <v>879</v>
      </c>
      <c r="I5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wattlist_LED</v>
      </c>
      <c r="J58" s="14" t="s">
        <v>856</v>
      </c>
      <c r="K58" s="11"/>
      <c r="L58" s="11"/>
      <c r="M58" s="11"/>
      <c r="N58" s="499"/>
      <c r="O58" s="499"/>
      <c r="P58" s="499"/>
      <c r="Q58" s="499"/>
      <c r="R58" s="499"/>
      <c r="S58" s="499"/>
      <c r="T58" s="499"/>
      <c r="U58" s="499"/>
      <c r="V58" s="499"/>
      <c r="W58" s="499"/>
      <c r="X58" s="499"/>
      <c r="Y58" s="499"/>
      <c r="Z58" s="499"/>
      <c r="AA58" s="499"/>
      <c r="AB58" s="499"/>
      <c r="AC58" s="499"/>
      <c r="AD58" s="499"/>
      <c r="AE58" s="499"/>
      <c r="AF58" s="499"/>
      <c r="AG58" s="499"/>
      <c r="AH58" s="499"/>
      <c r="AI58" s="499"/>
      <c r="AJ58" s="499"/>
      <c r="AK58" s="499"/>
      <c r="AL58" s="499"/>
      <c r="AM58" s="499"/>
      <c r="AN58" s="499"/>
      <c r="AO58" s="499"/>
      <c r="AP58" s="499"/>
      <c r="AQ58" s="499"/>
      <c r="AR58" s="499"/>
      <c r="AS58" s="499"/>
      <c r="AT58" s="499"/>
    </row>
    <row r="59" spans="1:46" x14ac:dyDescent="0.3">
      <c r="A59" s="11" t="s">
        <v>881</v>
      </c>
      <c r="B59" s="12" t="s">
        <v>882</v>
      </c>
      <c r="C59" s="11" t="s">
        <v>883</v>
      </c>
      <c r="D59" s="60">
        <v>1</v>
      </c>
      <c r="E59" s="11" t="s">
        <v>839</v>
      </c>
      <c r="F59" s="11" t="s">
        <v>840</v>
      </c>
      <c r="I5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wattlist_quartz_bi_pin_halogen</v>
      </c>
      <c r="J59" s="11">
        <v>250</v>
      </c>
      <c r="K59" s="11">
        <v>500</v>
      </c>
      <c r="L59" s="11">
        <v>1000</v>
      </c>
      <c r="M59" s="11">
        <v>1500</v>
      </c>
      <c r="N59" s="499"/>
      <c r="O59" s="499"/>
      <c r="P59" s="499"/>
      <c r="Q59" s="499"/>
      <c r="R59" s="499"/>
      <c r="S59" s="499"/>
      <c r="T59" s="499"/>
      <c r="U59" s="499"/>
      <c r="V59" s="499"/>
      <c r="W59" s="499"/>
      <c r="X59" s="499"/>
      <c r="Y59" s="499"/>
      <c r="Z59" s="499"/>
      <c r="AA59" s="499"/>
      <c r="AB59" s="499"/>
      <c r="AC59" s="499"/>
      <c r="AD59" s="499"/>
      <c r="AE59" s="499"/>
      <c r="AF59" s="499"/>
      <c r="AG59" s="499"/>
      <c r="AH59" s="499"/>
      <c r="AI59" s="499"/>
      <c r="AJ59" s="499"/>
      <c r="AK59" s="499"/>
      <c r="AL59" s="499"/>
      <c r="AM59" s="499"/>
      <c r="AN59" s="499"/>
      <c r="AO59" s="499"/>
      <c r="AP59" s="499"/>
      <c r="AQ59" s="499"/>
      <c r="AR59" s="499"/>
      <c r="AS59" s="499"/>
      <c r="AT59" s="499"/>
    </row>
    <row r="60" spans="1:46" x14ac:dyDescent="0.3">
      <c r="A60" s="11" t="s">
        <v>538</v>
      </c>
      <c r="B60" s="12" t="s">
        <v>884</v>
      </c>
      <c r="C60" s="11" t="s">
        <v>885</v>
      </c>
      <c r="D60" s="60">
        <v>1</v>
      </c>
      <c r="E60" s="12" t="s">
        <v>840</v>
      </c>
      <c r="F60" s="11" t="s">
        <v>839</v>
      </c>
      <c r="G60" s="11" t="s">
        <v>886</v>
      </c>
      <c r="H60" s="11" t="s">
        <v>887</v>
      </c>
      <c r="I6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wattlist_signage_led_tube___sign_n_a</v>
      </c>
      <c r="J60" s="11" t="s">
        <v>885</v>
      </c>
      <c r="K60" s="11"/>
      <c r="L60" s="11"/>
      <c r="M60" s="11"/>
      <c r="N60" s="499"/>
      <c r="O60" s="499"/>
      <c r="P60" s="499"/>
      <c r="Q60" s="499"/>
      <c r="R60" s="499"/>
      <c r="S60" s="499"/>
      <c r="T60" s="499"/>
      <c r="U60" s="499"/>
      <c r="V60" s="499"/>
      <c r="W60" s="499"/>
      <c r="X60" s="499"/>
      <c r="Y60" s="499"/>
      <c r="Z60" s="499"/>
      <c r="AA60" s="499"/>
      <c r="AB60" s="499"/>
      <c r="AC60" s="499"/>
      <c r="AD60" s="499"/>
      <c r="AE60" s="499"/>
      <c r="AF60" s="499"/>
      <c r="AG60" s="499"/>
      <c r="AH60" s="499"/>
      <c r="AI60" s="499"/>
      <c r="AJ60" s="499"/>
      <c r="AK60" s="499"/>
      <c r="AL60" s="499"/>
      <c r="AM60" s="499"/>
      <c r="AN60" s="499"/>
      <c r="AO60" s="499"/>
      <c r="AP60" s="499"/>
      <c r="AQ60" s="499"/>
      <c r="AR60" s="499"/>
      <c r="AS60" s="499"/>
      <c r="AT60" s="499"/>
    </row>
    <row r="61" spans="1:46" x14ac:dyDescent="0.3">
      <c r="A61" s="11" t="s">
        <v>538</v>
      </c>
      <c r="B61" s="12" t="s">
        <v>888</v>
      </c>
      <c r="C61" s="11" t="s">
        <v>885</v>
      </c>
      <c r="D61" s="60">
        <v>1</v>
      </c>
      <c r="E61" s="12" t="s">
        <v>840</v>
      </c>
      <c r="F61" s="11" t="s">
        <v>839</v>
      </c>
      <c r="G61" s="11" t="s">
        <v>886</v>
      </c>
      <c r="H61" s="11" t="s">
        <v>887</v>
      </c>
      <c r="I6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wattlist_signage_linear_strip___sign_n_a</v>
      </c>
      <c r="J61" s="11" t="s">
        <v>885</v>
      </c>
      <c r="K61" s="11"/>
      <c r="L61" s="11"/>
      <c r="M61" s="11"/>
      <c r="N61" s="499"/>
      <c r="O61" s="499"/>
      <c r="P61" s="499"/>
      <c r="Q61" s="499"/>
      <c r="R61" s="499"/>
      <c r="S61" s="499"/>
      <c r="T61" s="499"/>
      <c r="U61" s="499"/>
      <c r="V61" s="499"/>
      <c r="W61" s="499"/>
      <c r="X61" s="499"/>
      <c r="Y61" s="499"/>
      <c r="Z61" s="499"/>
      <c r="AA61" s="499"/>
      <c r="AB61" s="499"/>
      <c r="AC61" s="499"/>
      <c r="AD61" s="499"/>
      <c r="AE61" s="499"/>
      <c r="AF61" s="499"/>
      <c r="AG61" s="499"/>
      <c r="AH61" s="499"/>
      <c r="AI61" s="499"/>
      <c r="AJ61" s="499"/>
      <c r="AK61" s="499"/>
      <c r="AL61" s="499"/>
      <c r="AM61" s="499"/>
      <c r="AN61" s="499"/>
      <c r="AO61" s="499"/>
      <c r="AP61" s="499"/>
      <c r="AQ61" s="499"/>
      <c r="AR61" s="499"/>
      <c r="AS61" s="499"/>
      <c r="AT61" s="499"/>
    </row>
    <row r="62" spans="1:46" x14ac:dyDescent="0.3">
      <c r="A62" s="11" t="s">
        <v>538</v>
      </c>
      <c r="B62" s="12" t="s">
        <v>889</v>
      </c>
      <c r="C62" s="11" t="s">
        <v>885</v>
      </c>
      <c r="D62" s="60">
        <v>1</v>
      </c>
      <c r="E62" s="12" t="s">
        <v>840</v>
      </c>
      <c r="F62" s="11" t="s">
        <v>839</v>
      </c>
      <c r="G62" s="11" t="s">
        <v>886</v>
      </c>
      <c r="H62" s="11" t="s">
        <v>887</v>
      </c>
      <c r="I6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wattlist_signage_other___sign_n_a</v>
      </c>
      <c r="J62" s="11" t="s">
        <v>885</v>
      </c>
      <c r="K62" s="11"/>
      <c r="L62" s="11"/>
      <c r="M62" s="11"/>
      <c r="N62" s="499"/>
      <c r="O62" s="499"/>
      <c r="P62" s="499"/>
      <c r="Q62" s="499"/>
      <c r="R62" s="499"/>
      <c r="S62" s="499"/>
      <c r="T62" s="499"/>
      <c r="U62" s="499"/>
      <c r="V62" s="499"/>
      <c r="W62" s="499"/>
      <c r="X62" s="499"/>
      <c r="Y62" s="499"/>
      <c r="Z62" s="499"/>
      <c r="AA62" s="499"/>
      <c r="AB62" s="499"/>
      <c r="AC62" s="499"/>
      <c r="AD62" s="499"/>
      <c r="AE62" s="499"/>
      <c r="AF62" s="499"/>
      <c r="AG62" s="499"/>
      <c r="AH62" s="499"/>
      <c r="AI62" s="499"/>
      <c r="AJ62" s="499"/>
      <c r="AK62" s="499"/>
      <c r="AL62" s="499"/>
      <c r="AM62" s="499"/>
      <c r="AN62" s="499"/>
      <c r="AO62" s="499"/>
      <c r="AP62" s="499"/>
      <c r="AQ62" s="499"/>
      <c r="AR62" s="499"/>
      <c r="AS62" s="499"/>
      <c r="AT62" s="499"/>
    </row>
    <row r="63" spans="1:46" x14ac:dyDescent="0.3">
      <c r="A63" s="11" t="s">
        <v>890</v>
      </c>
      <c r="B63" s="12" t="s">
        <v>396</v>
      </c>
      <c r="C63" s="11" t="s">
        <v>397</v>
      </c>
      <c r="D63" s="60">
        <v>1.1000000000000001</v>
      </c>
      <c r="E63" s="11" t="s">
        <v>839</v>
      </c>
      <c r="F63" s="11" t="s">
        <v>840</v>
      </c>
      <c r="I6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wattlist_t10_6_ft_vho_lamp_w__mag__ballast</v>
      </c>
      <c r="J63" s="11">
        <v>160</v>
      </c>
      <c r="K63" s="11"/>
      <c r="L63" s="11"/>
      <c r="M63" s="11"/>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row>
    <row r="64" spans="1:46" x14ac:dyDescent="0.3">
      <c r="A64" s="11" t="s">
        <v>395</v>
      </c>
      <c r="B64" s="12" t="s">
        <v>891</v>
      </c>
      <c r="C64" s="11" t="s">
        <v>420</v>
      </c>
      <c r="D64" s="60">
        <v>1.25</v>
      </c>
      <c r="E64" s="11" t="s">
        <v>839</v>
      </c>
      <c r="F64" s="11" t="s">
        <v>840</v>
      </c>
      <c r="I6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wattlist_t12_2_ft_mag__ballast</v>
      </c>
      <c r="J64" s="11">
        <v>20</v>
      </c>
      <c r="K64" s="11"/>
      <c r="L64" s="11"/>
      <c r="M64" s="11"/>
      <c r="N64" s="499"/>
      <c r="O64" s="499"/>
      <c r="P64" s="499"/>
      <c r="Q64" s="499"/>
      <c r="R64" s="499"/>
      <c r="S64" s="499"/>
      <c r="T64" s="499"/>
      <c r="U64" s="499"/>
      <c r="V64" s="499"/>
      <c r="W64" s="499"/>
      <c r="X64" s="499"/>
      <c r="Y64" s="499"/>
      <c r="Z64" s="499"/>
      <c r="AA64" s="499"/>
      <c r="AB64" s="499"/>
      <c r="AC64" s="499"/>
      <c r="AD64" s="499"/>
      <c r="AE64" s="499"/>
      <c r="AF64" s="499"/>
      <c r="AG64" s="499"/>
      <c r="AH64" s="499"/>
      <c r="AI64" s="499"/>
      <c r="AJ64" s="499"/>
      <c r="AK64" s="499"/>
      <c r="AL64" s="499"/>
      <c r="AM64" s="499"/>
      <c r="AN64" s="499"/>
      <c r="AO64" s="499"/>
      <c r="AP64" s="499"/>
      <c r="AQ64" s="499"/>
      <c r="AR64" s="499"/>
      <c r="AS64" s="499"/>
      <c r="AT64" s="499"/>
    </row>
    <row r="65" spans="1:46" x14ac:dyDescent="0.3">
      <c r="A65" s="11" t="s">
        <v>395</v>
      </c>
      <c r="B65" s="12" t="s">
        <v>406</v>
      </c>
      <c r="C65" s="11" t="s">
        <v>850</v>
      </c>
      <c r="D65" s="60">
        <v>1.32</v>
      </c>
      <c r="E65" s="11" t="s">
        <v>839</v>
      </c>
      <c r="F65" s="11" t="s">
        <v>840</v>
      </c>
      <c r="I6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wattlist_t12_3_ft_ee_ballast</v>
      </c>
      <c r="J65" s="11">
        <v>25</v>
      </c>
      <c r="K65" s="11"/>
      <c r="L65" s="11"/>
      <c r="M65" s="11"/>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row>
    <row r="66" spans="1:46" x14ac:dyDescent="0.3">
      <c r="A66" s="11" t="s">
        <v>395</v>
      </c>
      <c r="B66" s="12" t="s">
        <v>406</v>
      </c>
      <c r="C66" s="11" t="s">
        <v>420</v>
      </c>
      <c r="D66" s="60">
        <v>1.38</v>
      </c>
      <c r="E66" s="11" t="s">
        <v>839</v>
      </c>
      <c r="F66" s="11" t="s">
        <v>840</v>
      </c>
      <c r="I6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wattlist_t12_3_ft_mag__ballast</v>
      </c>
      <c r="J66" s="11">
        <v>25</v>
      </c>
      <c r="K66" s="11">
        <v>30</v>
      </c>
      <c r="L66" s="11"/>
      <c r="M66" s="11"/>
      <c r="N66" s="499"/>
      <c r="O66" s="499"/>
      <c r="P66" s="499"/>
      <c r="Q66" s="499"/>
      <c r="R66" s="499"/>
      <c r="S66" s="499"/>
      <c r="T66" s="499"/>
      <c r="U66" s="499"/>
      <c r="V66" s="499"/>
      <c r="W66" s="499"/>
      <c r="X66" s="499"/>
      <c r="Y66" s="499"/>
      <c r="Z66" s="499"/>
      <c r="AA66" s="499"/>
      <c r="AB66" s="499"/>
      <c r="AC66" s="499"/>
      <c r="AD66" s="499"/>
      <c r="AE66" s="499"/>
      <c r="AF66" s="499"/>
      <c r="AG66" s="499"/>
      <c r="AH66" s="499"/>
      <c r="AI66" s="499"/>
      <c r="AJ66" s="499"/>
      <c r="AK66" s="499"/>
      <c r="AL66" s="499"/>
      <c r="AM66" s="499"/>
      <c r="AN66" s="499"/>
      <c r="AO66" s="499"/>
      <c r="AP66" s="499"/>
      <c r="AQ66" s="499"/>
      <c r="AR66" s="499"/>
      <c r="AS66" s="499"/>
      <c r="AT66" s="499"/>
    </row>
    <row r="67" spans="1:46" x14ac:dyDescent="0.3">
      <c r="A67" s="11" t="s">
        <v>395</v>
      </c>
      <c r="B67" s="12" t="s">
        <v>408</v>
      </c>
      <c r="C67" s="11" t="s">
        <v>403</v>
      </c>
      <c r="D67" s="60">
        <v>1.2</v>
      </c>
      <c r="E67" s="11" t="s">
        <v>839</v>
      </c>
      <c r="F67" s="11" t="s">
        <v>840</v>
      </c>
      <c r="I6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wattlist_t12_4_ft_ho_lamp_w__mag__ballast</v>
      </c>
      <c r="J67" s="11">
        <v>60</v>
      </c>
      <c r="K67" s="11"/>
      <c r="L67" s="11"/>
      <c r="M67" s="11"/>
      <c r="N67" s="499"/>
      <c r="O67" s="499"/>
      <c r="P67" s="499"/>
      <c r="Q67" s="499"/>
      <c r="R67" s="499"/>
      <c r="S67" s="499"/>
      <c r="T67" s="499"/>
      <c r="U67" s="499"/>
      <c r="V67" s="499"/>
      <c r="W67" s="499"/>
      <c r="X67" s="499"/>
      <c r="Y67" s="499"/>
      <c r="Z67" s="499"/>
      <c r="AA67" s="499"/>
      <c r="AB67" s="499"/>
      <c r="AC67" s="499"/>
      <c r="AD67" s="499"/>
      <c r="AE67" s="499"/>
      <c r="AF67" s="499"/>
      <c r="AG67" s="499"/>
      <c r="AH67" s="499"/>
      <c r="AI67" s="499"/>
      <c r="AJ67" s="499"/>
      <c r="AK67" s="499"/>
      <c r="AL67" s="499"/>
      <c r="AM67" s="499"/>
      <c r="AN67" s="499"/>
      <c r="AO67" s="499"/>
      <c r="AP67" s="499"/>
      <c r="AQ67" s="499"/>
      <c r="AR67" s="499"/>
      <c r="AS67" s="499"/>
      <c r="AT67" s="499"/>
    </row>
    <row r="68" spans="1:46" x14ac:dyDescent="0.3">
      <c r="A68" s="11" t="s">
        <v>395</v>
      </c>
      <c r="B68" s="12" t="s">
        <v>408</v>
      </c>
      <c r="C68" s="11" t="s">
        <v>892</v>
      </c>
      <c r="D68" s="60">
        <v>1.1000000000000001</v>
      </c>
      <c r="E68" s="11" t="s">
        <v>839</v>
      </c>
      <c r="F68" s="11" t="s">
        <v>840</v>
      </c>
      <c r="I6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wattlist_t12_4_ft_lamp_w__ee_ballast</v>
      </c>
      <c r="J68" s="11">
        <v>34</v>
      </c>
      <c r="K68" s="11">
        <v>40</v>
      </c>
      <c r="L68" s="11"/>
      <c r="M68" s="11"/>
      <c r="N68" s="499"/>
      <c r="O68" s="499"/>
      <c r="P68" s="499"/>
      <c r="Q68" s="499"/>
      <c r="R68" s="499"/>
      <c r="S68" s="499"/>
      <c r="T68" s="499"/>
      <c r="U68" s="499"/>
      <c r="V68" s="499"/>
      <c r="W68" s="499"/>
      <c r="X68" s="499"/>
      <c r="Y68" s="499"/>
      <c r="Z68" s="499"/>
      <c r="AA68" s="499"/>
      <c r="AB68" s="499"/>
      <c r="AC68" s="499"/>
      <c r="AD68" s="499"/>
      <c r="AE68" s="499"/>
      <c r="AF68" s="499"/>
      <c r="AG68" s="499"/>
      <c r="AH68" s="499"/>
      <c r="AI68" s="499"/>
      <c r="AJ68" s="499"/>
      <c r="AK68" s="499"/>
      <c r="AL68" s="499"/>
      <c r="AM68" s="499"/>
      <c r="AN68" s="499"/>
      <c r="AO68" s="499"/>
      <c r="AP68" s="499"/>
      <c r="AQ68" s="499"/>
      <c r="AR68" s="499"/>
      <c r="AS68" s="499"/>
      <c r="AT68" s="499"/>
    </row>
    <row r="69" spans="1:46" x14ac:dyDescent="0.3">
      <c r="A69" s="11" t="s">
        <v>395</v>
      </c>
      <c r="B69" s="12" t="s">
        <v>408</v>
      </c>
      <c r="C69" s="11" t="s">
        <v>893</v>
      </c>
      <c r="D69" s="60">
        <v>1.2</v>
      </c>
      <c r="E69" s="11" t="s">
        <v>839</v>
      </c>
      <c r="F69" s="11" t="s">
        <v>840</v>
      </c>
      <c r="I6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wattlist_t12_4_ft_lamp_w__mag__ballast</v>
      </c>
      <c r="J69" s="11">
        <v>34</v>
      </c>
      <c r="K69" s="11">
        <v>40</v>
      </c>
      <c r="L69" s="11"/>
      <c r="M69" s="11"/>
      <c r="N69" s="499"/>
      <c r="O69" s="499"/>
      <c r="P69" s="499"/>
      <c r="Q69" s="499"/>
      <c r="R69" s="499"/>
      <c r="S69" s="499"/>
      <c r="T69" s="499"/>
      <c r="U69" s="499"/>
      <c r="V69" s="499"/>
      <c r="W69" s="499"/>
      <c r="X69" s="499"/>
      <c r="Y69" s="499"/>
      <c r="Z69" s="499"/>
      <c r="AA69" s="499"/>
      <c r="AB69" s="499"/>
      <c r="AC69" s="499"/>
      <c r="AD69" s="499"/>
      <c r="AE69" s="499"/>
      <c r="AF69" s="499"/>
      <c r="AG69" s="499"/>
      <c r="AH69" s="499"/>
      <c r="AI69" s="499"/>
      <c r="AJ69" s="499"/>
      <c r="AK69" s="499"/>
      <c r="AL69" s="499"/>
      <c r="AM69" s="499"/>
      <c r="AN69" s="499"/>
      <c r="AO69" s="499"/>
      <c r="AP69" s="499"/>
      <c r="AQ69" s="499"/>
      <c r="AR69" s="499"/>
      <c r="AS69" s="499"/>
      <c r="AT69" s="499"/>
    </row>
    <row r="70" spans="1:46" x14ac:dyDescent="0.3">
      <c r="A70" s="11" t="s">
        <v>395</v>
      </c>
      <c r="B70" s="12" t="s">
        <v>408</v>
      </c>
      <c r="C70" s="11" t="s">
        <v>436</v>
      </c>
      <c r="D70" s="60">
        <v>1.2</v>
      </c>
      <c r="E70" s="11" t="s">
        <v>839</v>
      </c>
      <c r="F70" s="11" t="s">
        <v>840</v>
      </c>
      <c r="I7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wattlist_t12_4_ft_slimline_w__mag__ballast</v>
      </c>
      <c r="J70" s="11">
        <v>39</v>
      </c>
      <c r="K70" s="11"/>
      <c r="L70" s="11"/>
      <c r="M70" s="11"/>
      <c r="N70" s="499"/>
      <c r="O70" s="499"/>
      <c r="P70" s="499"/>
      <c r="Q70" s="499"/>
      <c r="R70" s="499"/>
      <c r="S70" s="499"/>
      <c r="T70" s="499"/>
      <c r="U70" s="499"/>
      <c r="V70" s="499"/>
      <c r="W70" s="499"/>
      <c r="X70" s="499"/>
      <c r="Y70" s="499"/>
      <c r="Z70" s="499"/>
      <c r="AA70" s="499"/>
      <c r="AB70" s="499"/>
      <c r="AC70" s="499"/>
      <c r="AD70" s="499"/>
      <c r="AE70" s="499"/>
      <c r="AF70" s="499"/>
      <c r="AG70" s="499"/>
      <c r="AH70" s="499"/>
      <c r="AI70" s="499"/>
      <c r="AJ70" s="499"/>
      <c r="AK70" s="499"/>
      <c r="AL70" s="499"/>
      <c r="AM70" s="499"/>
      <c r="AN70" s="499"/>
      <c r="AO70" s="499"/>
      <c r="AP70" s="499"/>
      <c r="AQ70" s="499"/>
      <c r="AR70" s="499"/>
      <c r="AS70" s="499"/>
      <c r="AT70" s="499"/>
    </row>
    <row r="71" spans="1:46" x14ac:dyDescent="0.3">
      <c r="A71" s="11" t="s">
        <v>395</v>
      </c>
      <c r="B71" s="12" t="s">
        <v>408</v>
      </c>
      <c r="C71" s="11" t="s">
        <v>397</v>
      </c>
      <c r="D71" s="60">
        <v>1.1000000000000001</v>
      </c>
      <c r="E71" s="11" t="s">
        <v>839</v>
      </c>
      <c r="F71" s="11" t="s">
        <v>840</v>
      </c>
      <c r="I7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wattlist_t12_4_ft_vho_lamp_w__mag__ballast</v>
      </c>
      <c r="J71" s="11">
        <v>115</v>
      </c>
      <c r="K71" s="11"/>
      <c r="L71" s="11"/>
      <c r="M71" s="11"/>
      <c r="N71" s="499"/>
      <c r="O71" s="499"/>
      <c r="P71" s="499"/>
      <c r="Q71" s="499"/>
      <c r="R71" s="499"/>
      <c r="S71" s="499"/>
      <c r="T71" s="499"/>
      <c r="U71" s="499"/>
      <c r="V71" s="499"/>
      <c r="W71" s="499"/>
      <c r="X71" s="499"/>
      <c r="Y71" s="499"/>
      <c r="Z71" s="499"/>
      <c r="AA71" s="499"/>
      <c r="AB71" s="499"/>
      <c r="AC71" s="499"/>
      <c r="AD71" s="499"/>
      <c r="AE71" s="499"/>
      <c r="AF71" s="499"/>
      <c r="AG71" s="499"/>
      <c r="AH71" s="499"/>
      <c r="AI71" s="499"/>
      <c r="AJ71" s="499"/>
      <c r="AK71" s="499"/>
      <c r="AL71" s="499"/>
      <c r="AM71" s="499"/>
      <c r="AN71" s="499"/>
      <c r="AO71" s="499"/>
      <c r="AP71" s="499"/>
      <c r="AQ71" s="499"/>
      <c r="AR71" s="499"/>
      <c r="AS71" s="499"/>
      <c r="AT71" s="499"/>
    </row>
    <row r="72" spans="1:46" x14ac:dyDescent="0.3">
      <c r="A72" s="11" t="s">
        <v>395</v>
      </c>
      <c r="B72" s="12" t="s">
        <v>402</v>
      </c>
      <c r="C72" s="11" t="s">
        <v>403</v>
      </c>
      <c r="D72" s="60">
        <v>1.2</v>
      </c>
      <c r="E72" s="11" t="s">
        <v>839</v>
      </c>
      <c r="F72" s="11" t="s">
        <v>840</v>
      </c>
      <c r="I7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wattlist_t12_5_ft_ho_lamp_w__mag__ballast</v>
      </c>
      <c r="J72" s="11">
        <v>75</v>
      </c>
      <c r="K72" s="11"/>
      <c r="L72" s="11"/>
      <c r="M72" s="11"/>
      <c r="N72" s="499"/>
      <c r="O72" s="499"/>
      <c r="P72" s="499"/>
      <c r="Q72" s="499"/>
      <c r="R72" s="499"/>
      <c r="S72" s="499"/>
      <c r="T72" s="499"/>
      <c r="U72" s="499"/>
      <c r="V72" s="499"/>
      <c r="W72" s="499"/>
      <c r="X72" s="499"/>
      <c r="Y72" s="499"/>
      <c r="Z72" s="499"/>
      <c r="AA72" s="499"/>
      <c r="AB72" s="499"/>
      <c r="AC72" s="499"/>
      <c r="AD72" s="499"/>
      <c r="AE72" s="499"/>
      <c r="AF72" s="499"/>
      <c r="AG72" s="499"/>
      <c r="AH72" s="499"/>
      <c r="AI72" s="499"/>
      <c r="AJ72" s="499"/>
      <c r="AK72" s="499"/>
      <c r="AL72" s="499"/>
      <c r="AM72" s="499"/>
      <c r="AN72" s="499"/>
      <c r="AO72" s="499"/>
      <c r="AP72" s="499"/>
      <c r="AQ72" s="499"/>
      <c r="AR72" s="499"/>
      <c r="AS72" s="499"/>
      <c r="AT72" s="499"/>
    </row>
    <row r="73" spans="1:46" x14ac:dyDescent="0.3">
      <c r="A73" s="11" t="s">
        <v>395</v>
      </c>
      <c r="B73" s="12" t="s">
        <v>402</v>
      </c>
      <c r="C73" s="11" t="s">
        <v>436</v>
      </c>
      <c r="D73" s="60">
        <v>1.2</v>
      </c>
      <c r="E73" s="11" t="s">
        <v>839</v>
      </c>
      <c r="F73" s="11" t="s">
        <v>840</v>
      </c>
      <c r="I7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wattlist_t12_5_ft_slimline_w__mag__ballast</v>
      </c>
      <c r="J73" s="11">
        <v>50</v>
      </c>
      <c r="K73" s="11"/>
      <c r="L73" s="11"/>
      <c r="M73" s="11"/>
      <c r="N73" s="499"/>
      <c r="O73" s="499"/>
      <c r="P73" s="499"/>
      <c r="Q73" s="499"/>
      <c r="R73" s="499"/>
      <c r="S73" s="499"/>
      <c r="T73" s="499"/>
      <c r="U73" s="499"/>
      <c r="V73" s="499"/>
      <c r="W73" s="499"/>
      <c r="X73" s="499"/>
      <c r="Y73" s="499"/>
      <c r="Z73" s="499"/>
      <c r="AA73" s="499"/>
      <c r="AB73" s="499"/>
      <c r="AC73" s="499"/>
      <c r="AD73" s="499"/>
      <c r="AE73" s="499"/>
      <c r="AF73" s="499"/>
      <c r="AG73" s="499"/>
      <c r="AH73" s="499"/>
      <c r="AI73" s="499"/>
      <c r="AJ73" s="499"/>
      <c r="AK73" s="499"/>
      <c r="AL73" s="499"/>
      <c r="AM73" s="499"/>
      <c r="AN73" s="499"/>
      <c r="AO73" s="499"/>
      <c r="AP73" s="499"/>
      <c r="AQ73" s="499"/>
      <c r="AR73" s="499"/>
      <c r="AS73" s="499"/>
      <c r="AT73" s="499"/>
    </row>
    <row r="74" spans="1:46" x14ac:dyDescent="0.3">
      <c r="A74" s="11" t="s">
        <v>395</v>
      </c>
      <c r="B74" s="12" t="s">
        <v>402</v>
      </c>
      <c r="C74" s="11" t="s">
        <v>397</v>
      </c>
      <c r="D74" s="60">
        <v>1.1000000000000001</v>
      </c>
      <c r="E74" s="11" t="s">
        <v>839</v>
      </c>
      <c r="F74" s="11" t="s">
        <v>840</v>
      </c>
      <c r="I7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wattlist_t12_5_ft_vho_lamp_w__mag__ballast</v>
      </c>
      <c r="J74" s="11">
        <v>135</v>
      </c>
      <c r="K74" s="11"/>
      <c r="L74" s="11"/>
      <c r="M74" s="11"/>
      <c r="N74" s="499"/>
      <c r="O74" s="499"/>
      <c r="P74" s="499"/>
      <c r="Q74" s="499"/>
      <c r="R74" s="499"/>
      <c r="S74" s="499"/>
      <c r="T74" s="499"/>
      <c r="U74" s="499"/>
      <c r="V74" s="499"/>
      <c r="W74" s="499"/>
      <c r="X74" s="499"/>
      <c r="Y74" s="499"/>
      <c r="Z74" s="499"/>
      <c r="AA74" s="499"/>
      <c r="AB74" s="499"/>
      <c r="AC74" s="499"/>
      <c r="AD74" s="499"/>
      <c r="AE74" s="499"/>
      <c r="AF74" s="499"/>
      <c r="AG74" s="499"/>
      <c r="AH74" s="499"/>
      <c r="AI74" s="499"/>
      <c r="AJ74" s="499"/>
      <c r="AK74" s="499"/>
      <c r="AL74" s="499"/>
      <c r="AM74" s="499"/>
      <c r="AN74" s="499"/>
      <c r="AO74" s="499"/>
      <c r="AP74" s="499"/>
      <c r="AQ74" s="499"/>
      <c r="AR74" s="499"/>
      <c r="AS74" s="499"/>
      <c r="AT74" s="499"/>
    </row>
    <row r="75" spans="1:46" x14ac:dyDescent="0.3">
      <c r="A75" s="11" t="s">
        <v>395</v>
      </c>
      <c r="B75" s="12" t="s">
        <v>894</v>
      </c>
      <c r="C75" s="11" t="s">
        <v>403</v>
      </c>
      <c r="D75" s="60">
        <v>1.2</v>
      </c>
      <c r="E75" s="11" t="s">
        <v>839</v>
      </c>
      <c r="F75" s="11" t="s">
        <v>840</v>
      </c>
      <c r="I7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wattlist_t12_5_ft_4_in_ho_lamp_w__mag__ballast</v>
      </c>
      <c r="J75" s="11">
        <v>80</v>
      </c>
      <c r="K75" s="11"/>
      <c r="L75" s="11"/>
      <c r="M75" s="11"/>
      <c r="N75" s="499"/>
      <c r="O75" s="499"/>
      <c r="P75" s="499"/>
      <c r="Q75" s="499"/>
      <c r="R75" s="499"/>
      <c r="S75" s="499"/>
      <c r="T75" s="499"/>
      <c r="U75" s="499"/>
      <c r="V75" s="499"/>
      <c r="W75" s="499"/>
      <c r="X75" s="499"/>
      <c r="Y75" s="499"/>
      <c r="Z75" s="499"/>
      <c r="AA75" s="499"/>
      <c r="AB75" s="499"/>
      <c r="AC75" s="499"/>
      <c r="AD75" s="499"/>
      <c r="AE75" s="499"/>
      <c r="AF75" s="499"/>
      <c r="AG75" s="499"/>
      <c r="AH75" s="499"/>
      <c r="AI75" s="499"/>
      <c r="AJ75" s="499"/>
      <c r="AK75" s="499"/>
      <c r="AL75" s="499"/>
      <c r="AM75" s="499"/>
      <c r="AN75" s="499"/>
      <c r="AO75" s="499"/>
      <c r="AP75" s="499"/>
      <c r="AQ75" s="499"/>
      <c r="AR75" s="499"/>
      <c r="AS75" s="499"/>
      <c r="AT75" s="499"/>
    </row>
    <row r="76" spans="1:46" x14ac:dyDescent="0.3">
      <c r="A76" s="11" t="s">
        <v>395</v>
      </c>
      <c r="B76" s="12" t="s">
        <v>894</v>
      </c>
      <c r="C76" s="11" t="s">
        <v>436</v>
      </c>
      <c r="D76" s="60">
        <v>1.2</v>
      </c>
      <c r="E76" s="11" t="s">
        <v>839</v>
      </c>
      <c r="F76" s="11" t="s">
        <v>840</v>
      </c>
      <c r="I7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wattlist_t12_5_ft_4_in_slimline_w__mag__ballast</v>
      </c>
      <c r="J76" s="11">
        <v>52</v>
      </c>
      <c r="K76" s="11"/>
      <c r="L76" s="11"/>
      <c r="M76" s="11"/>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row>
    <row r="77" spans="1:46" x14ac:dyDescent="0.3">
      <c r="A77" s="11" t="s">
        <v>395</v>
      </c>
      <c r="B77" s="12" t="s">
        <v>396</v>
      </c>
      <c r="C77" s="11" t="s">
        <v>403</v>
      </c>
      <c r="D77" s="60">
        <v>1.2</v>
      </c>
      <c r="E77" s="11" t="s">
        <v>839</v>
      </c>
      <c r="F77" s="11" t="s">
        <v>840</v>
      </c>
      <c r="I7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wattlist_t12_6_ft_ho_lamp_w__mag__ballast</v>
      </c>
      <c r="J77" s="11">
        <v>85</v>
      </c>
      <c r="K77" s="11"/>
      <c r="L77" s="11"/>
      <c r="M77" s="11"/>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row>
    <row r="78" spans="1:46" x14ac:dyDescent="0.3">
      <c r="A78" s="11" t="s">
        <v>395</v>
      </c>
      <c r="B78" s="12" t="s">
        <v>396</v>
      </c>
      <c r="C78" s="11" t="s">
        <v>436</v>
      </c>
      <c r="D78" s="60">
        <v>1.2</v>
      </c>
      <c r="E78" s="11" t="s">
        <v>839</v>
      </c>
      <c r="F78" s="11" t="s">
        <v>840</v>
      </c>
      <c r="I7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wattlist_t12_6_ft_slimline_w__mag__ballast</v>
      </c>
      <c r="J78" s="11">
        <v>55</v>
      </c>
      <c r="K78" s="11"/>
      <c r="L78" s="11"/>
      <c r="M78" s="11"/>
      <c r="N78" s="499"/>
      <c r="O78" s="499"/>
      <c r="P78" s="499"/>
      <c r="Q78" s="499"/>
      <c r="R78" s="499"/>
      <c r="S78" s="499"/>
      <c r="T78" s="499"/>
      <c r="U78" s="499"/>
      <c r="V78" s="499"/>
      <c r="W78" s="499"/>
      <c r="X78" s="49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row>
    <row r="79" spans="1:46" x14ac:dyDescent="0.3">
      <c r="A79" s="11" t="s">
        <v>395</v>
      </c>
      <c r="B79" s="12" t="s">
        <v>396</v>
      </c>
      <c r="C79" s="11" t="s">
        <v>397</v>
      </c>
      <c r="D79" s="60">
        <v>1.1000000000000001</v>
      </c>
      <c r="E79" s="11" t="s">
        <v>839</v>
      </c>
      <c r="F79" s="11" t="s">
        <v>840</v>
      </c>
      <c r="I7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wattlist_t12_6_ft_vho_lamp_w__mag__ballast</v>
      </c>
      <c r="J79" s="11">
        <v>160</v>
      </c>
      <c r="K79" s="11"/>
      <c r="L79" s="11"/>
      <c r="M79" s="11"/>
      <c r="N79" s="499"/>
      <c r="O79" s="499"/>
      <c r="P79" s="499"/>
      <c r="Q79" s="499"/>
      <c r="R79" s="499"/>
      <c r="S79" s="499"/>
      <c r="T79" s="499"/>
      <c r="U79" s="499"/>
      <c r="V79" s="499"/>
      <c r="W79" s="499"/>
      <c r="X79" s="499"/>
      <c r="Y79" s="499"/>
      <c r="Z79" s="499"/>
      <c r="AA79" s="499"/>
      <c r="AB79" s="499"/>
      <c r="AC79" s="499"/>
      <c r="AD79" s="499"/>
      <c r="AE79" s="499"/>
      <c r="AF79" s="499"/>
      <c r="AG79" s="499"/>
      <c r="AH79" s="499"/>
      <c r="AI79" s="499"/>
      <c r="AJ79" s="499"/>
      <c r="AK79" s="499"/>
      <c r="AL79" s="499"/>
      <c r="AM79" s="499"/>
      <c r="AN79" s="499"/>
      <c r="AO79" s="499"/>
      <c r="AP79" s="499"/>
      <c r="AQ79" s="499"/>
      <c r="AR79" s="499"/>
      <c r="AS79" s="499"/>
      <c r="AT79" s="499"/>
    </row>
    <row r="80" spans="1:46" x14ac:dyDescent="0.3">
      <c r="A80" s="11" t="s">
        <v>395</v>
      </c>
      <c r="B80" s="12" t="s">
        <v>895</v>
      </c>
      <c r="C80" s="11" t="s">
        <v>403</v>
      </c>
      <c r="D80" s="60">
        <v>1.2</v>
      </c>
      <c r="E80" s="11" t="s">
        <v>839</v>
      </c>
      <c r="F80" s="11" t="s">
        <v>840</v>
      </c>
      <c r="I8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wattlist_t12_7_ft_ho_lamp_w__mag__ballast</v>
      </c>
      <c r="J80" s="11">
        <v>100</v>
      </c>
      <c r="K80" s="11"/>
      <c r="L80" s="11"/>
      <c r="M80" s="11"/>
      <c r="N80" s="499"/>
      <c r="O80" s="499"/>
      <c r="P80" s="499"/>
      <c r="Q80" s="499"/>
      <c r="R80" s="499"/>
      <c r="S80" s="499"/>
      <c r="T80" s="499"/>
      <c r="U80" s="499"/>
      <c r="V80" s="499"/>
      <c r="W80" s="499"/>
      <c r="X80" s="499"/>
      <c r="Y80" s="499"/>
      <c r="Z80" s="499"/>
      <c r="AA80" s="499"/>
      <c r="AB80" s="499"/>
      <c r="AC80" s="499"/>
      <c r="AD80" s="499"/>
      <c r="AE80" s="499"/>
      <c r="AF80" s="499"/>
      <c r="AG80" s="499"/>
      <c r="AH80" s="499"/>
      <c r="AI80" s="499"/>
      <c r="AJ80" s="499"/>
      <c r="AK80" s="499"/>
      <c r="AL80" s="499"/>
      <c r="AM80" s="499"/>
      <c r="AN80" s="499"/>
      <c r="AO80" s="499"/>
      <c r="AP80" s="499"/>
      <c r="AQ80" s="499"/>
      <c r="AR80" s="499"/>
      <c r="AS80" s="499"/>
      <c r="AT80" s="499"/>
    </row>
    <row r="81" spans="1:46" x14ac:dyDescent="0.3">
      <c r="A81" s="11" t="s">
        <v>395</v>
      </c>
      <c r="B81" s="12" t="s">
        <v>895</v>
      </c>
      <c r="C81" s="11" t="s">
        <v>436</v>
      </c>
      <c r="D81" s="60">
        <v>1.1000000000000001</v>
      </c>
      <c r="E81" s="11" t="s">
        <v>839</v>
      </c>
      <c r="F81" s="11" t="s">
        <v>840</v>
      </c>
      <c r="I8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wattlist_t12_7_ft_slimline_w__mag__ballast</v>
      </c>
      <c r="J81" s="11">
        <v>70</v>
      </c>
      <c r="K81" s="11"/>
      <c r="L81" s="11"/>
      <c r="M81" s="11"/>
      <c r="N81" s="499"/>
      <c r="O81" s="499"/>
      <c r="P81" s="499"/>
      <c r="Q81" s="499"/>
      <c r="R81" s="499"/>
      <c r="S81" s="499"/>
      <c r="T81" s="499"/>
      <c r="U81" s="499"/>
      <c r="V81" s="499"/>
      <c r="W81" s="499"/>
      <c r="X81" s="499"/>
      <c r="Y81" s="499"/>
      <c r="Z81" s="499"/>
      <c r="AA81" s="499"/>
      <c r="AB81" s="499"/>
      <c r="AC81" s="499"/>
      <c r="AD81" s="499"/>
      <c r="AE81" s="499"/>
      <c r="AF81" s="499"/>
      <c r="AG81" s="499"/>
      <c r="AH81" s="499"/>
      <c r="AI81" s="499"/>
      <c r="AJ81" s="499"/>
      <c r="AK81" s="499"/>
      <c r="AL81" s="499"/>
      <c r="AM81" s="499"/>
      <c r="AN81" s="499"/>
      <c r="AO81" s="499"/>
      <c r="AP81" s="499"/>
      <c r="AQ81" s="499"/>
      <c r="AR81" s="499"/>
      <c r="AS81" s="499"/>
      <c r="AT81" s="499"/>
    </row>
    <row r="82" spans="1:46" x14ac:dyDescent="0.3">
      <c r="A82" s="11" t="s">
        <v>395</v>
      </c>
      <c r="B82" s="12" t="s">
        <v>896</v>
      </c>
      <c r="C82" s="11" t="s">
        <v>897</v>
      </c>
      <c r="D82" s="60">
        <v>1.1000000000000001</v>
      </c>
      <c r="E82" s="11" t="s">
        <v>839</v>
      </c>
      <c r="F82" s="11" t="s">
        <v>840</v>
      </c>
      <c r="I8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wattlist_t12_8_ft_ho_lamp_w__ee_ballast</v>
      </c>
      <c r="J82" s="11">
        <v>95</v>
      </c>
      <c r="K82" s="11">
        <v>110</v>
      </c>
      <c r="L82" s="11"/>
      <c r="M82" s="11"/>
      <c r="N82" s="499"/>
      <c r="O82" s="499"/>
      <c r="P82" s="499"/>
      <c r="Q82" s="499"/>
      <c r="R82" s="499"/>
      <c r="S82" s="499"/>
      <c r="T82" s="499"/>
      <c r="U82" s="499"/>
      <c r="V82" s="499"/>
      <c r="W82" s="499"/>
      <c r="X82" s="499"/>
      <c r="Y82" s="499"/>
      <c r="Z82" s="499"/>
      <c r="AA82" s="499"/>
      <c r="AB82" s="499"/>
      <c r="AC82" s="499"/>
      <c r="AD82" s="499"/>
      <c r="AE82" s="499"/>
      <c r="AF82" s="499"/>
      <c r="AG82" s="499"/>
      <c r="AH82" s="499"/>
      <c r="AI82" s="499"/>
      <c r="AJ82" s="499"/>
      <c r="AK82" s="499"/>
      <c r="AL82" s="499"/>
      <c r="AM82" s="499"/>
      <c r="AN82" s="499"/>
      <c r="AO82" s="499"/>
      <c r="AP82" s="499"/>
      <c r="AQ82" s="499"/>
      <c r="AR82" s="499"/>
      <c r="AS82" s="499"/>
      <c r="AT82" s="499"/>
    </row>
    <row r="83" spans="1:46" x14ac:dyDescent="0.3">
      <c r="A83" s="11" t="s">
        <v>395</v>
      </c>
      <c r="B83" s="12" t="s">
        <v>896</v>
      </c>
      <c r="C83" s="11" t="s">
        <v>403</v>
      </c>
      <c r="D83" s="60">
        <v>1.2</v>
      </c>
      <c r="E83" s="11" t="s">
        <v>839</v>
      </c>
      <c r="F83" s="11" t="s">
        <v>840</v>
      </c>
      <c r="I8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wattlist_t12_8_ft_ho_lamp_w__mag__ballast</v>
      </c>
      <c r="J83" s="11">
        <v>95</v>
      </c>
      <c r="K83" s="11">
        <v>110</v>
      </c>
      <c r="L83" s="11"/>
      <c r="M83" s="11"/>
      <c r="N83" s="499"/>
      <c r="O83" s="499"/>
      <c r="P83" s="499"/>
      <c r="Q83" s="499"/>
      <c r="R83" s="499"/>
      <c r="S83" s="499"/>
      <c r="T83" s="499"/>
      <c r="U83" s="499"/>
      <c r="V83" s="499"/>
      <c r="W83" s="499"/>
      <c r="X83" s="499"/>
      <c r="Y83" s="499"/>
      <c r="Z83" s="499"/>
      <c r="AA83" s="499"/>
      <c r="AB83" s="499"/>
      <c r="AC83" s="499"/>
      <c r="AD83" s="499"/>
      <c r="AE83" s="499"/>
      <c r="AF83" s="499"/>
      <c r="AG83" s="499"/>
      <c r="AH83" s="499"/>
      <c r="AI83" s="499"/>
      <c r="AJ83" s="499"/>
      <c r="AK83" s="499"/>
      <c r="AL83" s="499"/>
      <c r="AM83" s="499"/>
      <c r="AN83" s="499"/>
      <c r="AO83" s="499"/>
      <c r="AP83" s="499"/>
      <c r="AQ83" s="499"/>
      <c r="AR83" s="499"/>
      <c r="AS83" s="499"/>
      <c r="AT83" s="499"/>
    </row>
    <row r="84" spans="1:46" x14ac:dyDescent="0.3">
      <c r="A84" s="11" t="s">
        <v>395</v>
      </c>
      <c r="B84" s="12" t="s">
        <v>896</v>
      </c>
      <c r="C84" s="11" t="s">
        <v>436</v>
      </c>
      <c r="D84" s="60">
        <v>1.1499999999999999</v>
      </c>
      <c r="E84" s="11" t="s">
        <v>839</v>
      </c>
      <c r="F84" s="11" t="s">
        <v>840</v>
      </c>
      <c r="I8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wattlist_t12_8_ft_slimline_w__mag__ballast</v>
      </c>
      <c r="J84" s="11">
        <v>60</v>
      </c>
      <c r="K84" s="11">
        <v>75</v>
      </c>
      <c r="L84" s="11"/>
      <c r="M84" s="11"/>
      <c r="N84" s="499"/>
      <c r="O84" s="499"/>
      <c r="P84" s="499"/>
      <c r="Q84" s="499"/>
      <c r="R84" s="499"/>
      <c r="S84" s="499"/>
      <c r="T84" s="499"/>
      <c r="U84" s="499"/>
      <c r="V84" s="499"/>
      <c r="W84" s="499"/>
      <c r="X84" s="499"/>
      <c r="Y84" s="499"/>
      <c r="Z84" s="499"/>
      <c r="AA84" s="499"/>
      <c r="AB84" s="499"/>
      <c r="AC84" s="499"/>
      <c r="AD84" s="499"/>
      <c r="AE84" s="499"/>
      <c r="AF84" s="499"/>
      <c r="AG84" s="499"/>
      <c r="AH84" s="499"/>
      <c r="AI84" s="499"/>
      <c r="AJ84" s="499"/>
      <c r="AK84" s="499"/>
      <c r="AL84" s="499"/>
      <c r="AM84" s="499"/>
      <c r="AN84" s="499"/>
      <c r="AO84" s="499"/>
      <c r="AP84" s="499"/>
      <c r="AQ84" s="499"/>
      <c r="AR84" s="499"/>
      <c r="AS84" s="499"/>
      <c r="AT84" s="499"/>
    </row>
    <row r="85" spans="1:46" x14ac:dyDescent="0.3">
      <c r="A85" s="11" t="s">
        <v>395</v>
      </c>
      <c r="B85" s="12" t="s">
        <v>896</v>
      </c>
      <c r="C85" s="11" t="s">
        <v>397</v>
      </c>
      <c r="D85" s="60">
        <v>1.02</v>
      </c>
      <c r="E85" s="11" t="s">
        <v>839</v>
      </c>
      <c r="F85" s="11" t="s">
        <v>840</v>
      </c>
      <c r="I8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wattlist_t12_8_ft_vho_lamp_w__mag__ballast</v>
      </c>
      <c r="J85" s="11">
        <v>185</v>
      </c>
      <c r="K85" s="11">
        <v>215</v>
      </c>
      <c r="L85" s="11"/>
      <c r="M85" s="11"/>
      <c r="N85" s="499"/>
      <c r="O85" s="499"/>
      <c r="P85" s="499"/>
      <c r="Q85" s="499"/>
      <c r="R85" s="499"/>
      <c r="S85" s="499"/>
      <c r="T85" s="499"/>
      <c r="U85" s="499"/>
      <c r="V85" s="499"/>
      <c r="W85" s="499"/>
      <c r="X85" s="499"/>
      <c r="Y85" s="499"/>
      <c r="Z85" s="499"/>
      <c r="AA85" s="499"/>
      <c r="AB85" s="499"/>
      <c r="AC85" s="499"/>
      <c r="AD85" s="499"/>
      <c r="AE85" s="499"/>
      <c r="AF85" s="499"/>
      <c r="AG85" s="499"/>
      <c r="AH85" s="499"/>
      <c r="AI85" s="499"/>
      <c r="AJ85" s="499"/>
      <c r="AK85" s="499"/>
      <c r="AL85" s="499"/>
      <c r="AM85" s="499"/>
      <c r="AN85" s="499"/>
      <c r="AO85" s="499"/>
      <c r="AP85" s="499"/>
      <c r="AQ85" s="499"/>
      <c r="AR85" s="499"/>
      <c r="AS85" s="499"/>
      <c r="AT85" s="499"/>
    </row>
    <row r="86" spans="1:46" x14ac:dyDescent="0.3">
      <c r="A86" s="11" t="s">
        <v>395</v>
      </c>
      <c r="B86" s="12" t="s">
        <v>426</v>
      </c>
      <c r="C86" s="12" t="s">
        <v>397</v>
      </c>
      <c r="D86" s="303">
        <v>1.02</v>
      </c>
      <c r="E86" s="11" t="s">
        <v>839</v>
      </c>
      <c r="F86" s="11" t="s">
        <v>840</v>
      </c>
      <c r="I8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wattlist_t12_9_ft_vho_lamp_w__mag__ballast</v>
      </c>
      <c r="J86" s="11">
        <v>124</v>
      </c>
      <c r="K86" s="11"/>
      <c r="L86" s="11"/>
      <c r="M86" s="11"/>
      <c r="N86" s="499"/>
      <c r="O86" s="499"/>
      <c r="P86" s="499"/>
      <c r="Q86" s="499"/>
      <c r="R86" s="499"/>
      <c r="S86" s="499"/>
      <c r="T86" s="499"/>
      <c r="U86" s="499"/>
      <c r="V86" s="499"/>
      <c r="W86" s="499"/>
      <c r="X86" s="499"/>
      <c r="Y86" s="499"/>
      <c r="Z86" s="499"/>
      <c r="AA86" s="499"/>
      <c r="AB86" s="499"/>
      <c r="AC86" s="499"/>
      <c r="AD86" s="499"/>
      <c r="AE86" s="499"/>
      <c r="AF86" s="499"/>
      <c r="AG86" s="499"/>
      <c r="AH86" s="499"/>
      <c r="AI86" s="499"/>
      <c r="AJ86" s="499"/>
      <c r="AK86" s="499"/>
      <c r="AL86" s="499"/>
      <c r="AM86" s="499"/>
      <c r="AN86" s="499"/>
      <c r="AO86" s="499"/>
      <c r="AP86" s="499"/>
      <c r="AQ86" s="499"/>
      <c r="AR86" s="499"/>
      <c r="AS86" s="499"/>
      <c r="AT86" s="499"/>
    </row>
    <row r="87" spans="1:46" x14ac:dyDescent="0.3">
      <c r="A87" s="11" t="s">
        <v>395</v>
      </c>
      <c r="B87" s="12" t="s">
        <v>429</v>
      </c>
      <c r="C87" s="12" t="s">
        <v>397</v>
      </c>
      <c r="D87" s="303">
        <v>1.02</v>
      </c>
      <c r="E87" s="11" t="s">
        <v>839</v>
      </c>
      <c r="F87" s="11" t="s">
        <v>840</v>
      </c>
      <c r="I8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wattlist_t12_ft_10_vho_lamp_w__mag__ballast</v>
      </c>
      <c r="J87" s="11">
        <v>135</v>
      </c>
      <c r="K87" s="11"/>
      <c r="L87" s="11"/>
      <c r="M87" s="11"/>
      <c r="N87" s="499"/>
      <c r="O87" s="499"/>
      <c r="P87" s="499"/>
      <c r="Q87" s="499"/>
      <c r="R87" s="499"/>
      <c r="S87" s="499"/>
      <c r="T87" s="499"/>
      <c r="U87" s="499"/>
      <c r="V87" s="499"/>
      <c r="W87" s="499"/>
      <c r="X87" s="499"/>
      <c r="Y87" s="499"/>
      <c r="Z87" s="499"/>
      <c r="AA87" s="499"/>
      <c r="AB87" s="499"/>
      <c r="AC87" s="499"/>
      <c r="AD87" s="499"/>
      <c r="AE87" s="499"/>
      <c r="AF87" s="499"/>
      <c r="AG87" s="499"/>
      <c r="AH87" s="499"/>
      <c r="AI87" s="499"/>
      <c r="AJ87" s="499"/>
      <c r="AK87" s="499"/>
      <c r="AL87" s="499"/>
      <c r="AM87" s="499"/>
      <c r="AN87" s="499"/>
      <c r="AO87" s="499"/>
      <c r="AP87" s="499"/>
      <c r="AQ87" s="499"/>
      <c r="AR87" s="499"/>
      <c r="AS87" s="499"/>
      <c r="AT87" s="499"/>
    </row>
    <row r="88" spans="1:46" x14ac:dyDescent="0.3">
      <c r="A88" s="11" t="s">
        <v>395</v>
      </c>
      <c r="B88" s="12" t="s">
        <v>898</v>
      </c>
      <c r="C88" s="11" t="s">
        <v>850</v>
      </c>
      <c r="D88" s="60">
        <v>1.1000000000000001</v>
      </c>
      <c r="E88" s="11" t="s">
        <v>839</v>
      </c>
      <c r="F88" s="11" t="s">
        <v>840</v>
      </c>
      <c r="I8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wattlist_t12_u_lamp_ee_ballast</v>
      </c>
      <c r="J88" s="11">
        <v>35</v>
      </c>
      <c r="K88" s="11">
        <v>40</v>
      </c>
      <c r="L88" s="11"/>
      <c r="M88" s="11"/>
      <c r="N88" s="499"/>
      <c r="O88" s="499"/>
      <c r="P88" s="499"/>
      <c r="Q88" s="499"/>
      <c r="R88" s="499"/>
      <c r="S88" s="499"/>
      <c r="T88" s="499"/>
      <c r="U88" s="499"/>
      <c r="V88" s="499"/>
      <c r="W88" s="499"/>
      <c r="X88" s="499"/>
      <c r="Y88" s="499"/>
      <c r="Z88" s="499"/>
      <c r="AA88" s="499"/>
      <c r="AB88" s="499"/>
      <c r="AC88" s="499"/>
      <c r="AD88" s="499"/>
      <c r="AE88" s="499"/>
      <c r="AF88" s="499"/>
      <c r="AG88" s="499"/>
      <c r="AH88" s="499"/>
      <c r="AI88" s="499"/>
      <c r="AJ88" s="499"/>
      <c r="AK88" s="499"/>
      <c r="AL88" s="499"/>
      <c r="AM88" s="499"/>
      <c r="AN88" s="499"/>
      <c r="AO88" s="499"/>
      <c r="AP88" s="499"/>
      <c r="AQ88" s="499"/>
      <c r="AR88" s="499"/>
      <c r="AS88" s="499"/>
      <c r="AT88" s="499"/>
    </row>
    <row r="89" spans="1:46" x14ac:dyDescent="0.3">
      <c r="A89" s="11" t="s">
        <v>395</v>
      </c>
      <c r="B89" s="12" t="s">
        <v>898</v>
      </c>
      <c r="C89" s="11" t="s">
        <v>420</v>
      </c>
      <c r="D89" s="60">
        <v>1.2</v>
      </c>
      <c r="E89" s="11" t="s">
        <v>839</v>
      </c>
      <c r="F89" s="11" t="s">
        <v>840</v>
      </c>
      <c r="I8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wattlist_t12_u_lamp_mag__ballast</v>
      </c>
      <c r="J89" s="11">
        <v>35</v>
      </c>
      <c r="K89" s="11">
        <v>40</v>
      </c>
      <c r="L89" s="11"/>
      <c r="M89" s="11"/>
      <c r="N89" s="499"/>
      <c r="O89" s="499"/>
      <c r="P89" s="499"/>
      <c r="Q89" s="499"/>
      <c r="R89" s="499"/>
      <c r="S89" s="499"/>
      <c r="T89" s="499"/>
      <c r="U89" s="499"/>
      <c r="V89" s="499"/>
      <c r="W89" s="499"/>
      <c r="X89" s="499"/>
      <c r="Y89" s="499"/>
      <c r="Z89" s="499"/>
      <c r="AA89" s="499"/>
      <c r="AB89" s="499"/>
      <c r="AC89" s="499"/>
      <c r="AD89" s="499"/>
      <c r="AE89" s="499"/>
      <c r="AF89" s="499"/>
      <c r="AG89" s="499"/>
      <c r="AH89" s="499"/>
      <c r="AI89" s="499"/>
      <c r="AJ89" s="499"/>
      <c r="AK89" s="499"/>
      <c r="AL89" s="499"/>
      <c r="AM89" s="499"/>
      <c r="AN89" s="499"/>
      <c r="AO89" s="499"/>
      <c r="AP89" s="499"/>
      <c r="AQ89" s="499"/>
      <c r="AR89" s="499"/>
      <c r="AS89" s="499"/>
      <c r="AT89" s="499"/>
    </row>
    <row r="90" spans="1:46" x14ac:dyDescent="0.3">
      <c r="A90" s="11" t="s">
        <v>899</v>
      </c>
      <c r="B90" s="12" t="s">
        <v>891</v>
      </c>
      <c r="C90" s="11" t="s">
        <v>900</v>
      </c>
      <c r="D90" s="60">
        <v>1.02</v>
      </c>
      <c r="E90" s="11" t="s">
        <v>839</v>
      </c>
      <c r="F90" s="11" t="s">
        <v>840</v>
      </c>
      <c r="I9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wattlist_t5_2_ft_ho_lamp_w__prog__start_ballast</v>
      </c>
      <c r="J90" s="11">
        <v>21</v>
      </c>
      <c r="K90" s="11">
        <v>22</v>
      </c>
      <c r="L90" s="11">
        <v>24</v>
      </c>
      <c r="M90" s="11">
        <v>26</v>
      </c>
      <c r="N90" s="499">
        <v>28</v>
      </c>
      <c r="O90" s="499">
        <v>35</v>
      </c>
      <c r="P90" s="499">
        <v>39</v>
      </c>
      <c r="Q90" s="499">
        <v>40</v>
      </c>
      <c r="R90" s="499">
        <v>50</v>
      </c>
      <c r="S90" s="499">
        <v>55</v>
      </c>
      <c r="T90" s="499"/>
      <c r="U90" s="499"/>
      <c r="V90" s="499"/>
      <c r="W90" s="499"/>
      <c r="X90" s="499"/>
      <c r="Y90" s="499"/>
      <c r="Z90" s="499"/>
      <c r="AA90" s="499"/>
      <c r="AB90" s="499"/>
      <c r="AC90" s="499"/>
      <c r="AD90" s="499"/>
      <c r="AE90" s="499"/>
      <c r="AF90" s="499"/>
      <c r="AG90" s="499"/>
      <c r="AH90" s="499"/>
      <c r="AI90" s="499"/>
      <c r="AJ90" s="499"/>
      <c r="AK90" s="499"/>
      <c r="AL90" s="499"/>
      <c r="AM90" s="499"/>
      <c r="AN90" s="499"/>
      <c r="AO90" s="499"/>
      <c r="AP90" s="499"/>
      <c r="AQ90" s="499"/>
      <c r="AR90" s="499"/>
      <c r="AS90" s="499"/>
      <c r="AT90" s="499"/>
    </row>
    <row r="91" spans="1:46" x14ac:dyDescent="0.3">
      <c r="A91" s="11" t="s">
        <v>899</v>
      </c>
      <c r="B91" s="12" t="s">
        <v>901</v>
      </c>
      <c r="C91" s="11" t="s">
        <v>409</v>
      </c>
      <c r="D91" s="60">
        <v>1</v>
      </c>
      <c r="E91" s="11" t="s">
        <v>839</v>
      </c>
      <c r="F91" s="11" t="s">
        <v>840</v>
      </c>
      <c r="I9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wattlist_t5_4_ft__nlo_ballast</v>
      </c>
      <c r="J91" s="11">
        <v>28</v>
      </c>
      <c r="K91" s="11"/>
      <c r="L91" s="11"/>
      <c r="M91" s="11"/>
      <c r="N91" s="499"/>
      <c r="O91" s="499"/>
      <c r="P91" s="499"/>
      <c r="Q91" s="499"/>
      <c r="R91" s="499"/>
      <c r="S91" s="499"/>
      <c r="T91" s="499"/>
      <c r="U91" s="499"/>
      <c r="V91" s="499"/>
      <c r="W91" s="499"/>
      <c r="X91" s="499"/>
      <c r="Y91" s="499"/>
      <c r="Z91" s="499"/>
      <c r="AA91" s="499"/>
      <c r="AB91" s="499"/>
      <c r="AC91" s="499"/>
      <c r="AD91" s="499"/>
      <c r="AE91" s="499"/>
      <c r="AF91" s="499"/>
      <c r="AG91" s="499"/>
      <c r="AH91" s="499"/>
      <c r="AI91" s="499"/>
      <c r="AJ91" s="499"/>
      <c r="AK91" s="499"/>
      <c r="AL91" s="499"/>
      <c r="AM91" s="499"/>
      <c r="AN91" s="499"/>
      <c r="AO91" s="499"/>
      <c r="AP91" s="499"/>
      <c r="AQ91" s="499"/>
      <c r="AR91" s="499"/>
      <c r="AS91" s="499"/>
      <c r="AT91" s="499"/>
    </row>
    <row r="92" spans="1:46" x14ac:dyDescent="0.3">
      <c r="A92" s="11" t="s">
        <v>899</v>
      </c>
      <c r="B92" s="12" t="s">
        <v>902</v>
      </c>
      <c r="C92" s="11" t="s">
        <v>900</v>
      </c>
      <c r="D92" s="60">
        <v>1.02</v>
      </c>
      <c r="E92" s="11" t="s">
        <v>839</v>
      </c>
      <c r="F92" s="11" t="s">
        <v>840</v>
      </c>
      <c r="I9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wattlist_t5_4_ft_high_bay_ho_lamp_w__prog__start_ballast</v>
      </c>
      <c r="J92" s="11">
        <v>44</v>
      </c>
      <c r="K92" s="11">
        <v>47</v>
      </c>
      <c r="L92" s="11">
        <v>49</v>
      </c>
      <c r="M92" s="11">
        <v>50</v>
      </c>
      <c r="N92" s="499">
        <v>51</v>
      </c>
      <c r="O92" s="499">
        <v>54</v>
      </c>
      <c r="P92" s="499"/>
      <c r="Q92" s="499"/>
      <c r="R92" s="499"/>
      <c r="S92" s="499"/>
      <c r="T92" s="499"/>
      <c r="U92" s="499"/>
      <c r="V92" s="499"/>
      <c r="W92" s="499"/>
      <c r="X92" s="499"/>
      <c r="Y92" s="499"/>
      <c r="Z92" s="499"/>
      <c r="AA92" s="499"/>
      <c r="AB92" s="499"/>
      <c r="AC92" s="499"/>
      <c r="AD92" s="499"/>
      <c r="AE92" s="499"/>
      <c r="AF92" s="499"/>
      <c r="AG92" s="499"/>
      <c r="AH92" s="499"/>
      <c r="AI92" s="499"/>
      <c r="AJ92" s="499"/>
      <c r="AK92" s="499"/>
      <c r="AL92" s="499"/>
      <c r="AM92" s="499"/>
      <c r="AN92" s="499"/>
      <c r="AO92" s="499"/>
      <c r="AP92" s="499"/>
      <c r="AQ92" s="499"/>
      <c r="AR92" s="499"/>
      <c r="AS92" s="499"/>
      <c r="AT92" s="499"/>
    </row>
    <row r="93" spans="1:46" x14ac:dyDescent="0.3">
      <c r="A93" s="11" t="s">
        <v>404</v>
      </c>
      <c r="B93" s="12" t="s">
        <v>408</v>
      </c>
      <c r="C93" s="11" t="s">
        <v>409</v>
      </c>
      <c r="D93" s="60">
        <v>0.92</v>
      </c>
      <c r="E93" s="11" t="s">
        <v>839</v>
      </c>
      <c r="F93" s="11" t="s">
        <v>840</v>
      </c>
      <c r="I9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wattlist_t8_4_ft_nlo_ballast</v>
      </c>
      <c r="J93" s="11">
        <v>25</v>
      </c>
      <c r="K93" s="11">
        <v>28</v>
      </c>
      <c r="L93" s="11">
        <v>32</v>
      </c>
      <c r="M93" s="11"/>
      <c r="N93" s="499"/>
      <c r="O93" s="499"/>
      <c r="P93" s="499"/>
      <c r="Q93" s="499"/>
      <c r="R93" s="499"/>
      <c r="S93" s="499"/>
      <c r="T93" s="499"/>
      <c r="U93" s="499"/>
      <c r="V93" s="499"/>
      <c r="W93" s="499"/>
      <c r="X93" s="499"/>
      <c r="Y93" s="499"/>
      <c r="Z93" s="499"/>
      <c r="AA93" s="499"/>
      <c r="AB93" s="499"/>
      <c r="AC93" s="499"/>
      <c r="AD93" s="499"/>
      <c r="AE93" s="499"/>
      <c r="AF93" s="499"/>
      <c r="AG93" s="499"/>
      <c r="AH93" s="499"/>
      <c r="AI93" s="499"/>
      <c r="AJ93" s="499"/>
      <c r="AK93" s="499"/>
      <c r="AL93" s="499"/>
      <c r="AM93" s="499"/>
      <c r="AN93" s="499"/>
      <c r="AO93" s="499"/>
      <c r="AP93" s="499"/>
      <c r="AQ93" s="499"/>
      <c r="AR93" s="499"/>
      <c r="AS93" s="499"/>
      <c r="AT93" s="499"/>
    </row>
    <row r="94" spans="1:46" x14ac:dyDescent="0.3">
      <c r="A94" s="11" t="s">
        <v>404</v>
      </c>
      <c r="B94" s="12" t="s">
        <v>408</v>
      </c>
      <c r="C94" s="11" t="s">
        <v>903</v>
      </c>
      <c r="D94" s="60">
        <v>0.84</v>
      </c>
      <c r="E94" s="11" t="s">
        <v>839</v>
      </c>
      <c r="F94" s="11" t="s">
        <v>840</v>
      </c>
      <c r="I9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wattlist_t8_4_ft_llo_ballast</v>
      </c>
      <c r="J94" s="11">
        <v>25</v>
      </c>
      <c r="K94" s="11">
        <v>28</v>
      </c>
      <c r="L94" s="11">
        <v>32</v>
      </c>
      <c r="M94" s="11"/>
      <c r="N94" s="499"/>
      <c r="O94" s="499"/>
      <c r="P94" s="499"/>
      <c r="Q94" s="499"/>
      <c r="R94" s="499"/>
      <c r="S94" s="499"/>
      <c r="T94" s="499"/>
      <c r="U94" s="499"/>
      <c r="V94" s="499"/>
      <c r="W94" s="499"/>
      <c r="X94" s="499"/>
      <c r="Y94" s="499"/>
      <c r="Z94" s="499"/>
      <c r="AA94" s="499"/>
      <c r="AB94" s="499"/>
      <c r="AC94" s="499"/>
      <c r="AD94" s="499"/>
      <c r="AE94" s="499"/>
      <c r="AF94" s="499"/>
      <c r="AG94" s="499"/>
      <c r="AH94" s="499"/>
      <c r="AI94" s="499"/>
      <c r="AJ94" s="499"/>
      <c r="AK94" s="499"/>
      <c r="AL94" s="499"/>
      <c r="AM94" s="499"/>
      <c r="AN94" s="499"/>
      <c r="AO94" s="499"/>
      <c r="AP94" s="499"/>
      <c r="AQ94" s="499"/>
      <c r="AR94" s="499"/>
      <c r="AS94" s="499"/>
      <c r="AT94" s="499"/>
    </row>
    <row r="95" spans="1:46" x14ac:dyDescent="0.3">
      <c r="A95" s="11" t="s">
        <v>404</v>
      </c>
      <c r="B95" s="12" t="s">
        <v>896</v>
      </c>
      <c r="C95" s="11" t="s">
        <v>904</v>
      </c>
      <c r="D95" s="60">
        <v>1</v>
      </c>
      <c r="E95" s="11" t="s">
        <v>839</v>
      </c>
      <c r="F95" s="11" t="s">
        <v>840</v>
      </c>
      <c r="I9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wattlist_t8_8_ft_ho_ballast</v>
      </c>
      <c r="J95" s="11">
        <v>86</v>
      </c>
      <c r="K95" s="11"/>
      <c r="L95" s="11"/>
      <c r="M95" s="11"/>
      <c r="N95" s="499"/>
      <c r="O95" s="499"/>
      <c r="P95" s="499"/>
      <c r="Q95" s="499"/>
      <c r="R95" s="499"/>
      <c r="S95" s="499"/>
      <c r="T95" s="499"/>
      <c r="U95" s="499"/>
      <c r="V95" s="499"/>
      <c r="W95" s="499"/>
      <c r="X95" s="499"/>
      <c r="Y95" s="499"/>
      <c r="Z95" s="499"/>
      <c r="AA95" s="499"/>
      <c r="AB95" s="499"/>
      <c r="AC95" s="499"/>
      <c r="AD95" s="499"/>
      <c r="AE95" s="499"/>
      <c r="AF95" s="499"/>
      <c r="AG95" s="499"/>
      <c r="AH95" s="499"/>
      <c r="AI95" s="499"/>
      <c r="AJ95" s="499"/>
      <c r="AK95" s="499"/>
      <c r="AL95" s="499"/>
      <c r="AM95" s="499"/>
      <c r="AN95" s="499"/>
      <c r="AO95" s="499"/>
      <c r="AP95" s="499"/>
      <c r="AQ95" s="499"/>
      <c r="AR95" s="499"/>
      <c r="AS95" s="499"/>
      <c r="AT95" s="499"/>
    </row>
    <row r="96" spans="1:46" x14ac:dyDescent="0.3">
      <c r="A96" s="11" t="s">
        <v>404</v>
      </c>
      <c r="B96" s="12" t="s">
        <v>896</v>
      </c>
      <c r="C96" s="11" t="s">
        <v>409</v>
      </c>
      <c r="D96" s="60">
        <v>0.92</v>
      </c>
      <c r="E96" s="11" t="s">
        <v>839</v>
      </c>
      <c r="F96" s="11" t="s">
        <v>840</v>
      </c>
      <c r="I9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wattlist_t8_8_ft_nlo_ballast</v>
      </c>
      <c r="J96" s="11">
        <v>54</v>
      </c>
      <c r="K96" s="11">
        <v>59</v>
      </c>
      <c r="L96" s="11"/>
      <c r="M96" s="11"/>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row>
    <row r="97" spans="1:46" x14ac:dyDescent="0.3">
      <c r="A97" s="11" t="s">
        <v>404</v>
      </c>
      <c r="B97" s="12" t="s">
        <v>405</v>
      </c>
      <c r="C97" s="11" t="s">
        <v>891</v>
      </c>
      <c r="D97" s="60">
        <v>0.88</v>
      </c>
      <c r="E97" s="11" t="s">
        <v>839</v>
      </c>
      <c r="F97" s="11" t="s">
        <v>840</v>
      </c>
      <c r="I9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wattlist_t8_irregular_size_2_ft</v>
      </c>
      <c r="J97" s="11">
        <v>15</v>
      </c>
      <c r="K97" s="11">
        <v>17</v>
      </c>
      <c r="L97" s="11"/>
      <c r="M97" s="11"/>
      <c r="N97" s="499"/>
      <c r="O97" s="499"/>
      <c r="P97" s="499"/>
      <c r="Q97" s="499"/>
      <c r="R97" s="499"/>
      <c r="S97" s="499"/>
      <c r="T97" s="499"/>
      <c r="U97" s="499"/>
      <c r="V97" s="499"/>
      <c r="W97" s="499"/>
      <c r="X97" s="499"/>
      <c r="Y97" s="499"/>
      <c r="Z97" s="499"/>
      <c r="AA97" s="499"/>
      <c r="AB97" s="499"/>
      <c r="AC97" s="499"/>
      <c r="AD97" s="499"/>
      <c r="AE97" s="499"/>
      <c r="AF97" s="499"/>
      <c r="AG97" s="499"/>
      <c r="AH97" s="499"/>
      <c r="AI97" s="499"/>
      <c r="AJ97" s="499"/>
      <c r="AK97" s="499"/>
      <c r="AL97" s="499"/>
      <c r="AM97" s="499"/>
      <c r="AN97" s="499"/>
      <c r="AO97" s="499"/>
      <c r="AP97" s="499"/>
      <c r="AQ97" s="499"/>
      <c r="AR97" s="499"/>
      <c r="AS97" s="499"/>
      <c r="AT97" s="499"/>
    </row>
    <row r="98" spans="1:46" x14ac:dyDescent="0.3">
      <c r="A98" s="11" t="s">
        <v>404</v>
      </c>
      <c r="B98" s="12" t="s">
        <v>405</v>
      </c>
      <c r="C98" s="11" t="s">
        <v>406</v>
      </c>
      <c r="D98" s="60">
        <v>0.96</v>
      </c>
      <c r="E98" s="11" t="s">
        <v>839</v>
      </c>
      <c r="F98" s="11" t="s">
        <v>840</v>
      </c>
      <c r="I9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wattlist_t8_irregular_size_3_ft</v>
      </c>
      <c r="J98" s="11">
        <v>25</v>
      </c>
      <c r="K98" s="11"/>
      <c r="L98" s="11"/>
      <c r="M98" s="11"/>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row>
    <row r="99" spans="1:46" x14ac:dyDescent="0.3">
      <c r="A99" s="11" t="s">
        <v>404</v>
      </c>
      <c r="B99" s="12" t="s">
        <v>405</v>
      </c>
      <c r="C99" s="11" t="s">
        <v>402</v>
      </c>
      <c r="D99" s="60">
        <v>0.85</v>
      </c>
      <c r="E99" s="11" t="s">
        <v>839</v>
      </c>
      <c r="F99" s="11" t="s">
        <v>840</v>
      </c>
      <c r="I99"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wattlist_t8_irregular_size_5_ft</v>
      </c>
      <c r="J99" s="11">
        <v>40</v>
      </c>
      <c r="K99" s="11">
        <v>55</v>
      </c>
      <c r="L99" s="11">
        <v>58</v>
      </c>
      <c r="M99" s="11"/>
      <c r="N99" s="499"/>
      <c r="O99" s="499"/>
      <c r="P99" s="499"/>
      <c r="Q99" s="499"/>
      <c r="R99" s="499"/>
      <c r="S99" s="499"/>
      <c r="T99" s="499"/>
      <c r="U99" s="499"/>
      <c r="V99" s="499"/>
      <c r="W99" s="499"/>
      <c r="X99" s="499"/>
      <c r="Y99" s="499"/>
      <c r="Z99" s="499"/>
      <c r="AA99" s="499"/>
      <c r="AB99" s="499"/>
      <c r="AC99" s="499"/>
      <c r="AD99" s="499"/>
      <c r="AE99" s="499"/>
      <c r="AF99" s="499"/>
      <c r="AG99" s="499"/>
      <c r="AH99" s="499"/>
      <c r="AI99" s="499"/>
      <c r="AJ99" s="499"/>
      <c r="AK99" s="499"/>
      <c r="AL99" s="499"/>
      <c r="AM99" s="499"/>
      <c r="AN99" s="499"/>
      <c r="AO99" s="499"/>
      <c r="AP99" s="499"/>
      <c r="AQ99" s="499"/>
      <c r="AR99" s="499"/>
      <c r="AS99" s="499"/>
      <c r="AT99" s="499"/>
    </row>
    <row r="100" spans="1:46" x14ac:dyDescent="0.3">
      <c r="A100" s="11" t="s">
        <v>404</v>
      </c>
      <c r="B100" s="12" t="s">
        <v>405</v>
      </c>
      <c r="C100" s="11" t="s">
        <v>396</v>
      </c>
      <c r="D100" s="60">
        <v>0.85</v>
      </c>
      <c r="E100" s="11" t="s">
        <v>839</v>
      </c>
      <c r="F100" s="11" t="s">
        <v>840</v>
      </c>
      <c r="I100"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wattlist_t8_irregular_size_6_ft</v>
      </c>
      <c r="J100" s="11">
        <v>58</v>
      </c>
      <c r="K100" s="11">
        <v>65</v>
      </c>
      <c r="L100" s="11">
        <v>70</v>
      </c>
      <c r="M100" s="11"/>
      <c r="N100" s="499"/>
      <c r="O100" s="499"/>
      <c r="P100" s="499"/>
      <c r="Q100" s="499"/>
      <c r="R100" s="499"/>
      <c r="S100" s="499"/>
      <c r="T100" s="499"/>
      <c r="U100" s="499"/>
      <c r="V100" s="499"/>
      <c r="W100" s="499"/>
      <c r="X100" s="499"/>
      <c r="Y100" s="499"/>
      <c r="Z100" s="499"/>
      <c r="AA100" s="499"/>
      <c r="AB100" s="499"/>
      <c r="AC100" s="499"/>
      <c r="AD100" s="499"/>
      <c r="AE100" s="499"/>
      <c r="AF100" s="499"/>
      <c r="AG100" s="499"/>
      <c r="AH100" s="499"/>
      <c r="AI100" s="499"/>
      <c r="AJ100" s="499"/>
      <c r="AK100" s="499"/>
      <c r="AL100" s="499"/>
      <c r="AM100" s="499"/>
      <c r="AN100" s="499"/>
      <c r="AO100" s="499"/>
      <c r="AP100" s="499"/>
      <c r="AQ100" s="499"/>
      <c r="AR100" s="499"/>
      <c r="AS100" s="499"/>
      <c r="AT100" s="499"/>
    </row>
    <row r="101" spans="1:46" x14ac:dyDescent="0.3">
      <c r="A101" s="11" t="s">
        <v>404</v>
      </c>
      <c r="B101" s="12" t="s">
        <v>405</v>
      </c>
      <c r="C101" s="11" t="s">
        <v>895</v>
      </c>
      <c r="D101" s="60">
        <v>0.85</v>
      </c>
      <c r="E101" s="11" t="s">
        <v>839</v>
      </c>
      <c r="F101" s="11" t="s">
        <v>840</v>
      </c>
      <c r="I101"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wattlist_t8_irregular_size_7_ft</v>
      </c>
      <c r="J101" s="11">
        <v>70</v>
      </c>
      <c r="K101" s="11"/>
      <c r="L101" s="11"/>
      <c r="M101" s="11"/>
      <c r="N101" s="499"/>
      <c r="O101" s="499"/>
      <c r="P101" s="499"/>
      <c r="Q101" s="499"/>
      <c r="R101" s="499"/>
      <c r="S101" s="499"/>
      <c r="T101" s="499"/>
      <c r="U101" s="499"/>
      <c r="V101" s="499"/>
      <c r="W101" s="499"/>
      <c r="X101" s="499"/>
      <c r="Y101" s="499"/>
      <c r="Z101" s="499"/>
      <c r="AA101" s="499"/>
      <c r="AB101" s="499"/>
      <c r="AC101" s="499"/>
      <c r="AD101" s="499"/>
      <c r="AE101" s="499"/>
      <c r="AF101" s="499"/>
      <c r="AG101" s="499"/>
      <c r="AH101" s="499"/>
      <c r="AI101" s="499"/>
      <c r="AJ101" s="499"/>
      <c r="AK101" s="499"/>
      <c r="AL101" s="499"/>
      <c r="AM101" s="499"/>
      <c r="AN101" s="499"/>
      <c r="AO101" s="499"/>
      <c r="AP101" s="499"/>
      <c r="AQ101" s="499"/>
      <c r="AR101" s="499"/>
      <c r="AS101" s="499"/>
      <c r="AT101" s="499"/>
    </row>
    <row r="102" spans="1:46" x14ac:dyDescent="0.3">
      <c r="A102" s="11" t="s">
        <v>404</v>
      </c>
      <c r="B102" s="12" t="s">
        <v>898</v>
      </c>
      <c r="C102" s="11" t="s">
        <v>903</v>
      </c>
      <c r="D102" s="60">
        <v>0.75</v>
      </c>
      <c r="E102" s="11" t="s">
        <v>839</v>
      </c>
      <c r="F102" s="11" t="s">
        <v>840</v>
      </c>
      <c r="I102"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wattlist_t8_u_lamp_llo_ballast</v>
      </c>
      <c r="J102" s="11">
        <v>25</v>
      </c>
      <c r="K102" s="11">
        <v>28</v>
      </c>
      <c r="L102" s="11">
        <v>32</v>
      </c>
      <c r="M102" s="11"/>
      <c r="N102" s="499"/>
      <c r="O102" s="499"/>
      <c r="P102" s="499"/>
      <c r="Q102" s="499"/>
      <c r="R102" s="499"/>
      <c r="S102" s="499"/>
      <c r="T102" s="499"/>
      <c r="U102" s="499"/>
      <c r="V102" s="499"/>
      <c r="W102" s="499"/>
      <c r="X102" s="499"/>
      <c r="Y102" s="499"/>
      <c r="Z102" s="499"/>
      <c r="AA102" s="499"/>
      <c r="AB102" s="499"/>
      <c r="AC102" s="499"/>
      <c r="AD102" s="499"/>
      <c r="AE102" s="499"/>
      <c r="AF102" s="499"/>
      <c r="AG102" s="499"/>
      <c r="AH102" s="499"/>
      <c r="AI102" s="499"/>
      <c r="AJ102" s="499"/>
      <c r="AK102" s="499"/>
      <c r="AL102" s="499"/>
      <c r="AM102" s="499"/>
      <c r="AN102" s="499"/>
      <c r="AO102" s="499"/>
      <c r="AP102" s="499"/>
      <c r="AQ102" s="499"/>
      <c r="AR102" s="499"/>
      <c r="AS102" s="499"/>
      <c r="AT102" s="499"/>
    </row>
    <row r="103" spans="1:46" x14ac:dyDescent="0.3">
      <c r="A103" s="11" t="s">
        <v>404</v>
      </c>
      <c r="B103" s="12" t="s">
        <v>898</v>
      </c>
      <c r="C103" s="11" t="s">
        <v>409</v>
      </c>
      <c r="D103" s="60">
        <v>0.92</v>
      </c>
      <c r="E103" s="11" t="s">
        <v>839</v>
      </c>
      <c r="F103" s="11" t="s">
        <v>840</v>
      </c>
      <c r="I103"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wattlist_t8_u_lamp_nlo_ballast</v>
      </c>
      <c r="J103" s="11">
        <v>25</v>
      </c>
      <c r="K103" s="11">
        <v>28</v>
      </c>
      <c r="L103" s="11">
        <v>32</v>
      </c>
      <c r="M103" s="11"/>
      <c r="N103" s="499"/>
      <c r="O103" s="499"/>
      <c r="P103" s="499"/>
      <c r="Q103" s="499"/>
      <c r="R103" s="499"/>
      <c r="S103" s="499"/>
      <c r="T103" s="499"/>
      <c r="U103" s="499"/>
      <c r="V103" s="499"/>
      <c r="W103" s="499"/>
      <c r="X103" s="499"/>
      <c r="Y103" s="499"/>
      <c r="Z103" s="499"/>
      <c r="AA103" s="499"/>
      <c r="AB103" s="499"/>
      <c r="AC103" s="499"/>
      <c r="AD103" s="499"/>
      <c r="AE103" s="499"/>
      <c r="AF103" s="499"/>
      <c r="AG103" s="499"/>
      <c r="AH103" s="499"/>
      <c r="AI103" s="499"/>
      <c r="AJ103" s="499"/>
      <c r="AK103" s="499"/>
      <c r="AL103" s="499"/>
      <c r="AM103" s="499"/>
      <c r="AN103" s="499"/>
      <c r="AO103" s="499"/>
      <c r="AP103" s="499"/>
      <c r="AQ103" s="499"/>
      <c r="AR103" s="499"/>
      <c r="AS103" s="499"/>
      <c r="AT103" s="499"/>
    </row>
    <row r="104" spans="1:46" x14ac:dyDescent="0.3">
      <c r="A104" s="11" t="s">
        <v>905</v>
      </c>
      <c r="B104" s="12" t="s">
        <v>408</v>
      </c>
      <c r="C104" s="11" t="s">
        <v>906</v>
      </c>
      <c r="D104" s="60">
        <v>1.1399999999999999</v>
      </c>
      <c r="E104" s="11" t="s">
        <v>839</v>
      </c>
      <c r="F104" s="11" t="s">
        <v>840</v>
      </c>
      <c r="I104"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wattlist_t8_hp_4_ft_hlo_ballast</v>
      </c>
      <c r="J104" s="11">
        <v>25</v>
      </c>
      <c r="K104" s="11">
        <v>28</v>
      </c>
      <c r="L104" s="11">
        <v>32</v>
      </c>
      <c r="M104" s="11"/>
      <c r="N104" s="499"/>
      <c r="O104" s="499"/>
      <c r="P104" s="499"/>
      <c r="Q104" s="499"/>
      <c r="R104" s="499"/>
      <c r="S104" s="499"/>
      <c r="T104" s="499"/>
      <c r="U104" s="499"/>
      <c r="V104" s="499"/>
      <c r="W104" s="499"/>
      <c r="X104" s="499"/>
      <c r="Y104" s="499"/>
      <c r="Z104" s="499"/>
      <c r="AA104" s="499"/>
      <c r="AB104" s="499"/>
      <c r="AC104" s="499"/>
      <c r="AD104" s="499"/>
      <c r="AE104" s="499"/>
      <c r="AF104" s="499"/>
      <c r="AG104" s="499"/>
      <c r="AH104" s="499"/>
      <c r="AI104" s="499"/>
      <c r="AJ104" s="499"/>
      <c r="AK104" s="499"/>
      <c r="AL104" s="499"/>
      <c r="AM104" s="499"/>
      <c r="AN104" s="499"/>
      <c r="AO104" s="499"/>
      <c r="AP104" s="499"/>
      <c r="AQ104" s="499"/>
      <c r="AR104" s="499"/>
      <c r="AS104" s="499"/>
      <c r="AT104" s="499"/>
    </row>
    <row r="105" spans="1:46" x14ac:dyDescent="0.3">
      <c r="A105" s="11" t="s">
        <v>905</v>
      </c>
      <c r="B105" s="12" t="s">
        <v>408</v>
      </c>
      <c r="C105" s="11" t="s">
        <v>409</v>
      </c>
      <c r="D105" s="60">
        <v>0.86</v>
      </c>
      <c r="E105" s="11" t="s">
        <v>839</v>
      </c>
      <c r="F105" s="11" t="s">
        <v>840</v>
      </c>
      <c r="I105"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wattlist_t8_hp_4_ft_nlo_ballast</v>
      </c>
      <c r="J105" s="11">
        <v>25</v>
      </c>
      <c r="K105" s="11">
        <v>28</v>
      </c>
      <c r="L105" s="11">
        <v>32</v>
      </c>
      <c r="M105" s="11"/>
      <c r="N105" s="499"/>
      <c r="O105" s="499"/>
      <c r="P105" s="499"/>
      <c r="Q105" s="499"/>
      <c r="R105" s="499"/>
      <c r="S105" s="499"/>
      <c r="T105" s="499"/>
      <c r="U105" s="499"/>
      <c r="V105" s="499"/>
      <c r="W105" s="499"/>
      <c r="X105" s="499"/>
      <c r="Y105" s="499"/>
      <c r="Z105" s="499"/>
      <c r="AA105" s="499"/>
      <c r="AB105" s="499"/>
      <c r="AC105" s="499"/>
      <c r="AD105" s="499"/>
      <c r="AE105" s="499"/>
      <c r="AF105" s="499"/>
      <c r="AG105" s="499"/>
      <c r="AH105" s="499"/>
      <c r="AI105" s="499"/>
      <c r="AJ105" s="499"/>
      <c r="AK105" s="499"/>
      <c r="AL105" s="499"/>
      <c r="AM105" s="499"/>
      <c r="AN105" s="499"/>
      <c r="AO105" s="499"/>
      <c r="AP105" s="499"/>
      <c r="AQ105" s="499"/>
      <c r="AR105" s="499"/>
      <c r="AS105" s="499"/>
      <c r="AT105" s="499"/>
    </row>
    <row r="106" spans="1:46" x14ac:dyDescent="0.3">
      <c r="A106" s="11" t="s">
        <v>905</v>
      </c>
      <c r="B106" s="12" t="s">
        <v>408</v>
      </c>
      <c r="C106" s="11" t="s">
        <v>903</v>
      </c>
      <c r="D106" s="60">
        <v>0.75</v>
      </c>
      <c r="E106" s="11" t="s">
        <v>839</v>
      </c>
      <c r="F106" s="11" t="s">
        <v>840</v>
      </c>
      <c r="I106"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wattlist_t8_hp_4_ft_llo_ballast</v>
      </c>
      <c r="J106" s="11">
        <v>25</v>
      </c>
      <c r="K106" s="11">
        <v>28</v>
      </c>
      <c r="L106" s="11">
        <v>32</v>
      </c>
      <c r="M106" s="11"/>
      <c r="N106" s="499"/>
      <c r="O106" s="499"/>
      <c r="P106" s="499"/>
      <c r="Q106" s="499"/>
      <c r="R106" s="499"/>
      <c r="S106" s="499"/>
      <c r="T106" s="499"/>
      <c r="U106" s="499"/>
      <c r="V106" s="499"/>
      <c r="W106" s="499"/>
      <c r="X106" s="499"/>
      <c r="Y106" s="499"/>
      <c r="Z106" s="499"/>
      <c r="AA106" s="499"/>
      <c r="AB106" s="499"/>
      <c r="AC106" s="499"/>
      <c r="AD106" s="499"/>
      <c r="AE106" s="499"/>
      <c r="AF106" s="499"/>
      <c r="AG106" s="499"/>
      <c r="AH106" s="499"/>
      <c r="AI106" s="499"/>
      <c r="AJ106" s="499"/>
      <c r="AK106" s="499"/>
      <c r="AL106" s="499"/>
      <c r="AM106" s="499"/>
      <c r="AN106" s="499"/>
      <c r="AO106" s="499"/>
      <c r="AP106" s="499"/>
      <c r="AQ106" s="499"/>
      <c r="AR106" s="499"/>
      <c r="AS106" s="499"/>
      <c r="AT106" s="499"/>
    </row>
    <row r="107" spans="1:46" x14ac:dyDescent="0.3">
      <c r="A107" s="11" t="s">
        <v>905</v>
      </c>
      <c r="B107" s="12" t="s">
        <v>408</v>
      </c>
      <c r="C107" s="11" t="s">
        <v>907</v>
      </c>
      <c r="D107" s="60">
        <v>0.73</v>
      </c>
      <c r="E107" s="11" t="s">
        <v>839</v>
      </c>
      <c r="F107" s="11" t="s">
        <v>840</v>
      </c>
      <c r="I107"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wattlist_t8_hp_4_ft_vllo_ballast</v>
      </c>
      <c r="J107" s="11">
        <v>25</v>
      </c>
      <c r="K107" s="11">
        <v>28</v>
      </c>
      <c r="L107" s="11">
        <v>32</v>
      </c>
      <c r="M107" s="11"/>
      <c r="N107" s="499"/>
      <c r="O107" s="499"/>
      <c r="P107" s="499"/>
      <c r="Q107" s="499"/>
      <c r="R107" s="499"/>
      <c r="S107" s="499"/>
      <c r="T107" s="499"/>
      <c r="U107" s="499"/>
      <c r="V107" s="499"/>
      <c r="W107" s="499"/>
      <c r="X107" s="499"/>
      <c r="Y107" s="499"/>
      <c r="Z107" s="499"/>
      <c r="AA107" s="499"/>
      <c r="AB107" s="499"/>
      <c r="AC107" s="499"/>
      <c r="AD107" s="499"/>
      <c r="AE107" s="499"/>
      <c r="AF107" s="499"/>
      <c r="AG107" s="499"/>
      <c r="AH107" s="499"/>
      <c r="AI107" s="499"/>
      <c r="AJ107" s="499"/>
      <c r="AK107" s="499"/>
      <c r="AL107" s="499"/>
      <c r="AM107" s="499"/>
      <c r="AN107" s="499"/>
      <c r="AO107" s="499"/>
      <c r="AP107" s="499"/>
      <c r="AQ107" s="499"/>
      <c r="AR107" s="499"/>
      <c r="AS107" s="499"/>
      <c r="AT107" s="499"/>
    </row>
    <row r="108" spans="1:46" x14ac:dyDescent="0.3">
      <c r="A108" s="11" t="s">
        <v>905</v>
      </c>
      <c r="B108" s="12" t="s">
        <v>896</v>
      </c>
      <c r="C108" s="11" t="s">
        <v>409</v>
      </c>
      <c r="D108" s="60">
        <v>0.92</v>
      </c>
      <c r="E108" s="11" t="s">
        <v>839</v>
      </c>
      <c r="F108" s="11" t="s">
        <v>840</v>
      </c>
      <c r="I108" s="14" t="str">
        <f>IF(BallastFactorTable[[#This Row],[Fixture Class]]="LED","wattlist_LED",LOWER(SUBSTITUTE(SUBSTITUTE(SUBSTITUTE(SUBSTITUTE(SUBSTITUTE(SUBSTITUTE(SUBSTITUTE(SUBSTITUTE(SUBSTITUTE(SUBSTITUTE(_xlfn.CONCAT("WattList_",BallastFactorTable[[#This Row],[Fixture Class]]," ",BallastFactorTable[[#This Row],[Fixture Category]]," ",BallastFactorTable[[#This Row],[Fixture Sub-category]])," ","_"),".","_"),"-","_"),"/","_"),"&amp;","_"),"(","_"),")","_"),",","_"),"|","_"),"&gt;","_")))</f>
        <v>wattlist_t8_hp_8_ft_nlo_ballast</v>
      </c>
      <c r="J108" s="11">
        <v>54</v>
      </c>
      <c r="K108" s="11">
        <v>59</v>
      </c>
      <c r="L108" s="11"/>
      <c r="M108" s="11"/>
      <c r="N108" s="499"/>
      <c r="O108" s="499"/>
      <c r="P108" s="499"/>
      <c r="Q108" s="499"/>
      <c r="R108" s="499"/>
      <c r="S108" s="499"/>
      <c r="T108" s="499"/>
      <c r="U108" s="499"/>
      <c r="V108" s="499"/>
      <c r="W108" s="499"/>
      <c r="X108" s="499"/>
      <c r="Y108" s="499"/>
      <c r="Z108" s="499"/>
      <c r="AA108" s="499"/>
      <c r="AB108" s="499"/>
      <c r="AC108" s="499"/>
      <c r="AD108" s="499"/>
      <c r="AE108" s="499"/>
      <c r="AF108" s="499"/>
      <c r="AG108" s="499"/>
      <c r="AH108" s="499"/>
      <c r="AI108" s="499"/>
      <c r="AJ108" s="499"/>
      <c r="AK108" s="499"/>
      <c r="AL108" s="499"/>
      <c r="AM108" s="499"/>
      <c r="AN108" s="499"/>
      <c r="AO108" s="499"/>
      <c r="AP108" s="499"/>
      <c r="AQ108" s="499"/>
      <c r="AR108" s="499"/>
      <c r="AS108" s="499"/>
      <c r="AT108" s="499"/>
    </row>
    <row r="110" spans="1:46" x14ac:dyDescent="0.3">
      <c r="A110" s="9" t="s">
        <v>781</v>
      </c>
    </row>
    <row r="113" spans="1:2" ht="18" x14ac:dyDescent="0.35">
      <c r="A113" s="17" t="s">
        <v>908</v>
      </c>
      <c r="B113"/>
    </row>
    <row r="114" spans="1:2" x14ac:dyDescent="0.3">
      <c r="A114" t="s">
        <v>521</v>
      </c>
      <c r="B114" t="s">
        <v>909</v>
      </c>
    </row>
    <row r="115" spans="1:2" x14ac:dyDescent="0.3">
      <c r="A115" t="s">
        <v>527</v>
      </c>
      <c r="B115" t="s">
        <v>910</v>
      </c>
    </row>
    <row r="116" spans="1:2" x14ac:dyDescent="0.3">
      <c r="A116" t="s">
        <v>911</v>
      </c>
      <c r="B116" t="s">
        <v>912</v>
      </c>
    </row>
    <row r="117" spans="1:2" x14ac:dyDescent="0.3">
      <c r="A117"/>
      <c r="B117"/>
    </row>
    <row r="118" spans="1:2" x14ac:dyDescent="0.3">
      <c r="A118" s="9" t="s">
        <v>781</v>
      </c>
      <c r="B118"/>
    </row>
  </sheetData>
  <phoneticPr fontId="12" type="noConversion"/>
  <pageMargins left="0.7" right="0.7" top="0.75" bottom="0.75" header="0.3" footer="0.3"/>
  <legacyDrawing r:id="rId1"/>
  <tableParts count="2">
    <tablePart r:id="rId2"/>
    <tablePart r:id="rId3"/>
  </tablePart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077BC1-22B5-46C5-A445-E5D93541986A}">
  <sheetPr codeName="Sheet8">
    <tabColor theme="5" tint="0.79998168889431442"/>
  </sheetPr>
  <dimension ref="A1:K31"/>
  <sheetViews>
    <sheetView workbookViewId="0">
      <pane ySplit="4" topLeftCell="A5" activePane="bottomLeft" state="frozen"/>
      <selection pane="bottomLeft" activeCell="A3" sqref="A3"/>
    </sheetView>
  </sheetViews>
  <sheetFormatPr defaultRowHeight="14.4" x14ac:dyDescent="0.3"/>
  <cols>
    <col min="1" max="1" width="16.44140625" bestFit="1" customWidth="1"/>
    <col min="2" max="2" width="33.44140625" customWidth="1"/>
    <col min="3" max="3" width="21.6640625" bestFit="1" customWidth="1"/>
    <col min="4" max="4" width="10.6640625" bestFit="1" customWidth="1"/>
    <col min="5" max="5" width="16.6640625" bestFit="1" customWidth="1"/>
    <col min="6" max="6" width="14.6640625" bestFit="1" customWidth="1"/>
    <col min="7" max="7" width="20" bestFit="1" customWidth="1"/>
    <col min="8" max="8" width="19.88671875" bestFit="1" customWidth="1"/>
    <col min="10" max="10" width="21.33203125" customWidth="1"/>
  </cols>
  <sheetData>
    <row r="1" spans="1:11" ht="21" x14ac:dyDescent="0.4">
      <c r="A1" s="283" t="s">
        <v>913</v>
      </c>
      <c r="D1" s="204" t="s">
        <v>533</v>
      </c>
      <c r="F1" s="58"/>
      <c r="K1" s="302"/>
    </row>
    <row r="2" spans="1:11" x14ac:dyDescent="0.3">
      <c r="A2" s="326" t="s">
        <v>914</v>
      </c>
    </row>
    <row r="4" spans="1:11" ht="28.8" x14ac:dyDescent="0.3">
      <c r="A4" s="185" t="s">
        <v>188</v>
      </c>
      <c r="B4" s="185" t="s">
        <v>915</v>
      </c>
      <c r="C4" s="185" t="s">
        <v>916</v>
      </c>
      <c r="D4" s="185" t="s">
        <v>521</v>
      </c>
      <c r="E4" s="185" t="s">
        <v>203</v>
      </c>
      <c r="F4" s="185" t="s">
        <v>204</v>
      </c>
      <c r="G4" s="185" t="s">
        <v>296</v>
      </c>
      <c r="H4" s="185" t="s">
        <v>285</v>
      </c>
      <c r="I4" s="185" t="s">
        <v>917</v>
      </c>
      <c r="J4" s="15" t="s">
        <v>918</v>
      </c>
    </row>
    <row r="5" spans="1:11" x14ac:dyDescent="0.3">
      <c r="A5" t="s">
        <v>623</v>
      </c>
      <c r="B5" t="s">
        <v>755</v>
      </c>
      <c r="C5" t="s">
        <v>755</v>
      </c>
      <c r="D5" t="s">
        <v>527</v>
      </c>
      <c r="E5" t="s">
        <v>259</v>
      </c>
      <c r="F5" t="s">
        <v>250</v>
      </c>
      <c r="G5" t="s">
        <v>401</v>
      </c>
      <c r="H5" t="s">
        <v>394</v>
      </c>
      <c r="I5" t="s">
        <v>917</v>
      </c>
      <c r="J5" s="2">
        <v>0.9</v>
      </c>
    </row>
    <row r="6" spans="1:11" x14ac:dyDescent="0.3">
      <c r="A6" t="s">
        <v>626</v>
      </c>
      <c r="B6" t="s">
        <v>756</v>
      </c>
      <c r="C6" t="s">
        <v>262</v>
      </c>
      <c r="D6" t="s">
        <v>911</v>
      </c>
      <c r="E6" t="s">
        <v>785</v>
      </c>
      <c r="F6" t="s">
        <v>784</v>
      </c>
      <c r="G6" t="s">
        <v>425</v>
      </c>
      <c r="H6" t="s">
        <v>424</v>
      </c>
      <c r="J6" s="2">
        <v>0.8</v>
      </c>
    </row>
    <row r="7" spans="1:11" x14ac:dyDescent="0.3">
      <c r="A7" t="s">
        <v>189</v>
      </c>
      <c r="B7" t="s">
        <v>757</v>
      </c>
      <c r="C7" t="s">
        <v>919</v>
      </c>
      <c r="E7" t="s">
        <v>249</v>
      </c>
      <c r="F7" t="s">
        <v>247</v>
      </c>
      <c r="G7" t="s">
        <v>407</v>
      </c>
      <c r="H7" t="s">
        <v>423</v>
      </c>
      <c r="J7" s="2">
        <v>0.7</v>
      </c>
    </row>
    <row r="8" spans="1:11" x14ac:dyDescent="0.3">
      <c r="B8" t="s">
        <v>758</v>
      </c>
      <c r="C8" t="s">
        <v>920</v>
      </c>
      <c r="E8" t="s">
        <v>246</v>
      </c>
      <c r="G8" t="s">
        <v>412</v>
      </c>
      <c r="J8" s="2">
        <v>0.6</v>
      </c>
    </row>
    <row r="9" spans="1:11" x14ac:dyDescent="0.3">
      <c r="B9" t="s">
        <v>759</v>
      </c>
      <c r="C9" t="s">
        <v>248</v>
      </c>
      <c r="J9" s="2">
        <v>0.5</v>
      </c>
    </row>
    <row r="10" spans="1:11" x14ac:dyDescent="0.3">
      <c r="B10" t="s">
        <v>760</v>
      </c>
      <c r="C10" t="s">
        <v>921</v>
      </c>
      <c r="J10" s="2">
        <v>0.4</v>
      </c>
    </row>
    <row r="11" spans="1:11" x14ac:dyDescent="0.3">
      <c r="B11" t="s">
        <v>762</v>
      </c>
      <c r="C11" t="s">
        <v>258</v>
      </c>
      <c r="J11" s="2">
        <v>0.3</v>
      </c>
    </row>
    <row r="12" spans="1:11" x14ac:dyDescent="0.3">
      <c r="B12" t="s">
        <v>761</v>
      </c>
      <c r="C12" t="s">
        <v>260</v>
      </c>
      <c r="J12" s="2">
        <v>0.2</v>
      </c>
    </row>
    <row r="13" spans="1:11" x14ac:dyDescent="0.3">
      <c r="B13" t="s">
        <v>763</v>
      </c>
      <c r="C13" t="s">
        <v>252</v>
      </c>
      <c r="J13" s="2">
        <v>0.1</v>
      </c>
    </row>
    <row r="14" spans="1:11" x14ac:dyDescent="0.3">
      <c r="B14" t="s">
        <v>764</v>
      </c>
      <c r="C14" t="s">
        <v>261</v>
      </c>
    </row>
    <row r="15" spans="1:11" x14ac:dyDescent="0.3">
      <c r="B15" t="s">
        <v>766</v>
      </c>
      <c r="C15" t="s">
        <v>911</v>
      </c>
    </row>
    <row r="16" spans="1:11" x14ac:dyDescent="0.3">
      <c r="B16" t="s">
        <v>767</v>
      </c>
      <c r="C16" t="s">
        <v>922</v>
      </c>
    </row>
    <row r="17" spans="2:3" x14ac:dyDescent="0.3">
      <c r="B17" t="s">
        <v>187</v>
      </c>
      <c r="C17" t="s">
        <v>763</v>
      </c>
    </row>
    <row r="18" spans="2:3" x14ac:dyDescent="0.3">
      <c r="B18" t="s">
        <v>768</v>
      </c>
      <c r="C18" t="s">
        <v>255</v>
      </c>
    </row>
    <row r="19" spans="2:3" x14ac:dyDescent="0.3">
      <c r="B19" t="s">
        <v>769</v>
      </c>
      <c r="C19" t="s">
        <v>923</v>
      </c>
    </row>
    <row r="20" spans="2:3" x14ac:dyDescent="0.3">
      <c r="B20" t="s">
        <v>770</v>
      </c>
      <c r="C20" t="s">
        <v>253</v>
      </c>
    </row>
    <row r="21" spans="2:3" x14ac:dyDescent="0.3">
      <c r="B21" t="s">
        <v>771</v>
      </c>
      <c r="C21" t="s">
        <v>769</v>
      </c>
    </row>
    <row r="22" spans="2:3" x14ac:dyDescent="0.3">
      <c r="B22" t="s">
        <v>772</v>
      </c>
      <c r="C22" t="s">
        <v>251</v>
      </c>
    </row>
    <row r="23" spans="2:3" x14ac:dyDescent="0.3">
      <c r="B23" t="s">
        <v>773</v>
      </c>
      <c r="C23" t="s">
        <v>924</v>
      </c>
    </row>
    <row r="24" spans="2:3" x14ac:dyDescent="0.3">
      <c r="B24" t="s">
        <v>774</v>
      </c>
      <c r="C24" t="s">
        <v>263</v>
      </c>
    </row>
    <row r="25" spans="2:3" x14ac:dyDescent="0.3">
      <c r="B25" t="s">
        <v>775</v>
      </c>
      <c r="C25" t="s">
        <v>254</v>
      </c>
    </row>
    <row r="26" spans="2:3" x14ac:dyDescent="0.3">
      <c r="B26" t="s">
        <v>776</v>
      </c>
      <c r="C26" t="s">
        <v>925</v>
      </c>
    </row>
    <row r="27" spans="2:3" x14ac:dyDescent="0.3">
      <c r="B27" t="s">
        <v>777</v>
      </c>
      <c r="C27" t="s">
        <v>926</v>
      </c>
    </row>
    <row r="28" spans="2:3" x14ac:dyDescent="0.3">
      <c r="B28" t="s">
        <v>778</v>
      </c>
      <c r="C28" t="s">
        <v>257</v>
      </c>
    </row>
    <row r="29" spans="2:3" x14ac:dyDescent="0.3">
      <c r="B29" t="s">
        <v>779</v>
      </c>
      <c r="C29" t="s">
        <v>256</v>
      </c>
    </row>
    <row r="30" spans="2:3" x14ac:dyDescent="0.3">
      <c r="B30" t="s">
        <v>780</v>
      </c>
      <c r="C30" t="s">
        <v>779</v>
      </c>
    </row>
    <row r="31" spans="2:3" x14ac:dyDescent="0.3">
      <c r="C31" t="s">
        <v>780</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2C5B3F-EC31-461F-A5A0-235D44638ACE}">
  <sheetPr>
    <tabColor theme="5" tint="0.79998168889431442"/>
  </sheetPr>
  <dimension ref="A1:K91"/>
  <sheetViews>
    <sheetView showGridLines="0" workbookViewId="0">
      <pane ySplit="1" topLeftCell="A2" activePane="bottomLeft" state="frozen"/>
      <selection pane="bottomLeft" activeCell="A4" sqref="A4"/>
    </sheetView>
  </sheetViews>
  <sheetFormatPr defaultColWidth="22.44140625" defaultRowHeight="14.4" x14ac:dyDescent="0.3"/>
  <cols>
    <col min="1" max="1" width="30.5546875" bestFit="1" customWidth="1"/>
    <col min="2" max="2" width="21" bestFit="1" customWidth="1"/>
    <col min="3" max="3" width="30.5546875" bestFit="1" customWidth="1"/>
    <col min="4" max="4" width="27.33203125" bestFit="1" customWidth="1"/>
    <col min="5" max="5" width="26.6640625" bestFit="1" customWidth="1"/>
    <col min="6" max="6" width="27.33203125" bestFit="1" customWidth="1"/>
    <col min="7" max="7" width="26.6640625" bestFit="1" customWidth="1"/>
    <col min="8" max="8" width="27.33203125" bestFit="1" customWidth="1"/>
    <col min="9" max="9" width="23.5546875" bestFit="1" customWidth="1"/>
    <col min="10" max="11" width="23" bestFit="1" customWidth="1"/>
  </cols>
  <sheetData>
    <row r="1" spans="1:11" ht="21" x14ac:dyDescent="0.4">
      <c r="A1" s="283" t="s">
        <v>927</v>
      </c>
      <c r="D1" s="204" t="s">
        <v>533</v>
      </c>
      <c r="F1" s="58"/>
      <c r="K1" s="302"/>
    </row>
    <row r="2" spans="1:11" x14ac:dyDescent="0.3">
      <c r="A2" s="326" t="s">
        <v>928</v>
      </c>
      <c r="D2" s="204"/>
    </row>
    <row r="3" spans="1:11" x14ac:dyDescent="0.3">
      <c r="A3" s="326" t="s">
        <v>929</v>
      </c>
      <c r="D3" s="204"/>
    </row>
    <row r="4" spans="1:11" x14ac:dyDescent="0.3">
      <c r="A4" s="326"/>
      <c r="D4" s="204"/>
    </row>
    <row r="5" spans="1:11" ht="18" x14ac:dyDescent="0.35">
      <c r="A5" s="326" t="s">
        <v>930</v>
      </c>
    </row>
    <row r="6" spans="1:11" x14ac:dyDescent="0.3">
      <c r="A6" s="1" t="s">
        <v>931</v>
      </c>
      <c r="B6" s="1" t="s">
        <v>932</v>
      </c>
    </row>
    <row r="7" spans="1:11" x14ac:dyDescent="0.3">
      <c r="A7" s="168" t="str" cm="1">
        <f t="array" ref="A7:A17">_xlfn.UNIQUE(_xlfn._xlws.FILTER('Ballast Factors'!A8:A108,'Ballast Factors'!E8:E108="Yes"))</f>
        <v>CFL</v>
      </c>
      <c r="B7" s="168" t="str" cm="1">
        <f t="array" ref="B7:B8">_xlfn.UNIQUE(_xlfn._xlws.FILTER('Ballast Factors'!A8:A108,'Ballast Factors'!F8:F108="Yes"))</f>
        <v>LED</v>
      </c>
    </row>
    <row r="8" spans="1:11" x14ac:dyDescent="0.3">
      <c r="A8" s="168" t="str">
        <v>Exit Sign</v>
      </c>
      <c r="B8" s="168" t="str">
        <v>Signage</v>
      </c>
    </row>
    <row r="9" spans="1:11" x14ac:dyDescent="0.3">
      <c r="A9" s="168" t="str">
        <v>HID</v>
      </c>
    </row>
    <row r="10" spans="1:11" x14ac:dyDescent="0.3">
      <c r="A10" s="168" t="str">
        <v>Induction</v>
      </c>
    </row>
    <row r="11" spans="1:11" x14ac:dyDescent="0.3">
      <c r="A11" s="168" t="str">
        <v>LED</v>
      </c>
    </row>
    <row r="12" spans="1:11" x14ac:dyDescent="0.3">
      <c r="A12" s="168" t="str">
        <v>Quartz</v>
      </c>
    </row>
    <row r="13" spans="1:11" x14ac:dyDescent="0.3">
      <c r="A13" s="168" t="str">
        <v>T10</v>
      </c>
    </row>
    <row r="14" spans="1:11" x14ac:dyDescent="0.3">
      <c r="A14" s="168" t="str">
        <v>T12</v>
      </c>
    </row>
    <row r="15" spans="1:11" x14ac:dyDescent="0.3">
      <c r="A15" s="168" t="str">
        <v>T5</v>
      </c>
    </row>
    <row r="16" spans="1:11" x14ac:dyDescent="0.3">
      <c r="A16" s="168" t="str">
        <v>T8</v>
      </c>
    </row>
    <row r="17" spans="1:4" x14ac:dyDescent="0.3">
      <c r="A17" s="168" t="str">
        <v>T8 HP</v>
      </c>
    </row>
    <row r="19" spans="1:4" ht="18" x14ac:dyDescent="0.35">
      <c r="A19" s="326" t="s">
        <v>933</v>
      </c>
    </row>
    <row r="20" spans="1:4" x14ac:dyDescent="0.3">
      <c r="A20" s="1" t="s">
        <v>413</v>
      </c>
    </row>
    <row r="21" spans="1:4" x14ac:dyDescent="0.3">
      <c r="A21" s="3" t="s">
        <v>837</v>
      </c>
      <c r="B21" s="3" t="s">
        <v>414</v>
      </c>
      <c r="C21" s="3" t="s">
        <v>843</v>
      </c>
    </row>
    <row r="22" spans="1:4" x14ac:dyDescent="0.3">
      <c r="A22" t="s">
        <v>838</v>
      </c>
      <c r="B22" t="s">
        <v>415</v>
      </c>
      <c r="C22" t="s">
        <v>415</v>
      </c>
    </row>
    <row r="23" spans="1:4" x14ac:dyDescent="0.3">
      <c r="B23" t="s">
        <v>841</v>
      </c>
      <c r="C23" t="s">
        <v>841</v>
      </c>
    </row>
    <row r="24" spans="1:4" x14ac:dyDescent="0.3">
      <c r="B24" t="s">
        <v>842</v>
      </c>
      <c r="C24" t="s">
        <v>842</v>
      </c>
    </row>
    <row r="26" spans="1:4" x14ac:dyDescent="0.3">
      <c r="A26" s="1" t="s">
        <v>427</v>
      </c>
    </row>
    <row r="27" spans="1:4" x14ac:dyDescent="0.3">
      <c r="A27" s="3" t="s">
        <v>413</v>
      </c>
      <c r="B27" s="3" t="s">
        <v>845</v>
      </c>
      <c r="C27" s="3" t="s">
        <v>398</v>
      </c>
      <c r="D27" s="3" t="s">
        <v>846</v>
      </c>
    </row>
    <row r="28" spans="1:4" x14ac:dyDescent="0.3">
      <c r="A28" t="s">
        <v>844</v>
      </c>
      <c r="B28" t="s">
        <v>844</v>
      </c>
      <c r="C28" t="s">
        <v>428</v>
      </c>
      <c r="D28" t="s">
        <v>847</v>
      </c>
    </row>
    <row r="29" spans="1:4" x14ac:dyDescent="0.3">
      <c r="D29" t="s">
        <v>848</v>
      </c>
    </row>
    <row r="30" spans="1:4" x14ac:dyDescent="0.3">
      <c r="D30" t="s">
        <v>849</v>
      </c>
    </row>
    <row r="32" spans="1:4" x14ac:dyDescent="0.3">
      <c r="A32" s="1" t="s">
        <v>418</v>
      </c>
    </row>
    <row r="33" spans="1:9" x14ac:dyDescent="0.3">
      <c r="A33" s="3" t="s">
        <v>419</v>
      </c>
      <c r="B33" s="3" t="s">
        <v>666</v>
      </c>
      <c r="C33" s="3" t="s">
        <v>668</v>
      </c>
    </row>
    <row r="34" spans="1:9" x14ac:dyDescent="0.3">
      <c r="A34" t="s">
        <v>420</v>
      </c>
      <c r="B34" t="s">
        <v>850</v>
      </c>
      <c r="C34" t="s">
        <v>420</v>
      </c>
    </row>
    <row r="35" spans="1:9" x14ac:dyDescent="0.3">
      <c r="B35" t="s">
        <v>420</v>
      </c>
    </row>
    <row r="36" spans="1:9" x14ac:dyDescent="0.3">
      <c r="B36" t="s">
        <v>851</v>
      </c>
    </row>
    <row r="38" spans="1:9" x14ac:dyDescent="0.3">
      <c r="A38" s="1" t="s">
        <v>852</v>
      </c>
    </row>
    <row r="39" spans="1:9" x14ac:dyDescent="0.3">
      <c r="A39" s="3" t="s">
        <v>853</v>
      </c>
    </row>
    <row r="40" spans="1:9" x14ac:dyDescent="0.3">
      <c r="A40" t="s">
        <v>853</v>
      </c>
    </row>
    <row r="42" spans="1:9" x14ac:dyDescent="0.3">
      <c r="A42" s="1" t="s">
        <v>398</v>
      </c>
    </row>
    <row r="43" spans="1:9" x14ac:dyDescent="0.3">
      <c r="A43" s="3" t="s">
        <v>427</v>
      </c>
      <c r="B43" s="3" t="s">
        <v>244</v>
      </c>
      <c r="C43" s="3" t="s">
        <v>399</v>
      </c>
      <c r="D43" s="3" t="s">
        <v>432</v>
      </c>
      <c r="E43" s="3" t="s">
        <v>421</v>
      </c>
      <c r="F43" s="3" t="s">
        <v>430</v>
      </c>
      <c r="G43" s="3" t="s">
        <v>871</v>
      </c>
      <c r="H43" s="3" t="s">
        <v>416</v>
      </c>
      <c r="I43" s="3" t="s">
        <v>410</v>
      </c>
    </row>
    <row r="44" spans="1:9" x14ac:dyDescent="0.3">
      <c r="A44" t="s">
        <v>428</v>
      </c>
      <c r="B44" t="s">
        <v>422</v>
      </c>
      <c r="C44" t="s">
        <v>400</v>
      </c>
      <c r="D44" t="s">
        <v>421</v>
      </c>
      <c r="E44" t="s">
        <v>400</v>
      </c>
      <c r="F44" t="s">
        <v>431</v>
      </c>
      <c r="G44" t="s">
        <v>853</v>
      </c>
      <c r="H44" t="s">
        <v>872</v>
      </c>
      <c r="I44" t="s">
        <v>433</v>
      </c>
    </row>
    <row r="45" spans="1:9" x14ac:dyDescent="0.3">
      <c r="B45" t="s">
        <v>859</v>
      </c>
      <c r="D45" t="s">
        <v>422</v>
      </c>
      <c r="H45" t="s">
        <v>875</v>
      </c>
      <c r="I45" t="s">
        <v>411</v>
      </c>
    </row>
    <row r="46" spans="1:9" x14ac:dyDescent="0.3">
      <c r="B46" t="s">
        <v>860</v>
      </c>
      <c r="D46" t="s">
        <v>859</v>
      </c>
      <c r="H46" t="s">
        <v>417</v>
      </c>
      <c r="I46" t="s">
        <v>880</v>
      </c>
    </row>
    <row r="47" spans="1:9" x14ac:dyDescent="0.3">
      <c r="B47" t="s">
        <v>861</v>
      </c>
      <c r="D47" t="s">
        <v>769</v>
      </c>
      <c r="H47" t="s">
        <v>876</v>
      </c>
    </row>
    <row r="48" spans="1:9" x14ac:dyDescent="0.3">
      <c r="B48" t="s">
        <v>435</v>
      </c>
      <c r="D48" t="s">
        <v>860</v>
      </c>
      <c r="H48" t="s">
        <v>877</v>
      </c>
    </row>
    <row r="49" spans="1:8" x14ac:dyDescent="0.3">
      <c r="B49" t="s">
        <v>769</v>
      </c>
      <c r="D49" t="s">
        <v>861</v>
      </c>
      <c r="H49" t="s">
        <v>780</v>
      </c>
    </row>
    <row r="50" spans="1:8" x14ac:dyDescent="0.3">
      <c r="B50" t="s">
        <v>862</v>
      </c>
      <c r="D50" t="s">
        <v>435</v>
      </c>
    </row>
    <row r="51" spans="1:8" x14ac:dyDescent="0.3">
      <c r="B51" t="s">
        <v>434</v>
      </c>
      <c r="D51" t="s">
        <v>862</v>
      </c>
    </row>
    <row r="52" spans="1:8" x14ac:dyDescent="0.3">
      <c r="B52" t="s">
        <v>780</v>
      </c>
      <c r="D52" t="s">
        <v>780</v>
      </c>
    </row>
    <row r="54" spans="1:8" x14ac:dyDescent="0.3">
      <c r="A54" s="1" t="s">
        <v>881</v>
      </c>
    </row>
    <row r="55" spans="1:8" x14ac:dyDescent="0.3">
      <c r="A55" t="s">
        <v>882</v>
      </c>
    </row>
    <row r="56" spans="1:8" x14ac:dyDescent="0.3">
      <c r="A56" t="s">
        <v>883</v>
      </c>
    </row>
    <row r="58" spans="1:8" x14ac:dyDescent="0.3">
      <c r="A58" s="1" t="s">
        <v>538</v>
      </c>
    </row>
    <row r="59" spans="1:8" x14ac:dyDescent="0.3">
      <c r="A59" s="3" t="s">
        <v>884</v>
      </c>
      <c r="B59" s="3" t="s">
        <v>888</v>
      </c>
      <c r="C59" s="3" t="s">
        <v>889</v>
      </c>
    </row>
    <row r="60" spans="1:8" x14ac:dyDescent="0.3">
      <c r="A60" t="s">
        <v>885</v>
      </c>
      <c r="B60" t="s">
        <v>885</v>
      </c>
      <c r="C60" t="s">
        <v>885</v>
      </c>
    </row>
    <row r="62" spans="1:8" x14ac:dyDescent="0.3">
      <c r="A62" s="1" t="s">
        <v>890</v>
      </c>
    </row>
    <row r="63" spans="1:8" x14ac:dyDescent="0.3">
      <c r="A63" s="3" t="s">
        <v>396</v>
      </c>
    </row>
    <row r="64" spans="1:8" x14ac:dyDescent="0.3">
      <c r="A64" t="s">
        <v>397</v>
      </c>
    </row>
    <row r="66" spans="1:11" x14ac:dyDescent="0.3">
      <c r="A66" s="1" t="s">
        <v>395</v>
      </c>
    </row>
    <row r="67" spans="1:11" x14ac:dyDescent="0.3">
      <c r="A67" s="3" t="s">
        <v>891</v>
      </c>
      <c r="B67" s="3" t="s">
        <v>406</v>
      </c>
      <c r="C67" s="3" t="s">
        <v>408</v>
      </c>
      <c r="D67" s="3" t="s">
        <v>402</v>
      </c>
      <c r="E67" s="3" t="s">
        <v>894</v>
      </c>
      <c r="F67" s="3" t="s">
        <v>396</v>
      </c>
      <c r="G67" s="3" t="s">
        <v>895</v>
      </c>
      <c r="H67" s="3" t="s">
        <v>896</v>
      </c>
      <c r="I67" s="3" t="s">
        <v>426</v>
      </c>
      <c r="J67" s="304" t="s">
        <v>429</v>
      </c>
      <c r="K67" s="3" t="s">
        <v>898</v>
      </c>
    </row>
    <row r="68" spans="1:11" x14ac:dyDescent="0.3">
      <c r="A68" t="s">
        <v>420</v>
      </c>
      <c r="B68" t="s">
        <v>850</v>
      </c>
      <c r="C68" t="s">
        <v>403</v>
      </c>
      <c r="D68" t="s">
        <v>403</v>
      </c>
      <c r="E68" t="s">
        <v>403</v>
      </c>
      <c r="F68" t="s">
        <v>403</v>
      </c>
      <c r="G68" t="s">
        <v>403</v>
      </c>
      <c r="H68" t="s">
        <v>897</v>
      </c>
      <c r="I68" s="302" t="s">
        <v>397</v>
      </c>
      <c r="J68" s="302" t="s">
        <v>397</v>
      </c>
      <c r="K68" t="s">
        <v>850</v>
      </c>
    </row>
    <row r="69" spans="1:11" x14ac:dyDescent="0.3">
      <c r="B69" t="s">
        <v>420</v>
      </c>
      <c r="C69" t="s">
        <v>892</v>
      </c>
      <c r="D69" t="s">
        <v>436</v>
      </c>
      <c r="E69" t="s">
        <v>436</v>
      </c>
      <c r="F69" t="s">
        <v>436</v>
      </c>
      <c r="G69" t="s">
        <v>436</v>
      </c>
      <c r="H69" t="s">
        <v>403</v>
      </c>
      <c r="K69" t="s">
        <v>420</v>
      </c>
    </row>
    <row r="70" spans="1:11" x14ac:dyDescent="0.3">
      <c r="C70" t="s">
        <v>893</v>
      </c>
      <c r="D70" t="s">
        <v>397</v>
      </c>
      <c r="F70" t="s">
        <v>397</v>
      </c>
      <c r="H70" t="s">
        <v>436</v>
      </c>
    </row>
    <row r="71" spans="1:11" x14ac:dyDescent="0.3">
      <c r="C71" t="s">
        <v>436</v>
      </c>
      <c r="H71" t="s">
        <v>397</v>
      </c>
    </row>
    <row r="72" spans="1:11" x14ac:dyDescent="0.3">
      <c r="C72" t="s">
        <v>397</v>
      </c>
    </row>
    <row r="74" spans="1:11" x14ac:dyDescent="0.3">
      <c r="A74" s="1" t="s">
        <v>899</v>
      </c>
    </row>
    <row r="75" spans="1:11" x14ac:dyDescent="0.3">
      <c r="A75" s="3" t="s">
        <v>891</v>
      </c>
      <c r="B75" s="3" t="s">
        <v>901</v>
      </c>
      <c r="C75" s="3" t="s">
        <v>902</v>
      </c>
    </row>
    <row r="76" spans="1:11" x14ac:dyDescent="0.3">
      <c r="A76" t="s">
        <v>900</v>
      </c>
      <c r="B76" t="s">
        <v>409</v>
      </c>
      <c r="C76" t="s">
        <v>900</v>
      </c>
    </row>
    <row r="78" spans="1:11" x14ac:dyDescent="0.3">
      <c r="A78" s="1" t="s">
        <v>404</v>
      </c>
    </row>
    <row r="79" spans="1:11" x14ac:dyDescent="0.3">
      <c r="A79" s="3" t="s">
        <v>408</v>
      </c>
      <c r="B79" s="3" t="s">
        <v>896</v>
      </c>
      <c r="C79" s="3" t="s">
        <v>405</v>
      </c>
      <c r="D79" s="3" t="s">
        <v>898</v>
      </c>
    </row>
    <row r="80" spans="1:11" x14ac:dyDescent="0.3">
      <c r="A80" t="s">
        <v>409</v>
      </c>
      <c r="B80" t="s">
        <v>904</v>
      </c>
      <c r="C80" t="s">
        <v>891</v>
      </c>
      <c r="D80" t="s">
        <v>903</v>
      </c>
    </row>
    <row r="81" spans="1:4" x14ac:dyDescent="0.3">
      <c r="A81" t="s">
        <v>903</v>
      </c>
      <c r="B81" t="s">
        <v>409</v>
      </c>
      <c r="C81" t="s">
        <v>406</v>
      </c>
      <c r="D81" t="s">
        <v>409</v>
      </c>
    </row>
    <row r="82" spans="1:4" x14ac:dyDescent="0.3">
      <c r="C82" t="s">
        <v>402</v>
      </c>
    </row>
    <row r="83" spans="1:4" x14ac:dyDescent="0.3">
      <c r="C83" t="s">
        <v>396</v>
      </c>
    </row>
    <row r="84" spans="1:4" x14ac:dyDescent="0.3">
      <c r="C84" t="s">
        <v>895</v>
      </c>
    </row>
    <row r="86" spans="1:4" x14ac:dyDescent="0.3">
      <c r="A86" s="1" t="s">
        <v>905</v>
      </c>
    </row>
    <row r="87" spans="1:4" x14ac:dyDescent="0.3">
      <c r="A87" s="3" t="s">
        <v>408</v>
      </c>
      <c r="B87" s="3" t="s">
        <v>896</v>
      </c>
    </row>
    <row r="88" spans="1:4" x14ac:dyDescent="0.3">
      <c r="A88" t="s">
        <v>906</v>
      </c>
      <c r="B88" t="s">
        <v>409</v>
      </c>
    </row>
    <row r="89" spans="1:4" x14ac:dyDescent="0.3">
      <c r="A89" t="s">
        <v>409</v>
      </c>
    </row>
    <row r="90" spans="1:4" x14ac:dyDescent="0.3">
      <c r="A90" t="s">
        <v>903</v>
      </c>
    </row>
    <row r="91" spans="1:4" x14ac:dyDescent="0.3">
      <c r="A91" t="s">
        <v>907</v>
      </c>
    </row>
  </sheetData>
  <phoneticPr fontId="12" type="noConversion"/>
  <pageMargins left="0.7" right="0.7" top="0.75" bottom="0.75" header="0.3" footer="0.3"/>
  <pageSetup orientation="portrait" r:id="rId1"/>
  <legacyDrawing r:id="rId2"/>
  <tableParts count="12">
    <tablePart r:id="rId3"/>
    <tablePart r:id="rId4"/>
    <tablePart r:id="rId5"/>
    <tablePart r:id="rId6"/>
    <tablePart r:id="rId7"/>
    <tablePart r:id="rId8"/>
    <tablePart r:id="rId9"/>
    <tablePart r:id="rId10"/>
    <tablePart r:id="rId11"/>
    <tablePart r:id="rId12"/>
    <tablePart r:id="rId13"/>
    <tablePart r:id="rId14"/>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82932-2AA6-45A9-9698-64548EEFD0B7}">
  <sheetPr>
    <tabColor theme="5" tint="0.79998168889431442"/>
  </sheetPr>
  <dimension ref="A1:K23"/>
  <sheetViews>
    <sheetView showGridLines="0" workbookViewId="0">
      <pane ySplit="4" topLeftCell="A5" activePane="bottomLeft" state="frozen"/>
      <selection pane="bottomLeft" activeCell="A3" sqref="A3"/>
    </sheetView>
  </sheetViews>
  <sheetFormatPr defaultColWidth="8.88671875" defaultRowHeight="14.4" x14ac:dyDescent="0.3"/>
  <cols>
    <col min="1" max="1" width="25.109375" style="11" customWidth="1"/>
    <col min="2" max="2" width="8.88671875" style="14"/>
    <col min="3" max="3" width="80" style="11" customWidth="1"/>
    <col min="4" max="16384" width="8.88671875" style="14"/>
  </cols>
  <sheetData>
    <row r="1" spans="1:11" customFormat="1" ht="21" x14ac:dyDescent="0.4">
      <c r="A1" s="283" t="s">
        <v>934</v>
      </c>
      <c r="C1" s="204" t="s">
        <v>533</v>
      </c>
      <c r="D1" s="14"/>
      <c r="F1" s="58"/>
      <c r="K1" s="302"/>
    </row>
    <row r="2" spans="1:11" x14ac:dyDescent="0.3">
      <c r="A2" s="95" t="s">
        <v>935</v>
      </c>
    </row>
    <row r="4" spans="1:11" ht="18" x14ac:dyDescent="0.3">
      <c r="A4" s="21" t="s">
        <v>936</v>
      </c>
      <c r="B4" s="20" t="s">
        <v>937</v>
      </c>
      <c r="C4" s="21" t="s">
        <v>269</v>
      </c>
    </row>
    <row r="6" spans="1:11" x14ac:dyDescent="0.3">
      <c r="A6" s="37" t="s">
        <v>938</v>
      </c>
      <c r="B6" s="23"/>
      <c r="C6" s="24"/>
    </row>
    <row r="7" spans="1:11" x14ac:dyDescent="0.3">
      <c r="A7" s="559" t="s">
        <v>939</v>
      </c>
      <c r="B7" s="560">
        <v>1000</v>
      </c>
      <c r="C7" s="559" t="s">
        <v>940</v>
      </c>
    </row>
    <row r="9" spans="1:11" x14ac:dyDescent="0.3">
      <c r="A9" s="37" t="s">
        <v>112</v>
      </c>
      <c r="B9" s="23"/>
      <c r="C9" s="24"/>
    </row>
    <row r="10" spans="1:11" ht="28.8" x14ac:dyDescent="0.3">
      <c r="A10" s="559" t="s">
        <v>941</v>
      </c>
      <c r="B10" s="561">
        <v>0.4</v>
      </c>
      <c r="C10" s="559" t="s">
        <v>942</v>
      </c>
    </row>
    <row r="11" spans="1:11" ht="28.8" x14ac:dyDescent="0.3">
      <c r="A11" s="154" t="s">
        <v>943</v>
      </c>
      <c r="B11" s="166">
        <v>0.25</v>
      </c>
      <c r="C11" s="154" t="s">
        <v>942</v>
      </c>
    </row>
    <row r="13" spans="1:11" x14ac:dyDescent="0.3">
      <c r="A13" s="37" t="s">
        <v>214</v>
      </c>
      <c r="B13" s="22"/>
      <c r="C13" s="24"/>
    </row>
    <row r="14" spans="1:11" x14ac:dyDescent="0.3">
      <c r="A14" s="559" t="s">
        <v>944</v>
      </c>
      <c r="B14" s="560">
        <v>365</v>
      </c>
      <c r="C14" s="559" t="s">
        <v>945</v>
      </c>
    </row>
    <row r="15" spans="1:11" x14ac:dyDescent="0.3">
      <c r="A15" s="154" t="s">
        <v>946</v>
      </c>
      <c r="B15" s="140">
        <v>7</v>
      </c>
      <c r="C15" s="154" t="s">
        <v>945</v>
      </c>
    </row>
    <row r="16" spans="1:11" ht="28.8" x14ac:dyDescent="0.3">
      <c r="A16" s="154" t="s">
        <v>947</v>
      </c>
      <c r="B16" s="140">
        <v>52</v>
      </c>
      <c r="C16" s="154" t="s">
        <v>948</v>
      </c>
    </row>
    <row r="17" spans="1:3" ht="28.8" x14ac:dyDescent="0.3">
      <c r="A17" s="154" t="s">
        <v>949</v>
      </c>
      <c r="B17" s="140">
        <v>0</v>
      </c>
      <c r="C17" s="154" t="s">
        <v>950</v>
      </c>
    </row>
    <row r="18" spans="1:3" ht="28.8" x14ac:dyDescent="0.3">
      <c r="A18" s="154" t="s">
        <v>951</v>
      </c>
      <c r="B18" s="140">
        <v>24</v>
      </c>
      <c r="C18" s="154" t="s">
        <v>950</v>
      </c>
    </row>
    <row r="19" spans="1:3" ht="28.8" x14ac:dyDescent="0.3">
      <c r="A19" s="154" t="s">
        <v>952</v>
      </c>
      <c r="B19" s="140">
        <v>0</v>
      </c>
      <c r="C19" s="154" t="s">
        <v>953</v>
      </c>
    </row>
    <row r="21" spans="1:3" x14ac:dyDescent="0.3">
      <c r="A21" s="37" t="s">
        <v>441</v>
      </c>
      <c r="B21" s="23"/>
      <c r="C21" s="24"/>
    </row>
    <row r="22" spans="1:3" ht="28.8" x14ac:dyDescent="0.3">
      <c r="A22" s="559" t="s">
        <v>954</v>
      </c>
      <c r="B22" s="561">
        <v>0.03</v>
      </c>
      <c r="C22" s="559" t="s">
        <v>955</v>
      </c>
    </row>
    <row r="23" spans="1:3" x14ac:dyDescent="0.3">
      <c r="C23" s="14"/>
    </row>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44A98-A3C5-4847-B568-9E2C08181F7E}">
  <sheetPr>
    <tabColor theme="5" tint="0.79998168889431442"/>
  </sheetPr>
  <dimension ref="A1:C6"/>
  <sheetViews>
    <sheetView workbookViewId="0">
      <pane ySplit="4" topLeftCell="A5" activePane="bottomLeft" state="frozen"/>
      <selection pane="bottomLeft" activeCell="A3" sqref="A3"/>
    </sheetView>
  </sheetViews>
  <sheetFormatPr defaultColWidth="8.88671875" defaultRowHeight="14.4" x14ac:dyDescent="0.3"/>
  <cols>
    <col min="1" max="1" width="11.6640625" style="607" customWidth="1"/>
    <col min="2" max="2" width="97.5546875" style="11" customWidth="1"/>
    <col min="3" max="3" width="18.44140625" style="11" customWidth="1"/>
    <col min="4" max="16384" width="8.88671875" style="11"/>
  </cols>
  <sheetData>
    <row r="1" spans="1:3" s="53" customFormat="1" ht="21" x14ac:dyDescent="0.4">
      <c r="A1" s="603" t="s">
        <v>956</v>
      </c>
      <c r="C1" s="204" t="s">
        <v>533</v>
      </c>
    </row>
    <row r="2" spans="1:3" s="53" customFormat="1" x14ac:dyDescent="0.3">
      <c r="A2" s="604" t="s">
        <v>957</v>
      </c>
    </row>
    <row r="3" spans="1:3" s="53" customFormat="1" x14ac:dyDescent="0.3">
      <c r="A3" s="605"/>
    </row>
    <row r="4" spans="1:3" s="350" customFormat="1" ht="28.8" x14ac:dyDescent="0.3">
      <c r="A4" s="606" t="s">
        <v>958</v>
      </c>
      <c r="B4" s="602" t="s">
        <v>959</v>
      </c>
      <c r="C4" s="7" t="s">
        <v>960</v>
      </c>
    </row>
    <row r="5" spans="1:3" x14ac:dyDescent="0.3">
      <c r="A5" s="607">
        <v>46204</v>
      </c>
      <c r="B5" s="11" t="s">
        <v>961</v>
      </c>
      <c r="C5" s="11" t="s">
        <v>962</v>
      </c>
    </row>
    <row r="6" spans="1:3" ht="72" x14ac:dyDescent="0.3">
      <c r="A6" s="607">
        <v>46209</v>
      </c>
      <c r="B6" s="11" t="s">
        <v>1248</v>
      </c>
      <c r="C6" s="11" t="s">
        <v>1249</v>
      </c>
    </row>
  </sheetData>
  <autoFilter ref="A4:C4" xr:uid="{5B544A98-A3C5-4847-B568-9E2C08181F7E}"/>
  <pageMargins left="0.7" right="0.7" top="0.75" bottom="0.75" header="0.3" footer="0.3"/>
  <pageSetup orientation="portrait" r:id="rId1"/>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51086-0086-4352-BCBE-370FEB671EED}">
  <sheetPr>
    <tabColor theme="5" tint="0.79998168889431442"/>
  </sheetPr>
  <dimension ref="A1:K7"/>
  <sheetViews>
    <sheetView workbookViewId="0">
      <selection activeCell="A4" sqref="A4"/>
    </sheetView>
  </sheetViews>
  <sheetFormatPr defaultRowHeight="14.4" x14ac:dyDescent="0.3"/>
  <cols>
    <col min="1" max="1" width="20.33203125" bestFit="1" customWidth="1"/>
    <col min="2" max="2" width="23.6640625" customWidth="1"/>
    <col min="3" max="3" width="15.109375" customWidth="1"/>
  </cols>
  <sheetData>
    <row r="1" spans="1:11" ht="21" x14ac:dyDescent="0.4">
      <c r="A1" s="283" t="s">
        <v>963</v>
      </c>
      <c r="C1" s="204" t="s">
        <v>533</v>
      </c>
      <c r="D1" s="14"/>
      <c r="F1" s="58"/>
      <c r="K1" s="302"/>
    </row>
    <row r="2" spans="1:11" s="14" customFormat="1" x14ac:dyDescent="0.3">
      <c r="A2" s="95" t="s">
        <v>964</v>
      </c>
      <c r="C2" s="11"/>
    </row>
    <row r="3" spans="1:11" x14ac:dyDescent="0.3">
      <c r="A3" t="s">
        <v>965</v>
      </c>
    </row>
    <row r="5" spans="1:11" x14ac:dyDescent="0.3">
      <c r="A5" s="1" t="s">
        <v>966</v>
      </c>
      <c r="B5" s="1" t="s">
        <v>967</v>
      </c>
      <c r="C5" s="1" t="s">
        <v>968</v>
      </c>
    </row>
    <row r="6" spans="1:11" x14ac:dyDescent="0.3">
      <c r="A6" t="s">
        <v>969</v>
      </c>
      <c r="B6" t="s">
        <v>970</v>
      </c>
      <c r="C6">
        <v>2536778761</v>
      </c>
    </row>
    <row r="7" spans="1:11" x14ac:dyDescent="0.3">
      <c r="A7" t="s">
        <v>178</v>
      </c>
      <c r="B7" t="s">
        <v>971</v>
      </c>
      <c r="C7">
        <v>2532784030</v>
      </c>
    </row>
  </sheetData>
  <pageMargins left="0.7" right="0.7" top="0.75" bottom="0.75" header="0.3" footer="0.3"/>
  <legacyDrawing r:id="rId1"/>
  <tableParts count="1">
    <tablePart r:id="rId2"/>
  </tablePart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495CD-3958-41CE-860F-9CFD41E69CBA}">
  <sheetPr>
    <tabColor rgb="FFFF3300"/>
  </sheetPr>
  <dimension ref="A1:K74"/>
  <sheetViews>
    <sheetView showGridLines="0" workbookViewId="0">
      <pane ySplit="7" topLeftCell="A8" activePane="bottomLeft" state="frozen"/>
      <selection pane="bottomLeft" activeCell="A6" sqref="A6"/>
    </sheetView>
  </sheetViews>
  <sheetFormatPr defaultColWidth="8.88671875" defaultRowHeight="14.4" x14ac:dyDescent="0.3"/>
  <cols>
    <col min="1" max="1" width="13.88671875" style="11" customWidth="1"/>
    <col min="2" max="2" width="24.6640625" style="11" bestFit="1" customWidth="1"/>
    <col min="3" max="3" width="26.33203125" style="11" customWidth="1"/>
    <col min="4" max="4" width="15.33203125" style="11" customWidth="1"/>
    <col min="5" max="5" width="43.88671875" style="11" customWidth="1"/>
    <col min="6" max="6" width="30" style="11" customWidth="1"/>
    <col min="7" max="7" width="49.44140625" style="11" customWidth="1"/>
    <col min="8" max="8" width="26.109375" style="14" customWidth="1"/>
    <col min="9" max="16384" width="8.88671875" style="14"/>
  </cols>
  <sheetData>
    <row r="1" spans="1:11" s="53" customFormat="1" ht="21" x14ac:dyDescent="0.4">
      <c r="A1" s="113" t="s">
        <v>972</v>
      </c>
      <c r="B1" s="350"/>
      <c r="C1" s="350"/>
      <c r="D1" s="350"/>
      <c r="E1" s="350"/>
      <c r="F1" s="204" t="s">
        <v>533</v>
      </c>
      <c r="G1" s="350"/>
      <c r="K1" s="204" t="s">
        <v>533</v>
      </c>
    </row>
    <row r="2" spans="1:11" s="53" customFormat="1" x14ac:dyDescent="0.3">
      <c r="A2" s="53" t="s">
        <v>973</v>
      </c>
      <c r="B2" s="350"/>
      <c r="C2" s="350"/>
      <c r="D2" s="350"/>
      <c r="E2" s="350"/>
      <c r="F2" s="350"/>
      <c r="G2" s="350"/>
    </row>
    <row r="3" spans="1:11" s="53" customFormat="1" x14ac:dyDescent="0.3">
      <c r="A3" s="53" t="s">
        <v>974</v>
      </c>
      <c r="B3" s="350"/>
      <c r="C3" s="350"/>
      <c r="D3" s="350"/>
      <c r="E3" s="350"/>
      <c r="F3" s="350"/>
      <c r="G3" s="350"/>
    </row>
    <row r="4" spans="1:11" s="53" customFormat="1" x14ac:dyDescent="0.3">
      <c r="A4" s="53" t="s">
        <v>975</v>
      </c>
      <c r="B4" s="350"/>
      <c r="C4" s="350"/>
      <c r="D4" s="350"/>
      <c r="E4" s="350"/>
      <c r="F4" s="350"/>
      <c r="G4" s="350"/>
    </row>
    <row r="5" spans="1:11" x14ac:dyDescent="0.3">
      <c r="A5" s="14" t="s">
        <v>976</v>
      </c>
    </row>
    <row r="6" spans="1:11" x14ac:dyDescent="0.3">
      <c r="A6" s="14"/>
    </row>
    <row r="7" spans="1:11" ht="28.8" x14ac:dyDescent="0.3">
      <c r="A7" s="528" t="s">
        <v>977</v>
      </c>
      <c r="B7" s="528" t="s">
        <v>978</v>
      </c>
      <c r="C7" s="528" t="s">
        <v>979</v>
      </c>
      <c r="D7" s="528" t="s">
        <v>980</v>
      </c>
      <c r="E7" s="528" t="s">
        <v>981</v>
      </c>
      <c r="F7" s="528" t="s">
        <v>982</v>
      </c>
      <c r="G7" s="528" t="s">
        <v>269</v>
      </c>
    </row>
    <row r="8" spans="1:11" x14ac:dyDescent="0.3">
      <c r="A8" s="154" t="s">
        <v>17</v>
      </c>
      <c r="B8" s="154" t="s">
        <v>188</v>
      </c>
      <c r="C8" s="154" t="s">
        <v>983</v>
      </c>
      <c r="D8" s="154" t="s">
        <v>984</v>
      </c>
      <c r="E8" s="529" t="s">
        <v>985</v>
      </c>
      <c r="F8" s="529" t="s">
        <v>986</v>
      </c>
      <c r="G8" s="154"/>
    </row>
    <row r="9" spans="1:11" x14ac:dyDescent="0.3">
      <c r="A9" s="154" t="s">
        <v>17</v>
      </c>
      <c r="B9" s="154" t="s">
        <v>186</v>
      </c>
      <c r="C9" s="154" t="s">
        <v>987</v>
      </c>
      <c r="D9" s="154" t="s">
        <v>984</v>
      </c>
      <c r="E9" s="529" t="s">
        <v>985</v>
      </c>
      <c r="F9" s="529" t="s">
        <v>986</v>
      </c>
      <c r="G9" s="154"/>
    </row>
    <row r="10" spans="1:11" ht="28.8" x14ac:dyDescent="0.3">
      <c r="A10" s="154" t="s">
        <v>18</v>
      </c>
      <c r="B10" s="154" t="s">
        <v>200</v>
      </c>
      <c r="C10" s="529" t="s">
        <v>985</v>
      </c>
      <c r="D10" s="529" t="s">
        <v>985</v>
      </c>
      <c r="E10" s="154" t="s">
        <v>988</v>
      </c>
      <c r="F10" s="154" t="s">
        <v>985</v>
      </c>
      <c r="G10" s="154"/>
    </row>
    <row r="11" spans="1:11" x14ac:dyDescent="0.3">
      <c r="A11" s="154" t="s">
        <v>18</v>
      </c>
      <c r="B11" s="154" t="s">
        <v>201</v>
      </c>
      <c r="C11" s="527" t="s">
        <v>989</v>
      </c>
      <c r="D11" s="154" t="s">
        <v>984</v>
      </c>
      <c r="E11" s="529" t="s">
        <v>985</v>
      </c>
      <c r="F11" s="529" t="s">
        <v>986</v>
      </c>
      <c r="G11" s="154"/>
    </row>
    <row r="12" spans="1:11" x14ac:dyDescent="0.3">
      <c r="A12" s="154" t="s">
        <v>18</v>
      </c>
      <c r="B12" s="154" t="s">
        <v>203</v>
      </c>
      <c r="C12" s="154" t="s">
        <v>990</v>
      </c>
      <c r="D12" s="154" t="s">
        <v>984</v>
      </c>
      <c r="E12" s="529" t="s">
        <v>985</v>
      </c>
      <c r="F12" s="529" t="s">
        <v>986</v>
      </c>
      <c r="G12" s="154"/>
    </row>
    <row r="13" spans="1:11" x14ac:dyDescent="0.3">
      <c r="A13" s="154" t="s">
        <v>18</v>
      </c>
      <c r="B13" s="154" t="s">
        <v>204</v>
      </c>
      <c r="C13" s="154" t="s">
        <v>991</v>
      </c>
      <c r="D13" s="154" t="s">
        <v>984</v>
      </c>
      <c r="E13" s="529" t="s">
        <v>985</v>
      </c>
      <c r="F13" s="529" t="s">
        <v>986</v>
      </c>
      <c r="G13" s="154"/>
    </row>
    <row r="14" spans="1:11" ht="28.8" x14ac:dyDescent="0.3">
      <c r="A14" s="154" t="s">
        <v>18</v>
      </c>
      <c r="B14" s="154" t="s">
        <v>205</v>
      </c>
      <c r="C14" s="529" t="s">
        <v>985</v>
      </c>
      <c r="D14" s="529" t="s">
        <v>985</v>
      </c>
      <c r="E14" s="529" t="s">
        <v>985</v>
      </c>
      <c r="F14" s="529" t="s">
        <v>992</v>
      </c>
      <c r="G14" s="154"/>
    </row>
    <row r="15" spans="1:11" ht="28.8" x14ac:dyDescent="0.3">
      <c r="A15" s="154" t="s">
        <v>18</v>
      </c>
      <c r="B15" s="154" t="s">
        <v>206</v>
      </c>
      <c r="C15" s="529" t="s">
        <v>985</v>
      </c>
      <c r="D15" s="529" t="s">
        <v>985</v>
      </c>
      <c r="E15" s="529" t="s">
        <v>985</v>
      </c>
      <c r="F15" s="529" t="s">
        <v>992</v>
      </c>
      <c r="G15" s="154"/>
    </row>
    <row r="16" spans="1:11" ht="28.8" x14ac:dyDescent="0.3">
      <c r="A16" s="154" t="s">
        <v>18</v>
      </c>
      <c r="B16" s="154" t="s">
        <v>207</v>
      </c>
      <c r="C16" s="529" t="s">
        <v>985</v>
      </c>
      <c r="D16" s="529" t="s">
        <v>985</v>
      </c>
      <c r="E16" s="529" t="s">
        <v>985</v>
      </c>
      <c r="F16" s="529" t="s">
        <v>992</v>
      </c>
      <c r="G16" s="154"/>
    </row>
    <row r="17" spans="1:7" ht="28.8" x14ac:dyDescent="0.3">
      <c r="A17" s="154" t="s">
        <v>18</v>
      </c>
      <c r="B17" s="154" t="s">
        <v>208</v>
      </c>
      <c r="C17" s="529" t="s">
        <v>985</v>
      </c>
      <c r="D17" s="529" t="s">
        <v>985</v>
      </c>
      <c r="E17" s="529" t="s">
        <v>985</v>
      </c>
      <c r="F17" s="529" t="s">
        <v>992</v>
      </c>
      <c r="G17" s="154"/>
    </row>
    <row r="18" spans="1:7" ht="28.8" x14ac:dyDescent="0.3">
      <c r="A18" s="154" t="s">
        <v>18</v>
      </c>
      <c r="B18" s="154" t="s">
        <v>209</v>
      </c>
      <c r="C18" s="529" t="s">
        <v>985</v>
      </c>
      <c r="D18" s="529" t="s">
        <v>985</v>
      </c>
      <c r="E18" s="529" t="s">
        <v>985</v>
      </c>
      <c r="F18" s="529" t="s">
        <v>992</v>
      </c>
      <c r="G18" s="154"/>
    </row>
    <row r="19" spans="1:7" ht="28.8" x14ac:dyDescent="0.3">
      <c r="A19" s="154" t="s">
        <v>18</v>
      </c>
      <c r="B19" s="154" t="s">
        <v>210</v>
      </c>
      <c r="C19" s="529" t="s">
        <v>985</v>
      </c>
      <c r="D19" s="529" t="s">
        <v>985</v>
      </c>
      <c r="E19" s="529" t="s">
        <v>985</v>
      </c>
      <c r="F19" s="529" t="s">
        <v>992</v>
      </c>
      <c r="G19" s="154"/>
    </row>
    <row r="20" spans="1:7" ht="28.8" x14ac:dyDescent="0.3">
      <c r="A20" s="154" t="s">
        <v>18</v>
      </c>
      <c r="B20" s="154" t="s">
        <v>211</v>
      </c>
      <c r="C20" s="529" t="s">
        <v>985</v>
      </c>
      <c r="D20" s="529" t="s">
        <v>985</v>
      </c>
      <c r="E20" s="529" t="s">
        <v>985</v>
      </c>
      <c r="F20" s="529" t="s">
        <v>992</v>
      </c>
      <c r="G20" s="154"/>
    </row>
    <row r="21" spans="1:7" ht="28.8" x14ac:dyDescent="0.3">
      <c r="A21" s="154" t="s">
        <v>18</v>
      </c>
      <c r="B21" s="154" t="s">
        <v>212</v>
      </c>
      <c r="C21" s="529" t="s">
        <v>985</v>
      </c>
      <c r="D21" s="529" t="s">
        <v>985</v>
      </c>
      <c r="E21" s="529" t="s">
        <v>985</v>
      </c>
      <c r="F21" s="529" t="s">
        <v>993</v>
      </c>
      <c r="G21" s="154"/>
    </row>
    <row r="22" spans="1:7" x14ac:dyDescent="0.3">
      <c r="A22" s="154" t="s">
        <v>19</v>
      </c>
      <c r="B22" s="154" t="s">
        <v>285</v>
      </c>
      <c r="C22" s="154" t="s">
        <v>994</v>
      </c>
      <c r="D22" s="154" t="s">
        <v>984</v>
      </c>
      <c r="E22" s="529" t="s">
        <v>985</v>
      </c>
      <c r="F22" s="529" t="s">
        <v>986</v>
      </c>
      <c r="G22" s="154"/>
    </row>
    <row r="23" spans="1:7" x14ac:dyDescent="0.3">
      <c r="A23" s="154" t="s">
        <v>19</v>
      </c>
      <c r="B23" s="154" t="s">
        <v>995</v>
      </c>
      <c r="C23" s="154" t="s">
        <v>996</v>
      </c>
      <c r="D23" s="154" t="s">
        <v>927</v>
      </c>
      <c r="E23" s="529" t="s">
        <v>985</v>
      </c>
      <c r="F23" s="529" t="s">
        <v>986</v>
      </c>
      <c r="G23" s="154"/>
    </row>
    <row r="24" spans="1:7" x14ac:dyDescent="0.3">
      <c r="A24" s="154" t="s">
        <v>19</v>
      </c>
      <c r="B24" s="154" t="s">
        <v>997</v>
      </c>
      <c r="C24" s="154" t="s">
        <v>998</v>
      </c>
      <c r="D24" s="154" t="s">
        <v>927</v>
      </c>
      <c r="E24" s="529" t="s">
        <v>985</v>
      </c>
      <c r="F24" s="529" t="s">
        <v>986</v>
      </c>
      <c r="G24" s="154" t="s">
        <v>999</v>
      </c>
    </row>
    <row r="25" spans="1:7" ht="28.8" x14ac:dyDescent="0.3">
      <c r="A25" s="154" t="s">
        <v>19</v>
      </c>
      <c r="B25" s="154" t="s">
        <v>997</v>
      </c>
      <c r="C25" s="154" t="s">
        <v>1000</v>
      </c>
      <c r="D25" s="154" t="s">
        <v>927</v>
      </c>
      <c r="E25" s="529" t="s">
        <v>985</v>
      </c>
      <c r="F25" s="529" t="s">
        <v>986</v>
      </c>
      <c r="G25" s="154" t="s">
        <v>1001</v>
      </c>
    </row>
    <row r="26" spans="1:7" x14ac:dyDescent="0.3">
      <c r="A26" s="154" t="s">
        <v>19</v>
      </c>
      <c r="B26" s="154" t="s">
        <v>997</v>
      </c>
      <c r="C26" s="154" t="s">
        <v>1002</v>
      </c>
      <c r="D26" s="154" t="s">
        <v>927</v>
      </c>
      <c r="E26" s="529" t="s">
        <v>985</v>
      </c>
      <c r="F26" s="529" t="s">
        <v>986</v>
      </c>
      <c r="G26" s="154" t="s">
        <v>1003</v>
      </c>
    </row>
    <row r="27" spans="1:7" ht="28.8" x14ac:dyDescent="0.3">
      <c r="A27" s="154" t="s">
        <v>19</v>
      </c>
      <c r="B27" s="154" t="s">
        <v>997</v>
      </c>
      <c r="C27" s="154" t="s">
        <v>1004</v>
      </c>
      <c r="D27" s="154" t="s">
        <v>927</v>
      </c>
      <c r="E27" s="529" t="s">
        <v>985</v>
      </c>
      <c r="F27" s="529" t="s">
        <v>986</v>
      </c>
      <c r="G27" s="154" t="s">
        <v>1005</v>
      </c>
    </row>
    <row r="28" spans="1:7" x14ac:dyDescent="0.3">
      <c r="A28" s="154" t="s">
        <v>19</v>
      </c>
      <c r="B28" s="154" t="s">
        <v>997</v>
      </c>
      <c r="C28" s="154" t="s">
        <v>1006</v>
      </c>
      <c r="D28" s="154" t="s">
        <v>927</v>
      </c>
      <c r="E28" s="529" t="s">
        <v>985</v>
      </c>
      <c r="F28" s="529" t="s">
        <v>986</v>
      </c>
      <c r="G28" s="154" t="s">
        <v>1007</v>
      </c>
    </row>
    <row r="29" spans="1:7" x14ac:dyDescent="0.3">
      <c r="A29" s="154" t="s">
        <v>19</v>
      </c>
      <c r="B29" s="154" t="s">
        <v>997</v>
      </c>
      <c r="C29" s="154" t="s">
        <v>1008</v>
      </c>
      <c r="D29" s="154" t="s">
        <v>927</v>
      </c>
      <c r="E29" s="529" t="s">
        <v>985</v>
      </c>
      <c r="F29" s="529" t="s">
        <v>986</v>
      </c>
      <c r="G29" s="154" t="s">
        <v>1009</v>
      </c>
    </row>
    <row r="30" spans="1:7" x14ac:dyDescent="0.3">
      <c r="A30" s="154" t="s">
        <v>19</v>
      </c>
      <c r="B30" s="154" t="s">
        <v>997</v>
      </c>
      <c r="C30" s="154" t="s">
        <v>1010</v>
      </c>
      <c r="D30" s="154" t="s">
        <v>927</v>
      </c>
      <c r="E30" s="529" t="s">
        <v>985</v>
      </c>
      <c r="F30" s="529" t="s">
        <v>986</v>
      </c>
      <c r="G30" s="154" t="s">
        <v>1011</v>
      </c>
    </row>
    <row r="31" spans="1:7" x14ac:dyDescent="0.3">
      <c r="A31" s="154" t="s">
        <v>19</v>
      </c>
      <c r="B31" s="154" t="s">
        <v>997</v>
      </c>
      <c r="C31" s="154" t="s">
        <v>1012</v>
      </c>
      <c r="D31" s="154" t="s">
        <v>927</v>
      </c>
      <c r="E31" s="529" t="s">
        <v>985</v>
      </c>
      <c r="F31" s="529" t="s">
        <v>986</v>
      </c>
      <c r="G31" s="154" t="s">
        <v>1013</v>
      </c>
    </row>
    <row r="32" spans="1:7" x14ac:dyDescent="0.3">
      <c r="A32" s="154" t="s">
        <v>19</v>
      </c>
      <c r="B32" s="154" t="s">
        <v>997</v>
      </c>
      <c r="C32" s="154" t="s">
        <v>1014</v>
      </c>
      <c r="D32" s="154" t="s">
        <v>927</v>
      </c>
      <c r="E32" s="529" t="s">
        <v>985</v>
      </c>
      <c r="F32" s="529" t="s">
        <v>986</v>
      </c>
      <c r="G32" s="154" t="s">
        <v>1015</v>
      </c>
    </row>
    <row r="33" spans="1:7" x14ac:dyDescent="0.3">
      <c r="A33" s="154" t="s">
        <v>19</v>
      </c>
      <c r="B33" s="154" t="s">
        <v>997</v>
      </c>
      <c r="C33" s="154" t="s">
        <v>1016</v>
      </c>
      <c r="D33" s="154" t="s">
        <v>927</v>
      </c>
      <c r="E33" s="529" t="s">
        <v>985</v>
      </c>
      <c r="F33" s="529" t="s">
        <v>986</v>
      </c>
      <c r="G33" s="154" t="s">
        <v>1017</v>
      </c>
    </row>
    <row r="34" spans="1:7" x14ac:dyDescent="0.3">
      <c r="A34" s="154" t="s">
        <v>19</v>
      </c>
      <c r="B34" s="154" t="s">
        <v>997</v>
      </c>
      <c r="C34" s="154" t="s">
        <v>1018</v>
      </c>
      <c r="D34" s="154" t="s">
        <v>927</v>
      </c>
      <c r="E34" s="529" t="s">
        <v>985</v>
      </c>
      <c r="F34" s="529" t="s">
        <v>986</v>
      </c>
      <c r="G34" s="154" t="s">
        <v>1019</v>
      </c>
    </row>
    <row r="35" spans="1:7" ht="28.8" x14ac:dyDescent="0.3">
      <c r="A35" s="154" t="s">
        <v>19</v>
      </c>
      <c r="B35" s="154" t="s">
        <v>997</v>
      </c>
      <c r="C35" s="154" t="s">
        <v>917</v>
      </c>
      <c r="D35" s="154" t="s">
        <v>984</v>
      </c>
      <c r="E35" s="529" t="s">
        <v>985</v>
      </c>
      <c r="F35" s="529" t="s">
        <v>986</v>
      </c>
      <c r="G35" s="154" t="s">
        <v>1020</v>
      </c>
    </row>
    <row r="36" spans="1:7" x14ac:dyDescent="0.3">
      <c r="A36" s="154" t="s">
        <v>19</v>
      </c>
      <c r="B36" s="154" t="s">
        <v>1021</v>
      </c>
      <c r="C36" s="154" t="s">
        <v>1022</v>
      </c>
      <c r="D36" s="154" t="s">
        <v>927</v>
      </c>
      <c r="E36" s="529" t="s">
        <v>985</v>
      </c>
      <c r="F36" s="529" t="s">
        <v>986</v>
      </c>
      <c r="G36" s="154" t="s">
        <v>1023</v>
      </c>
    </row>
    <row r="37" spans="1:7" x14ac:dyDescent="0.3">
      <c r="A37" s="154" t="s">
        <v>19</v>
      </c>
      <c r="B37" s="154" t="s">
        <v>1021</v>
      </c>
      <c r="C37" s="154" t="s">
        <v>1024</v>
      </c>
      <c r="D37" s="154" t="s">
        <v>927</v>
      </c>
      <c r="E37" s="529" t="s">
        <v>985</v>
      </c>
      <c r="F37" s="529" t="s">
        <v>986</v>
      </c>
      <c r="G37" s="154" t="s">
        <v>1025</v>
      </c>
    </row>
    <row r="38" spans="1:7" x14ac:dyDescent="0.3">
      <c r="A38" s="154" t="s">
        <v>19</v>
      </c>
      <c r="B38" s="154" t="s">
        <v>1021</v>
      </c>
      <c r="C38" s="154" t="s">
        <v>1026</v>
      </c>
      <c r="D38" s="154" t="s">
        <v>927</v>
      </c>
      <c r="E38" s="529" t="s">
        <v>985</v>
      </c>
      <c r="F38" s="529" t="s">
        <v>986</v>
      </c>
      <c r="G38" s="154" t="s">
        <v>1027</v>
      </c>
    </row>
    <row r="39" spans="1:7" x14ac:dyDescent="0.3">
      <c r="A39" s="154" t="s">
        <v>19</v>
      </c>
      <c r="B39" s="154" t="s">
        <v>1021</v>
      </c>
      <c r="C39" s="154" t="s">
        <v>1028</v>
      </c>
      <c r="D39" s="154" t="s">
        <v>927</v>
      </c>
      <c r="E39" s="529" t="s">
        <v>985</v>
      </c>
      <c r="F39" s="529" t="s">
        <v>986</v>
      </c>
      <c r="G39" s="154" t="s">
        <v>1029</v>
      </c>
    </row>
    <row r="40" spans="1:7" x14ac:dyDescent="0.3">
      <c r="A40" s="154" t="s">
        <v>19</v>
      </c>
      <c r="B40" s="154" t="s">
        <v>1021</v>
      </c>
      <c r="C40" s="154" t="s">
        <v>1030</v>
      </c>
      <c r="D40" s="154" t="s">
        <v>927</v>
      </c>
      <c r="E40" s="529" t="s">
        <v>985</v>
      </c>
      <c r="F40" s="529" t="s">
        <v>986</v>
      </c>
      <c r="G40" s="154" t="s">
        <v>1031</v>
      </c>
    </row>
    <row r="41" spans="1:7" x14ac:dyDescent="0.3">
      <c r="A41" s="154" t="s">
        <v>19</v>
      </c>
      <c r="B41" s="154" t="s">
        <v>1021</v>
      </c>
      <c r="C41" s="154" t="s">
        <v>1032</v>
      </c>
      <c r="D41" s="154" t="s">
        <v>927</v>
      </c>
      <c r="E41" s="529" t="s">
        <v>985</v>
      </c>
      <c r="F41" s="529" t="s">
        <v>986</v>
      </c>
      <c r="G41" s="154" t="s">
        <v>1033</v>
      </c>
    </row>
    <row r="42" spans="1:7" x14ac:dyDescent="0.3">
      <c r="A42" s="154" t="s">
        <v>19</v>
      </c>
      <c r="B42" s="154" t="s">
        <v>1021</v>
      </c>
      <c r="C42" s="154" t="s">
        <v>1034</v>
      </c>
      <c r="D42" s="154" t="s">
        <v>927</v>
      </c>
      <c r="E42" s="529" t="s">
        <v>985</v>
      </c>
      <c r="F42" s="529" t="s">
        <v>986</v>
      </c>
      <c r="G42" s="154" t="s">
        <v>1035</v>
      </c>
    </row>
    <row r="43" spans="1:7" x14ac:dyDescent="0.3">
      <c r="A43" s="154" t="s">
        <v>19</v>
      </c>
      <c r="B43" s="154" t="s">
        <v>1021</v>
      </c>
      <c r="C43" s="154" t="s">
        <v>1036</v>
      </c>
      <c r="D43" s="154" t="s">
        <v>927</v>
      </c>
      <c r="E43" s="529" t="s">
        <v>985</v>
      </c>
      <c r="F43" s="529" t="s">
        <v>986</v>
      </c>
      <c r="G43" s="154" t="s">
        <v>1037</v>
      </c>
    </row>
    <row r="44" spans="1:7" x14ac:dyDescent="0.3">
      <c r="A44" s="154" t="s">
        <v>19</v>
      </c>
      <c r="B44" s="154" t="s">
        <v>1021</v>
      </c>
      <c r="C44" s="154" t="s">
        <v>1038</v>
      </c>
      <c r="D44" s="154" t="s">
        <v>927</v>
      </c>
      <c r="E44" s="529" t="s">
        <v>985</v>
      </c>
      <c r="F44" s="529" t="s">
        <v>986</v>
      </c>
      <c r="G44" s="154" t="s">
        <v>1039</v>
      </c>
    </row>
    <row r="45" spans="1:7" x14ac:dyDescent="0.3">
      <c r="A45" s="154" t="s">
        <v>19</v>
      </c>
      <c r="B45" s="154" t="s">
        <v>1021</v>
      </c>
      <c r="C45" s="154" t="s">
        <v>1040</v>
      </c>
      <c r="D45" s="154" t="s">
        <v>927</v>
      </c>
      <c r="E45" s="529" t="s">
        <v>985</v>
      </c>
      <c r="F45" s="529" t="s">
        <v>986</v>
      </c>
      <c r="G45" s="154" t="s">
        <v>1041</v>
      </c>
    </row>
    <row r="46" spans="1:7" x14ac:dyDescent="0.3">
      <c r="A46" s="154" t="s">
        <v>19</v>
      </c>
      <c r="B46" s="154" t="s">
        <v>1021</v>
      </c>
      <c r="C46" s="154" t="s">
        <v>1042</v>
      </c>
      <c r="D46" s="154" t="s">
        <v>927</v>
      </c>
      <c r="E46" s="529" t="s">
        <v>985</v>
      </c>
      <c r="F46" s="529" t="s">
        <v>986</v>
      </c>
      <c r="G46" s="154" t="s">
        <v>1043</v>
      </c>
    </row>
    <row r="47" spans="1:7" ht="28.8" x14ac:dyDescent="0.3">
      <c r="A47" s="154" t="s">
        <v>19</v>
      </c>
      <c r="B47" s="154" t="s">
        <v>1021</v>
      </c>
      <c r="C47" s="154" t="s">
        <v>917</v>
      </c>
      <c r="D47" s="154" t="s">
        <v>984</v>
      </c>
      <c r="E47" s="529" t="s">
        <v>985</v>
      </c>
      <c r="F47" s="529" t="s">
        <v>986</v>
      </c>
      <c r="G47" s="154" t="s">
        <v>1020</v>
      </c>
    </row>
    <row r="48" spans="1:7" ht="129.6" x14ac:dyDescent="0.3">
      <c r="A48" s="154" t="s">
        <v>19</v>
      </c>
      <c r="B48" s="154" t="s">
        <v>1044</v>
      </c>
      <c r="C48" s="154" t="s">
        <v>1045</v>
      </c>
      <c r="D48" s="154" t="s">
        <v>794</v>
      </c>
      <c r="E48" s="154" t="s">
        <v>1046</v>
      </c>
      <c r="F48" s="529" t="s">
        <v>986</v>
      </c>
      <c r="G48" s="154" t="s">
        <v>1047</v>
      </c>
    </row>
    <row r="49" spans="1:7" ht="28.8" x14ac:dyDescent="0.3">
      <c r="A49" s="154" t="s">
        <v>19</v>
      </c>
      <c r="B49" s="154" t="s">
        <v>1048</v>
      </c>
      <c r="C49" s="154" t="s">
        <v>985</v>
      </c>
      <c r="D49" s="154" t="s">
        <v>985</v>
      </c>
      <c r="E49" s="154" t="s">
        <v>985</v>
      </c>
      <c r="F49" s="154" t="s">
        <v>1049</v>
      </c>
      <c r="G49" s="154"/>
    </row>
    <row r="50" spans="1:7" ht="28.8" x14ac:dyDescent="0.3">
      <c r="A50" s="154" t="s">
        <v>19</v>
      </c>
      <c r="B50" s="154" t="s">
        <v>1050</v>
      </c>
      <c r="C50" s="154" t="s">
        <v>985</v>
      </c>
      <c r="D50" s="154" t="s">
        <v>985</v>
      </c>
      <c r="E50" s="154" t="s">
        <v>985</v>
      </c>
      <c r="F50" s="154" t="s">
        <v>1049</v>
      </c>
      <c r="G50" s="154"/>
    </row>
    <row r="51" spans="1:7" ht="28.8" x14ac:dyDescent="0.3">
      <c r="A51" s="154" t="s">
        <v>19</v>
      </c>
      <c r="B51" s="154" t="s">
        <v>1051</v>
      </c>
      <c r="C51" s="154" t="s">
        <v>1052</v>
      </c>
      <c r="D51" s="154" t="s">
        <v>927</v>
      </c>
      <c r="E51" s="154" t="s">
        <v>1053</v>
      </c>
      <c r="F51" s="529" t="s">
        <v>986</v>
      </c>
      <c r="G51" s="154"/>
    </row>
    <row r="52" spans="1:7" ht="28.8" x14ac:dyDescent="0.3">
      <c r="A52" s="154" t="s">
        <v>19</v>
      </c>
      <c r="B52" s="154" t="s">
        <v>1054</v>
      </c>
      <c r="C52" s="526"/>
      <c r="D52" s="526"/>
      <c r="E52" s="154" t="s">
        <v>1053</v>
      </c>
      <c r="F52" s="526"/>
      <c r="G52" s="154"/>
    </row>
    <row r="53" spans="1:7" x14ac:dyDescent="0.3">
      <c r="A53" s="154" t="s">
        <v>19</v>
      </c>
      <c r="B53" s="154" t="s">
        <v>1054</v>
      </c>
      <c r="C53" s="154" t="s">
        <v>1006</v>
      </c>
      <c r="D53" s="154" t="s">
        <v>927</v>
      </c>
      <c r="E53" s="526"/>
      <c r="F53" s="529" t="s">
        <v>986</v>
      </c>
      <c r="G53" s="154" t="s">
        <v>1007</v>
      </c>
    </row>
    <row r="54" spans="1:7" x14ac:dyDescent="0.3">
      <c r="A54" s="154" t="s">
        <v>19</v>
      </c>
      <c r="B54" s="154" t="s">
        <v>1054</v>
      </c>
      <c r="C54" s="154" t="s">
        <v>1055</v>
      </c>
      <c r="D54" s="154" t="s">
        <v>927</v>
      </c>
      <c r="E54" s="526"/>
      <c r="F54" s="529" t="s">
        <v>986</v>
      </c>
      <c r="G54" s="154" t="s">
        <v>1056</v>
      </c>
    </row>
    <row r="55" spans="1:7" ht="28.8" x14ac:dyDescent="0.3">
      <c r="A55" s="154" t="s">
        <v>19</v>
      </c>
      <c r="B55" s="154" t="s">
        <v>1054</v>
      </c>
      <c r="C55" s="154" t="s">
        <v>917</v>
      </c>
      <c r="D55" s="154" t="s">
        <v>984</v>
      </c>
      <c r="E55" s="526"/>
      <c r="F55" s="529" t="s">
        <v>986</v>
      </c>
      <c r="G55" s="154" t="s">
        <v>1020</v>
      </c>
    </row>
    <row r="56" spans="1:7" ht="28.8" x14ac:dyDescent="0.3">
      <c r="A56" s="154" t="s">
        <v>19</v>
      </c>
      <c r="B56" s="154" t="s">
        <v>1057</v>
      </c>
      <c r="C56" s="526"/>
      <c r="D56" s="526"/>
      <c r="E56" s="154" t="s">
        <v>1053</v>
      </c>
      <c r="F56" s="526"/>
      <c r="G56" s="154"/>
    </row>
    <row r="57" spans="1:7" x14ac:dyDescent="0.3">
      <c r="A57" s="154" t="s">
        <v>19</v>
      </c>
      <c r="B57" s="154" t="s">
        <v>1057</v>
      </c>
      <c r="C57" s="154" t="s">
        <v>1030</v>
      </c>
      <c r="D57" s="154" t="s">
        <v>927</v>
      </c>
      <c r="E57" s="526"/>
      <c r="F57" s="529" t="s">
        <v>986</v>
      </c>
      <c r="G57" s="154" t="s">
        <v>1031</v>
      </c>
    </row>
    <row r="58" spans="1:7" x14ac:dyDescent="0.3">
      <c r="A58" s="154" t="s">
        <v>19</v>
      </c>
      <c r="B58" s="154" t="s">
        <v>1057</v>
      </c>
      <c r="C58" s="154" t="s">
        <v>1058</v>
      </c>
      <c r="D58" s="154" t="s">
        <v>927</v>
      </c>
      <c r="E58" s="526"/>
      <c r="F58" s="529" t="s">
        <v>986</v>
      </c>
      <c r="G58" s="154" t="s">
        <v>1059</v>
      </c>
    </row>
    <row r="59" spans="1:7" ht="28.8" x14ac:dyDescent="0.3">
      <c r="A59" s="154" t="s">
        <v>19</v>
      </c>
      <c r="B59" s="154" t="s">
        <v>1057</v>
      </c>
      <c r="C59" s="154" t="s">
        <v>917</v>
      </c>
      <c r="D59" s="154" t="s">
        <v>984</v>
      </c>
      <c r="E59" s="526"/>
      <c r="F59" s="529" t="s">
        <v>986</v>
      </c>
      <c r="G59" s="154" t="s">
        <v>1020</v>
      </c>
    </row>
    <row r="60" spans="1:7" ht="28.8" x14ac:dyDescent="0.3">
      <c r="A60" s="154" t="s">
        <v>19</v>
      </c>
      <c r="B60" s="154" t="s">
        <v>1060</v>
      </c>
      <c r="C60" s="529" t="s">
        <v>985</v>
      </c>
      <c r="D60" s="529" t="s">
        <v>985</v>
      </c>
      <c r="E60" s="154" t="s">
        <v>1053</v>
      </c>
      <c r="F60" s="154" t="s">
        <v>1061</v>
      </c>
      <c r="G60" s="154"/>
    </row>
    <row r="61" spans="1:7" ht="28.8" x14ac:dyDescent="0.3">
      <c r="A61" s="154" t="s">
        <v>19</v>
      </c>
      <c r="B61" s="154" t="s">
        <v>1062</v>
      </c>
      <c r="C61" s="529" t="s">
        <v>985</v>
      </c>
      <c r="D61" s="529" t="s">
        <v>985</v>
      </c>
      <c r="E61" s="154" t="s">
        <v>1053</v>
      </c>
      <c r="F61" s="154" t="s">
        <v>1049</v>
      </c>
      <c r="G61" s="154"/>
    </row>
    <row r="62" spans="1:7" ht="28.8" x14ac:dyDescent="0.3">
      <c r="A62" s="154" t="s">
        <v>19</v>
      </c>
      <c r="B62" s="154" t="s">
        <v>1063</v>
      </c>
      <c r="C62" s="529" t="s">
        <v>985</v>
      </c>
      <c r="D62" s="529" t="s">
        <v>985</v>
      </c>
      <c r="E62" s="154" t="s">
        <v>1053</v>
      </c>
      <c r="F62" s="154" t="s">
        <v>1049</v>
      </c>
      <c r="G62" s="154"/>
    </row>
    <row r="63" spans="1:7" ht="28.8" x14ac:dyDescent="0.3">
      <c r="A63" s="154" t="s">
        <v>19</v>
      </c>
      <c r="B63" s="154" t="s">
        <v>1064</v>
      </c>
      <c r="C63" s="529" t="s">
        <v>985</v>
      </c>
      <c r="D63" s="529" t="s">
        <v>985</v>
      </c>
      <c r="E63" s="154" t="s">
        <v>1053</v>
      </c>
      <c r="F63" s="154" t="s">
        <v>985</v>
      </c>
      <c r="G63" s="154"/>
    </row>
    <row r="64" spans="1:7" ht="28.8" x14ac:dyDescent="0.3">
      <c r="A64" s="154" t="s">
        <v>19</v>
      </c>
      <c r="B64" s="154" t="s">
        <v>1065</v>
      </c>
      <c r="C64" s="529" t="s">
        <v>985</v>
      </c>
      <c r="D64" s="529" t="s">
        <v>985</v>
      </c>
      <c r="E64" s="154" t="s">
        <v>1053</v>
      </c>
      <c r="F64" s="154" t="s">
        <v>985</v>
      </c>
      <c r="G64" s="154"/>
    </row>
    <row r="65" spans="1:7" ht="28.8" x14ac:dyDescent="0.3">
      <c r="A65" s="154" t="s">
        <v>19</v>
      </c>
      <c r="B65" s="154" t="s">
        <v>296</v>
      </c>
      <c r="C65" s="154" t="s">
        <v>1066</v>
      </c>
      <c r="D65" s="154" t="s">
        <v>984</v>
      </c>
      <c r="E65" s="154" t="s">
        <v>1067</v>
      </c>
      <c r="F65" s="154" t="s">
        <v>986</v>
      </c>
      <c r="G65" s="154"/>
    </row>
    <row r="66" spans="1:7" ht="43.2" x14ac:dyDescent="0.3">
      <c r="A66" s="154" t="s">
        <v>19</v>
      </c>
      <c r="B66" s="154" t="s">
        <v>1068</v>
      </c>
      <c r="C66" s="529" t="s">
        <v>985</v>
      </c>
      <c r="D66" s="529" t="s">
        <v>985</v>
      </c>
      <c r="E66" s="154" t="s">
        <v>1069</v>
      </c>
      <c r="F66" s="526"/>
      <c r="G66" s="154"/>
    </row>
    <row r="67" spans="1:7" ht="57.6" x14ac:dyDescent="0.3">
      <c r="A67" s="154" t="s">
        <v>19</v>
      </c>
      <c r="B67" s="154" t="s">
        <v>1068</v>
      </c>
      <c r="C67" s="529" t="s">
        <v>985</v>
      </c>
      <c r="D67" s="529" t="s">
        <v>985</v>
      </c>
      <c r="E67" s="154" t="s">
        <v>1070</v>
      </c>
      <c r="F67" s="526"/>
      <c r="G67" s="154"/>
    </row>
    <row r="68" spans="1:7" x14ac:dyDescent="0.3">
      <c r="A68" s="154" t="s">
        <v>19</v>
      </c>
      <c r="B68" s="154" t="s">
        <v>1068</v>
      </c>
      <c r="C68" s="529" t="s">
        <v>985</v>
      </c>
      <c r="D68" s="529" t="s">
        <v>985</v>
      </c>
      <c r="E68" s="526"/>
      <c r="F68" s="154" t="s">
        <v>1049</v>
      </c>
      <c r="G68" s="154"/>
    </row>
    <row r="69" spans="1:7" ht="43.2" x14ac:dyDescent="0.3">
      <c r="A69" s="154" t="s">
        <v>19</v>
      </c>
      <c r="B69" s="154" t="s">
        <v>298</v>
      </c>
      <c r="C69" s="154" t="s">
        <v>1071</v>
      </c>
      <c r="D69" s="154" t="s">
        <v>984</v>
      </c>
      <c r="E69" s="154" t="s">
        <v>1072</v>
      </c>
      <c r="F69" s="154" t="s">
        <v>985</v>
      </c>
      <c r="G69" s="154"/>
    </row>
    <row r="70" spans="1:7" ht="43.2" x14ac:dyDescent="0.3">
      <c r="A70" s="154" t="s">
        <v>19</v>
      </c>
      <c r="B70" s="154" t="s">
        <v>299</v>
      </c>
      <c r="C70" s="529" t="s">
        <v>985</v>
      </c>
      <c r="D70" s="529" t="s">
        <v>985</v>
      </c>
      <c r="E70" s="154" t="s">
        <v>1069</v>
      </c>
      <c r="F70" s="154" t="s">
        <v>985</v>
      </c>
      <c r="G70" s="154"/>
    </row>
    <row r="71" spans="1:7" ht="28.8" x14ac:dyDescent="0.3">
      <c r="A71" s="154" t="s">
        <v>19</v>
      </c>
      <c r="B71" s="154" t="s">
        <v>1073</v>
      </c>
      <c r="C71" s="529" t="s">
        <v>985</v>
      </c>
      <c r="D71" s="529" t="s">
        <v>985</v>
      </c>
      <c r="E71" s="154" t="s">
        <v>1074</v>
      </c>
      <c r="F71" s="154" t="s">
        <v>985</v>
      </c>
      <c r="G71" s="154"/>
    </row>
    <row r="72" spans="1:7" ht="28.8" x14ac:dyDescent="0.3">
      <c r="A72" s="154" t="s">
        <v>19</v>
      </c>
      <c r="B72" s="154" t="s">
        <v>1075</v>
      </c>
      <c r="C72" s="529" t="s">
        <v>985</v>
      </c>
      <c r="D72" s="529" t="s">
        <v>985</v>
      </c>
      <c r="E72" s="154" t="s">
        <v>1076</v>
      </c>
      <c r="F72" s="154" t="s">
        <v>985</v>
      </c>
      <c r="G72" s="154"/>
    </row>
    <row r="73" spans="1:7" ht="28.8" x14ac:dyDescent="0.3">
      <c r="A73" s="154" t="s">
        <v>19</v>
      </c>
      <c r="B73" s="154" t="s">
        <v>1077</v>
      </c>
      <c r="C73" s="529" t="s">
        <v>985</v>
      </c>
      <c r="D73" s="529" t="s">
        <v>985</v>
      </c>
      <c r="E73" s="154" t="s">
        <v>1078</v>
      </c>
      <c r="F73" s="154" t="s">
        <v>985</v>
      </c>
      <c r="G73" s="154"/>
    </row>
    <row r="74" spans="1:7" x14ac:dyDescent="0.3">
      <c r="A74" s="154" t="s">
        <v>1079</v>
      </c>
      <c r="B74" s="154" t="s">
        <v>521</v>
      </c>
      <c r="C74" s="154" t="s">
        <v>1080</v>
      </c>
      <c r="D74" s="154" t="s">
        <v>984</v>
      </c>
      <c r="E74" s="529" t="s">
        <v>985</v>
      </c>
      <c r="F74" s="529" t="s">
        <v>986</v>
      </c>
      <c r="G74" s="154"/>
    </row>
  </sheetData>
  <autoFilter ref="A7:K74" xr:uid="{A0D495CD-3958-41CE-860F-9CFD41E69CBA}"/>
  <pageMargins left="0.7" right="0.7" top="0.75" bottom="0.75" header="0.3" footer="0.3"/>
  <legacyDrawing r:id="rId1"/>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B5285-0013-42A8-936D-712781657433}">
  <sheetPr>
    <tabColor rgb="FFFF3300"/>
  </sheetPr>
  <dimension ref="A1:E64"/>
  <sheetViews>
    <sheetView showGridLines="0" workbookViewId="0">
      <pane ySplit="7" topLeftCell="A8" activePane="bottomLeft" state="frozen"/>
      <selection pane="bottomLeft" activeCell="A6" sqref="A6"/>
    </sheetView>
  </sheetViews>
  <sheetFormatPr defaultColWidth="8.88671875" defaultRowHeight="14.4" x14ac:dyDescent="0.3"/>
  <cols>
    <col min="1" max="1" width="11.6640625" style="11" customWidth="1"/>
    <col min="2" max="2" width="42.77734375" style="11" customWidth="1"/>
    <col min="3" max="3" width="99.5546875" style="11" customWidth="1"/>
    <col min="4" max="5" width="50.88671875" style="11" customWidth="1"/>
    <col min="6" max="16384" width="8.88671875" style="11"/>
  </cols>
  <sheetData>
    <row r="1" spans="1:5" s="14" customFormat="1" ht="21" x14ac:dyDescent="0.4">
      <c r="A1" s="113" t="s">
        <v>1081</v>
      </c>
      <c r="C1" s="204" t="s">
        <v>533</v>
      </c>
      <c r="D1" s="11"/>
      <c r="E1" s="11"/>
    </row>
    <row r="2" spans="1:5" s="14" customFormat="1" x14ac:dyDescent="0.3">
      <c r="A2" s="14" t="s">
        <v>973</v>
      </c>
      <c r="D2" s="11"/>
      <c r="E2" s="11"/>
    </row>
    <row r="3" spans="1:5" s="14" customFormat="1" x14ac:dyDescent="0.3">
      <c r="A3" s="14" t="s">
        <v>1082</v>
      </c>
      <c r="D3" s="11"/>
      <c r="E3" s="11"/>
    </row>
    <row r="4" spans="1:5" s="14" customFormat="1" x14ac:dyDescent="0.3">
      <c r="A4" s="14" t="s">
        <v>1083</v>
      </c>
      <c r="D4" s="11"/>
      <c r="E4" s="11"/>
    </row>
    <row r="5" spans="1:5" s="14" customFormat="1" x14ac:dyDescent="0.3">
      <c r="A5" s="14" t="s">
        <v>1084</v>
      </c>
      <c r="D5" s="11"/>
      <c r="E5" s="11"/>
    </row>
    <row r="6" spans="1:5" s="14" customFormat="1" x14ac:dyDescent="0.3">
      <c r="D6" s="11"/>
      <c r="E6" s="11"/>
    </row>
    <row r="7" spans="1:5" s="91" customFormat="1" x14ac:dyDescent="0.3">
      <c r="A7" s="91" t="s">
        <v>287</v>
      </c>
      <c r="B7" s="91" t="s">
        <v>1085</v>
      </c>
      <c r="C7" s="91" t="s">
        <v>1086</v>
      </c>
      <c r="D7" s="91" t="s">
        <v>1242</v>
      </c>
      <c r="E7" s="91" t="s">
        <v>1243</v>
      </c>
    </row>
    <row r="8" spans="1:5" s="14" customFormat="1" x14ac:dyDescent="0.3">
      <c r="A8" s="558" t="s">
        <v>61</v>
      </c>
      <c r="B8" s="557"/>
      <c r="C8" s="557"/>
      <c r="D8" s="526" t="s">
        <v>61</v>
      </c>
      <c r="E8" s="526" t="s">
        <v>88</v>
      </c>
    </row>
    <row r="9" spans="1:5" ht="28.8" x14ac:dyDescent="0.3">
      <c r="A9" s="154" t="s">
        <v>1087</v>
      </c>
      <c r="B9" s="154" t="s">
        <v>213</v>
      </c>
      <c r="C9" s="154" t="s">
        <v>1088</v>
      </c>
      <c r="D9" s="154" t="str">
        <f>Spaces!N7</f>
        <v>WEEKLY_HOURS</v>
      </c>
      <c r="E9" s="154"/>
    </row>
    <row r="10" spans="1:5" x14ac:dyDescent="0.3">
      <c r="A10" s="154" t="s">
        <v>1087</v>
      </c>
      <c r="B10" s="154" t="s">
        <v>214</v>
      </c>
      <c r="C10" s="154" t="s">
        <v>1089</v>
      </c>
      <c r="D10" s="154" t="str">
        <f>Spaces!O7</f>
        <v>ANNUAL_HOURS</v>
      </c>
      <c r="E10" s="154" t="str">
        <f>Measures!AF7</f>
        <v>ANNUAL_HOURS</v>
      </c>
    </row>
    <row r="11" spans="1:5" x14ac:dyDescent="0.3">
      <c r="A11" s="154" t="s">
        <v>216</v>
      </c>
      <c r="B11" s="154" t="s">
        <v>1090</v>
      </c>
      <c r="C11" s="154" t="s">
        <v>1091</v>
      </c>
      <c r="D11" s="154" t="str">
        <f>Spaces!R7</f>
        <v>SPACE_CONDITIONING_TYPE_LOOKUP_HELPER</v>
      </c>
      <c r="E11" s="154"/>
    </row>
    <row r="12" spans="1:5" x14ac:dyDescent="0.3">
      <c r="A12" s="154" t="s">
        <v>216</v>
      </c>
      <c r="B12" s="154" t="s">
        <v>1092</v>
      </c>
      <c r="C12" s="154" t="s">
        <v>1093</v>
      </c>
      <c r="D12" s="154" t="str">
        <f>Spaces!S7</f>
        <v>HVAC_FACTOR_LOOKUP_HELPER</v>
      </c>
      <c r="E12" s="610" t="str">
        <f>Measures!AL7</f>
        <v>HVAC_FACTOR</v>
      </c>
    </row>
    <row r="13" spans="1:5" s="14" customFormat="1" x14ac:dyDescent="0.3">
      <c r="A13" s="558" t="s">
        <v>88</v>
      </c>
      <c r="B13" s="557"/>
      <c r="C13" s="557"/>
      <c r="D13" s="526" t="s">
        <v>88</v>
      </c>
      <c r="E13" s="526" t="s">
        <v>122</v>
      </c>
    </row>
    <row r="14" spans="1:5" ht="28.8" x14ac:dyDescent="0.3">
      <c r="A14" s="154" t="s">
        <v>938</v>
      </c>
      <c r="B14" s="154" t="s">
        <v>1094</v>
      </c>
      <c r="C14" s="154" t="s">
        <v>1095</v>
      </c>
      <c r="D14" s="608" t="str">
        <f>Measures!AN7</f>
        <v>EXISTING_FIXTURE_BALLAST_FACTOR_LOOKUP_HELPER</v>
      </c>
      <c r="E14" s="608"/>
    </row>
    <row r="15" spans="1:5" x14ac:dyDescent="0.3">
      <c r="A15" s="154" t="s">
        <v>938</v>
      </c>
      <c r="B15" s="154" t="s">
        <v>101</v>
      </c>
      <c r="C15" s="154" t="s">
        <v>1096</v>
      </c>
      <c r="D15" s="154" t="str">
        <f>Measures!AG7</f>
        <v>EXISTING_FIXTURE_WATTAGE</v>
      </c>
      <c r="E15" s="154"/>
    </row>
    <row r="16" spans="1:5" x14ac:dyDescent="0.3">
      <c r="A16" s="154" t="s">
        <v>938</v>
      </c>
      <c r="B16" s="154" t="s">
        <v>1097</v>
      </c>
      <c r="C16" s="154" t="s">
        <v>1098</v>
      </c>
      <c r="D16" s="609" t="str">
        <f>Measures!AH7</f>
        <v>EXISTING_FIXTURE_KWH_SITE_CONSUMPTION</v>
      </c>
      <c r="E16" s="609"/>
    </row>
    <row r="17" spans="1:5" x14ac:dyDescent="0.3">
      <c r="A17" s="154" t="s">
        <v>938</v>
      </c>
      <c r="B17" s="154" t="s">
        <v>1239</v>
      </c>
      <c r="C17" s="154" t="s">
        <v>1222</v>
      </c>
      <c r="D17" s="609" t="str">
        <f>Measures!AH7</f>
        <v>EXISTING_FIXTURE_KWH_SITE_CONSUMPTION</v>
      </c>
      <c r="E17" s="609"/>
    </row>
    <row r="18" spans="1:5" x14ac:dyDescent="0.3">
      <c r="A18" s="154" t="s">
        <v>938</v>
      </c>
      <c r="B18" s="154" t="s">
        <v>104</v>
      </c>
      <c r="C18" s="154" t="s">
        <v>1099</v>
      </c>
      <c r="D18" s="154" t="str">
        <f>Measures!AI7</f>
        <v>PROPOSED_FIXTURE_WATTAGE</v>
      </c>
      <c r="E18" s="154"/>
    </row>
    <row r="19" spans="1:5" x14ac:dyDescent="0.3">
      <c r="A19" s="154" t="s">
        <v>938</v>
      </c>
      <c r="B19" s="154" t="s">
        <v>1100</v>
      </c>
      <c r="C19" s="154" t="s">
        <v>1101</v>
      </c>
      <c r="D19" s="609" t="str">
        <f>Measures!AJ7</f>
        <v>PROPOSED_FIXTURE_KWH_SITE_CONSUMPTION</v>
      </c>
      <c r="E19" s="609"/>
    </row>
    <row r="20" spans="1:5" x14ac:dyDescent="0.3">
      <c r="A20" s="154" t="s">
        <v>938</v>
      </c>
      <c r="B20" s="154" t="s">
        <v>1102</v>
      </c>
      <c r="C20" s="154" t="s">
        <v>1103</v>
      </c>
      <c r="D20" s="609" t="str">
        <f>Measures!Z7</f>
        <v>FIXTURE_KWH_SITE_SAVINGS</v>
      </c>
      <c r="E20" s="609"/>
    </row>
    <row r="21" spans="1:5" x14ac:dyDescent="0.3">
      <c r="A21" s="154" t="s">
        <v>938</v>
      </c>
      <c r="B21" s="154" t="s">
        <v>305</v>
      </c>
      <c r="C21" s="154" t="s">
        <v>1104</v>
      </c>
      <c r="D21" s="610" t="str">
        <f>Measures!AA7</f>
        <v>FIXTURE_KWH_SAVINGS_PERCENTAGE</v>
      </c>
      <c r="E21" s="610"/>
    </row>
    <row r="22" spans="1:5" x14ac:dyDescent="0.3">
      <c r="A22" s="154" t="s">
        <v>938</v>
      </c>
      <c r="B22" s="154" t="s">
        <v>1236</v>
      </c>
      <c r="C22" s="154" t="s">
        <v>1235</v>
      </c>
      <c r="D22" s="609" t="str">
        <f>Measures!Z7</f>
        <v>FIXTURE_KWH_SITE_SAVINGS</v>
      </c>
      <c r="E22" s="609" t="str">
        <f>'Project Summary'!D37</f>
        <v>Total Fixture kWh Savings</v>
      </c>
    </row>
    <row r="23" spans="1:5" x14ac:dyDescent="0.3">
      <c r="A23" s="154" t="s">
        <v>938</v>
      </c>
      <c r="B23" s="154" t="s">
        <v>1237</v>
      </c>
      <c r="C23" s="154" t="s">
        <v>1238</v>
      </c>
      <c r="D23" s="610" t="str">
        <f>Measures!AA7</f>
        <v>FIXTURE_KWH_SAVINGS_PERCENTAGE</v>
      </c>
      <c r="E23" s="610"/>
    </row>
    <row r="24" spans="1:5" ht="103.2" customHeight="1" x14ac:dyDescent="0.3">
      <c r="A24" s="154" t="s">
        <v>938</v>
      </c>
      <c r="B24" s="154" t="s">
        <v>1105</v>
      </c>
      <c r="C24" s="154" t="s">
        <v>1106</v>
      </c>
      <c r="D24" s="611" t="str">
        <f>Measures!BA7</f>
        <v>CONTROLS_KWH_SITE_SAVINGS_HELPER</v>
      </c>
      <c r="E24" s="611"/>
    </row>
    <row r="25" spans="1:5" x14ac:dyDescent="0.3">
      <c r="A25" s="154" t="s">
        <v>938</v>
      </c>
      <c r="B25" s="154" t="s">
        <v>308</v>
      </c>
      <c r="C25" s="154" t="s">
        <v>1107</v>
      </c>
      <c r="D25" s="610" t="str">
        <f>Measures!AD7</f>
        <v>CONTROLS_KWH_SAVINGS_PERCENTAGE</v>
      </c>
      <c r="E25" s="610"/>
    </row>
    <row r="26" spans="1:5" x14ac:dyDescent="0.3">
      <c r="A26" s="154" t="s">
        <v>938</v>
      </c>
      <c r="B26" s="154" t="s">
        <v>1245</v>
      </c>
      <c r="C26" s="154" t="s">
        <v>1244</v>
      </c>
      <c r="D26" s="610" t="str">
        <f>Measures!AC7</f>
        <v>CONTROLS_KWH_SITE_SAVINGS</v>
      </c>
      <c r="E26" s="610" t="str">
        <f>'Project Summary'!D38</f>
        <v>Total Control kWh Savings</v>
      </c>
    </row>
    <row r="27" spans="1:5" x14ac:dyDescent="0.3">
      <c r="A27" s="154" t="s">
        <v>938</v>
      </c>
      <c r="B27" s="154" t="s">
        <v>1108</v>
      </c>
      <c r="C27" s="154" t="s">
        <v>1109</v>
      </c>
      <c r="D27" s="609" t="str">
        <f>Measures!W7</f>
        <v>GRAND_TOTAL_KWH_SITE_SAVINGS</v>
      </c>
      <c r="E27" s="609" t="str">
        <f>'Project Summary'!A21</f>
        <v>Estimated kWh Site Savings</v>
      </c>
    </row>
    <row r="28" spans="1:5" x14ac:dyDescent="0.3">
      <c r="A28" s="154" t="s">
        <v>938</v>
      </c>
      <c r="B28" s="154" t="s">
        <v>1110</v>
      </c>
      <c r="C28" s="154" t="s">
        <v>1111</v>
      </c>
      <c r="D28" s="610" t="str">
        <f>Measures!X7</f>
        <v>GRAND_TOTAL_KWH_SAVINGS_PERCENTAGE</v>
      </c>
      <c r="E28" s="610"/>
    </row>
    <row r="29" spans="1:5" ht="86.4" x14ac:dyDescent="0.3">
      <c r="A29" s="154" t="s">
        <v>1112</v>
      </c>
      <c r="B29" s="154" t="s">
        <v>1113</v>
      </c>
      <c r="C29" s="154" t="s">
        <v>1230</v>
      </c>
      <c r="D29" s="609" t="str">
        <f>Measures!AT7</f>
        <v>FIXTURE_INCENTIVE_NAME_HELPER</v>
      </c>
      <c r="E29" s="609"/>
    </row>
    <row r="30" spans="1:5" x14ac:dyDescent="0.3">
      <c r="A30" s="154" t="s">
        <v>1112</v>
      </c>
      <c r="B30" s="154" t="s">
        <v>1114</v>
      </c>
      <c r="C30" s="154" t="s">
        <v>1115</v>
      </c>
      <c r="D30" s="609" t="str">
        <f>Measures!AU7</f>
        <v>FIXTURE_INCENTIVE_RATE_LOOKUP_HELPER</v>
      </c>
      <c r="E30" s="609"/>
    </row>
    <row r="31" spans="1:5" x14ac:dyDescent="0.3">
      <c r="A31" s="154" t="s">
        <v>1112</v>
      </c>
      <c r="B31" s="154" t="s">
        <v>1116</v>
      </c>
      <c r="C31" s="154" t="s">
        <v>1117</v>
      </c>
      <c r="D31" s="609" t="str">
        <f>Measures!AV7</f>
        <v>FIXTURE_INCENTIVE_UNIT_LOOKUP_HELPER</v>
      </c>
      <c r="E31" s="609"/>
    </row>
    <row r="32" spans="1:5" ht="144" x14ac:dyDescent="0.3">
      <c r="A32" s="154" t="s">
        <v>1112</v>
      </c>
      <c r="B32" s="154" t="s">
        <v>1118</v>
      </c>
      <c r="C32" s="154" t="s">
        <v>1247</v>
      </c>
      <c r="D32" s="609" t="str">
        <f>Measures!AW7</f>
        <v>FIXTURE_INCENTIVE_UNCAPPED_HELPER</v>
      </c>
      <c r="E32" s="609"/>
    </row>
    <row r="33" spans="1:5" ht="57.6" x14ac:dyDescent="0.3">
      <c r="A33" s="154" t="s">
        <v>1112</v>
      </c>
      <c r="B33" s="154" t="s">
        <v>1119</v>
      </c>
      <c r="C33" s="154" t="s">
        <v>1120</v>
      </c>
      <c r="D33" s="609" t="str">
        <f>Measures!AX7</f>
        <v>CONTROLS_INCENTIVE_NAME_HELPER</v>
      </c>
      <c r="E33" s="609"/>
    </row>
    <row r="34" spans="1:5" x14ac:dyDescent="0.3">
      <c r="A34" s="154" t="s">
        <v>1112</v>
      </c>
      <c r="B34" s="154" t="s">
        <v>1121</v>
      </c>
      <c r="C34" s="154" t="s">
        <v>1122</v>
      </c>
      <c r="D34" s="609" t="str">
        <f>Measures!AY7</f>
        <v>CONTROLS_INCENTIVE_RATE_LOOKUP_HELPER</v>
      </c>
      <c r="E34" s="609"/>
    </row>
    <row r="35" spans="1:5" ht="43.2" x14ac:dyDescent="0.3">
      <c r="A35" s="154" t="s">
        <v>1112</v>
      </c>
      <c r="B35" s="154" t="s">
        <v>1123</v>
      </c>
      <c r="C35" s="154" t="s">
        <v>1124</v>
      </c>
      <c r="D35" s="611" t="str">
        <f>Measures!AE7</f>
        <v>CONTROLS_UNCAPPED_INCENTIVE</v>
      </c>
      <c r="E35" s="611"/>
    </row>
    <row r="36" spans="1:5" x14ac:dyDescent="0.3">
      <c r="A36" s="154" t="s">
        <v>1112</v>
      </c>
      <c r="B36" s="154" t="s">
        <v>1240</v>
      </c>
      <c r="C36" s="154" t="s">
        <v>1234</v>
      </c>
      <c r="D36" s="154" t="str">
        <f>Measures!AE7</f>
        <v>CONTROLS_UNCAPPED_INCENTIVE</v>
      </c>
      <c r="E36" s="154"/>
    </row>
    <row r="37" spans="1:5" ht="28.8" x14ac:dyDescent="0.3">
      <c r="A37" s="154" t="s">
        <v>1125</v>
      </c>
      <c r="B37" s="154" t="s">
        <v>1126</v>
      </c>
      <c r="C37" s="154" t="s">
        <v>1127</v>
      </c>
      <c r="D37" s="154" t="str">
        <f>Measures!BB7</f>
        <v>FIXTURE_COMMERCIAL_BPA_REF_NO_LOOKUP_HELPER</v>
      </c>
      <c r="E37" s="154"/>
    </row>
    <row r="38" spans="1:5" ht="28.8" x14ac:dyDescent="0.3">
      <c r="A38" s="154" t="s">
        <v>1125</v>
      </c>
      <c r="B38" s="154" t="s">
        <v>1128</v>
      </c>
      <c r="C38" s="154" t="s">
        <v>1129</v>
      </c>
      <c r="D38" s="154" t="str">
        <f>Measures!BC7</f>
        <v>FIXTURE_INDUSTRIAL_BPA_REF_NO_LOOKUP_HELPER</v>
      </c>
      <c r="E38" s="154"/>
    </row>
    <row r="39" spans="1:5" ht="43.2" x14ac:dyDescent="0.3">
      <c r="A39" s="154" t="s">
        <v>1125</v>
      </c>
      <c r="B39" s="154" t="s">
        <v>1130</v>
      </c>
      <c r="C39" s="154" t="s">
        <v>1131</v>
      </c>
      <c r="D39" s="154" t="str">
        <f>Measures!BD7</f>
        <v>FIXTURE_BPA_REFERENCE_NUMBER</v>
      </c>
      <c r="E39" s="154"/>
    </row>
    <row r="40" spans="1:5" x14ac:dyDescent="0.3">
      <c r="A40" s="154" t="s">
        <v>1125</v>
      </c>
      <c r="B40" s="154" t="s">
        <v>1132</v>
      </c>
      <c r="C40" s="154" t="s">
        <v>1133</v>
      </c>
      <c r="D40" s="154" t="str">
        <f>Measures!BE7</f>
        <v>CONTROLS_BPA_REFERENCE_NUMBER</v>
      </c>
      <c r="E40" s="154"/>
    </row>
    <row r="41" spans="1:5" s="14" customFormat="1" x14ac:dyDescent="0.3">
      <c r="A41" s="558" t="s">
        <v>122</v>
      </c>
      <c r="B41" s="557"/>
      <c r="C41" s="557"/>
      <c r="D41" s="526"/>
      <c r="E41" s="526"/>
    </row>
    <row r="42" spans="1:5" ht="28.8" x14ac:dyDescent="0.3">
      <c r="A42" s="154" t="s">
        <v>1112</v>
      </c>
      <c r="B42" s="154" t="s">
        <v>616</v>
      </c>
      <c r="C42" s="154" t="s">
        <v>1134</v>
      </c>
      <c r="D42" s="154" t="str">
        <f>'Project Summary'!A41</f>
        <v>Percentage of Project Cost Cap</v>
      </c>
      <c r="E42" s="154"/>
    </row>
    <row r="43" spans="1:5" ht="28.8" x14ac:dyDescent="0.3">
      <c r="A43" s="154" t="s">
        <v>1112</v>
      </c>
      <c r="B43" s="154" t="s">
        <v>1135</v>
      </c>
      <c r="C43" s="154" t="s">
        <v>1136</v>
      </c>
      <c r="D43" s="154" t="str">
        <f>'Project Summary'!A40</f>
        <v>Max. Possible Incentive based on % of Project Cost</v>
      </c>
      <c r="E43" s="154"/>
    </row>
    <row r="44" spans="1:5" x14ac:dyDescent="0.3">
      <c r="A44" s="154" t="s">
        <v>938</v>
      </c>
      <c r="B44" s="154" t="s">
        <v>1223</v>
      </c>
      <c r="C44" s="154" t="s">
        <v>1224</v>
      </c>
      <c r="D44" s="154" t="str">
        <f>'Project Summary'!D34</f>
        <v>Exit Sign</v>
      </c>
      <c r="E44" s="154"/>
    </row>
    <row r="45" spans="1:5" x14ac:dyDescent="0.3">
      <c r="A45" s="154" t="s">
        <v>938</v>
      </c>
      <c r="B45" s="154" t="s">
        <v>1228</v>
      </c>
      <c r="C45" s="154" t="s">
        <v>1229</v>
      </c>
      <c r="D45" s="154" t="str">
        <f>'Project Summary'!D35</f>
        <v>Tube</v>
      </c>
      <c r="E45" s="154"/>
    </row>
    <row r="46" spans="1:5" ht="28.8" x14ac:dyDescent="0.3">
      <c r="A46" s="154" t="s">
        <v>938</v>
      </c>
      <c r="B46" s="154" t="s">
        <v>1225</v>
      </c>
      <c r="C46" s="154" t="s">
        <v>1231</v>
      </c>
      <c r="D46" s="154" t="str">
        <f>'Project Summary'!D36</f>
        <v>All Other Fixture Types, including Decommissioning</v>
      </c>
      <c r="E46" s="154"/>
    </row>
    <row r="47" spans="1:5" ht="43.2" x14ac:dyDescent="0.3">
      <c r="A47" s="154" t="s">
        <v>1112</v>
      </c>
      <c r="B47" s="154" t="s">
        <v>465</v>
      </c>
      <c r="C47" s="154" t="s">
        <v>1226</v>
      </c>
      <c r="D47" s="154" t="str">
        <f>'Project Summary'!A34</f>
        <v>Exit Sign Fix. Incentive Adj. for Negative kWh Savings</v>
      </c>
      <c r="E47" s="154"/>
    </row>
    <row r="48" spans="1:5" ht="43.2" x14ac:dyDescent="0.3">
      <c r="A48" s="154" t="s">
        <v>1112</v>
      </c>
      <c r="B48" s="154" t="s">
        <v>466</v>
      </c>
      <c r="C48" s="154" t="s">
        <v>1232</v>
      </c>
      <c r="D48" s="154" t="str">
        <f>'Project Summary'!A35</f>
        <v>Tube Fix. Incentive Adj. for Negative kWh Savings</v>
      </c>
      <c r="E48" s="154"/>
    </row>
    <row r="49" spans="1:5" ht="43.2" x14ac:dyDescent="0.3">
      <c r="A49" s="154" t="s">
        <v>1112</v>
      </c>
      <c r="B49" s="154" t="s">
        <v>467</v>
      </c>
      <c r="C49" s="154" t="s">
        <v>1227</v>
      </c>
      <c r="D49" s="154" t="str">
        <f>'Project Summary'!A36</f>
        <v>All Other Fix. Incentive Adj. for Negative kWh Sav.</v>
      </c>
      <c r="E49" s="154"/>
    </row>
    <row r="50" spans="1:5" ht="28.8" x14ac:dyDescent="0.3">
      <c r="A50" s="154" t="s">
        <v>1112</v>
      </c>
      <c r="B50" s="154" t="s">
        <v>469</v>
      </c>
      <c r="C50" s="154" t="s">
        <v>1233</v>
      </c>
      <c r="D50" s="154" t="str">
        <f>'Project Summary'!A37</f>
        <v>Fixture Incentive Adjusted</v>
      </c>
      <c r="E50" s="154"/>
    </row>
    <row r="51" spans="1:5" x14ac:dyDescent="0.3">
      <c r="A51" s="154" t="s">
        <v>1112</v>
      </c>
      <c r="B51" s="154" t="s">
        <v>473</v>
      </c>
      <c r="C51" s="154" t="s">
        <v>1241</v>
      </c>
      <c r="D51" s="154" t="str">
        <f>'Project Summary'!A39</f>
        <v>Uncapped Incentive (Adj. Fixture + Controls)</v>
      </c>
      <c r="E51" s="154"/>
    </row>
    <row r="52" spans="1:5" x14ac:dyDescent="0.3">
      <c r="A52" s="154" t="s">
        <v>1112</v>
      </c>
      <c r="B52" s="154" t="s">
        <v>1137</v>
      </c>
      <c r="C52" s="154" t="s">
        <v>1246</v>
      </c>
      <c r="D52" s="154" t="str">
        <f>'Project Summary'!A15</f>
        <v>Estimated Incentive*</v>
      </c>
      <c r="E52" s="154"/>
    </row>
    <row r="53" spans="1:5" ht="57.6" x14ac:dyDescent="0.3">
      <c r="A53" s="154" t="s">
        <v>1112</v>
      </c>
      <c r="B53" s="154" t="s">
        <v>1138</v>
      </c>
      <c r="C53" s="154" t="s">
        <v>1139</v>
      </c>
      <c r="D53" s="154" t="str">
        <f>'Project Summary'!A24</f>
        <v/>
      </c>
      <c r="E53" s="154"/>
    </row>
    <row r="54" spans="1:5" ht="28.8" x14ac:dyDescent="0.3">
      <c r="A54" s="154" t="s">
        <v>1140</v>
      </c>
      <c r="B54" s="154" t="s">
        <v>1141</v>
      </c>
      <c r="C54" s="154" t="s">
        <v>1142</v>
      </c>
      <c r="D54" s="154" t="str">
        <f>'Project Summary'!A18</f>
        <v>Estimated Incentive as Percentage of Project Cost
(incentive / project cost)</v>
      </c>
      <c r="E54" s="154"/>
    </row>
    <row r="55" spans="1:5" ht="28.8" x14ac:dyDescent="0.3">
      <c r="A55" s="154" t="s">
        <v>1140</v>
      </c>
      <c r="B55" s="154" t="s">
        <v>1143</v>
      </c>
      <c r="C55" s="154" t="s">
        <v>1144</v>
      </c>
      <c r="D55" s="154" t="str">
        <f>'Project Summary'!A17</f>
        <v>Customer Out-of-Pocket Cost
(project cost - incentive)</v>
      </c>
      <c r="E55" s="154"/>
    </row>
    <row r="56" spans="1:5" x14ac:dyDescent="0.3">
      <c r="A56" s="154" t="s">
        <v>1140</v>
      </c>
      <c r="B56" s="154" t="s">
        <v>1145</v>
      </c>
      <c r="C56" s="154" t="s">
        <v>1146</v>
      </c>
      <c r="D56" s="154" t="str">
        <f>'Project Summary'!A30</f>
        <v xml:space="preserve">Avg. Energy Cost ($/kWh) for Rate Class: </v>
      </c>
      <c r="E56" s="154"/>
    </row>
    <row r="57" spans="1:5" ht="28.8" x14ac:dyDescent="0.3">
      <c r="A57" s="154" t="s">
        <v>1140</v>
      </c>
      <c r="B57" s="154" t="s">
        <v>1147</v>
      </c>
      <c r="C57" s="154" t="s">
        <v>1148</v>
      </c>
      <c r="D57" s="154" t="str">
        <f>'Project Summary'!D15</f>
        <v>Estimated Yearly Energy Cost Savings
(kWh site savings x average energy cost)</v>
      </c>
      <c r="E57" s="154"/>
    </row>
    <row r="58" spans="1:5" ht="28.8" x14ac:dyDescent="0.3">
      <c r="A58" s="154" t="s">
        <v>1140</v>
      </c>
      <c r="B58" s="154" t="s">
        <v>1149</v>
      </c>
      <c r="C58" s="154" t="s">
        <v>1150</v>
      </c>
      <c r="D58" s="154" t="str">
        <f>'Project Summary'!D16</f>
        <v>Estimated Yearly O&amp;M Savings
(project cost x O&amp;M percent)</v>
      </c>
      <c r="E58" s="154"/>
    </row>
    <row r="59" spans="1:5" ht="28.8" x14ac:dyDescent="0.3">
      <c r="A59" s="154" t="s">
        <v>1140</v>
      </c>
      <c r="B59" s="154" t="s">
        <v>1151</v>
      </c>
      <c r="C59" s="154" t="s">
        <v>1152</v>
      </c>
      <c r="D59" s="154" t="str">
        <f>'Project Summary'!D17</f>
        <v>Estimated Simple Payback in Years
(out-of-pocket cost / (yr. energy cost saved + O&amp;M saved))</v>
      </c>
      <c r="E59" s="154"/>
    </row>
    <row r="60" spans="1:5" ht="28.8" x14ac:dyDescent="0.3">
      <c r="A60" s="154" t="s">
        <v>1140</v>
      </c>
      <c r="B60" s="154" t="s">
        <v>1153</v>
      </c>
      <c r="C60" s="154" t="s">
        <v>1154</v>
      </c>
      <c r="D60" s="154" t="str">
        <f>'Project Summary'!D18</f>
        <v>Simple Return on Investment (ROI)
(1/simple payback)</v>
      </c>
      <c r="E60" s="154"/>
    </row>
    <row r="61" spans="1:5" x14ac:dyDescent="0.3">
      <c r="A61" s="154" t="s">
        <v>1140</v>
      </c>
      <c r="B61" s="154" t="s">
        <v>1155</v>
      </c>
      <c r="C61" s="154" t="s">
        <v>1156</v>
      </c>
      <c r="D61" s="154" t="str">
        <f>'Project Summary'!D22</f>
        <v>6 Months</v>
      </c>
      <c r="E61" s="154"/>
    </row>
    <row r="62" spans="1:5" x14ac:dyDescent="0.3">
      <c r="A62" s="154" t="s">
        <v>1140</v>
      </c>
      <c r="B62" s="154" t="s">
        <v>1157</v>
      </c>
      <c r="C62" s="154" t="s">
        <v>1158</v>
      </c>
      <c r="D62" s="154" t="str">
        <f>'Project Summary'!D23</f>
        <v>1 Year</v>
      </c>
      <c r="E62" s="154"/>
    </row>
    <row r="63" spans="1:5" x14ac:dyDescent="0.3">
      <c r="A63" s="154" t="s">
        <v>1140</v>
      </c>
      <c r="B63" s="154" t="s">
        <v>1159</v>
      </c>
      <c r="C63" s="154" t="s">
        <v>1160</v>
      </c>
      <c r="D63" s="154" t="str">
        <f>'Project Summary'!D24</f>
        <v>3 Years</v>
      </c>
      <c r="E63" s="154"/>
    </row>
    <row r="64" spans="1:5" x14ac:dyDescent="0.3">
      <c r="A64" s="154" t="s">
        <v>1140</v>
      </c>
      <c r="B64" s="154" t="s">
        <v>1161</v>
      </c>
      <c r="C64" s="154" t="s">
        <v>1162</v>
      </c>
      <c r="D64" s="154" t="str">
        <f>'Project Summary'!D25</f>
        <v>5 Years</v>
      </c>
      <c r="E64" s="154"/>
    </row>
  </sheetData>
  <autoFilter ref="A7:E64" xr:uid="{8D1B5285-0013-42A8-936D-712781657433}"/>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6C5E32-73A6-4CDC-B5F0-2701FC0A6DDE}">
  <sheetPr>
    <tabColor theme="7" tint="0.79998168889431442"/>
  </sheetPr>
  <dimension ref="A1:D37"/>
  <sheetViews>
    <sheetView showGridLines="0" zoomScaleNormal="100" workbookViewId="0">
      <pane ySplit="1" topLeftCell="A2" activePane="bottomLeft" state="frozen"/>
      <selection pane="bottomLeft" activeCell="A2" sqref="A2"/>
    </sheetView>
  </sheetViews>
  <sheetFormatPr defaultColWidth="8.88671875" defaultRowHeight="14.4" x14ac:dyDescent="0.3"/>
  <cols>
    <col min="1" max="1" width="21.88671875" style="322" customWidth="1"/>
    <col min="2" max="2" width="55.6640625" style="330" customWidth="1"/>
    <col min="3" max="16384" width="8.88671875" style="322"/>
  </cols>
  <sheetData>
    <row r="1" spans="1:4" s="319" customFormat="1" ht="21" x14ac:dyDescent="0.4">
      <c r="A1" s="318" t="s">
        <v>158</v>
      </c>
      <c r="B1" s="330"/>
      <c r="D1" s="320" t="s">
        <v>159</v>
      </c>
    </row>
    <row r="3" spans="1:4" ht="18" x14ac:dyDescent="0.3">
      <c r="A3" s="321" t="s">
        <v>160</v>
      </c>
      <c r="B3" s="331"/>
    </row>
    <row r="5" spans="1:4" x14ac:dyDescent="0.3">
      <c r="A5" s="323" t="s">
        <v>161</v>
      </c>
    </row>
    <row r="6" spans="1:4" x14ac:dyDescent="0.3">
      <c r="A6" s="324" t="s">
        <v>162</v>
      </c>
      <c r="B6" s="332"/>
    </row>
    <row r="7" spans="1:4" x14ac:dyDescent="0.3">
      <c r="A7" s="324" t="s">
        <v>163</v>
      </c>
      <c r="B7" s="333"/>
    </row>
    <row r="8" spans="1:4" x14ac:dyDescent="0.3">
      <c r="A8" s="324" t="s">
        <v>164</v>
      </c>
      <c r="B8" s="333"/>
    </row>
    <row r="9" spans="1:4" x14ac:dyDescent="0.3">
      <c r="A9" s="324" t="s">
        <v>165</v>
      </c>
      <c r="B9" s="333"/>
    </row>
    <row r="10" spans="1:4" x14ac:dyDescent="0.3">
      <c r="A10" s="324" t="s">
        <v>166</v>
      </c>
      <c r="B10" s="286"/>
    </row>
    <row r="12" spans="1:4" x14ac:dyDescent="0.3">
      <c r="A12" s="324" t="s">
        <v>167</v>
      </c>
      <c r="B12" s="332"/>
    </row>
    <row r="13" spans="1:4" x14ac:dyDescent="0.3">
      <c r="A13" s="324" t="s">
        <v>168</v>
      </c>
      <c r="B13" s="598"/>
    </row>
    <row r="14" spans="1:4" x14ac:dyDescent="0.3">
      <c r="A14" s="324" t="s">
        <v>169</v>
      </c>
      <c r="B14" s="405"/>
    </row>
    <row r="16" spans="1:4" x14ac:dyDescent="0.3">
      <c r="A16" s="323" t="s">
        <v>170</v>
      </c>
    </row>
    <row r="17" spans="1:2" x14ac:dyDescent="0.3">
      <c r="A17" s="324" t="s">
        <v>171</v>
      </c>
      <c r="B17" s="332"/>
    </row>
    <row r="18" spans="1:2" x14ac:dyDescent="0.3">
      <c r="A18" s="324" t="s">
        <v>172</v>
      </c>
      <c r="B18" s="472"/>
    </row>
    <row r="19" spans="1:2" x14ac:dyDescent="0.3">
      <c r="A19" s="324" t="s">
        <v>173</v>
      </c>
      <c r="B19" s="406"/>
    </row>
    <row r="21" spans="1:2" x14ac:dyDescent="0.3">
      <c r="A21" s="323" t="s">
        <v>174</v>
      </c>
    </row>
    <row r="22" spans="1:2" x14ac:dyDescent="0.3">
      <c r="A22" s="325" t="s">
        <v>175</v>
      </c>
    </row>
    <row r="23" spans="1:2" x14ac:dyDescent="0.3">
      <c r="A23" s="324" t="s">
        <v>162</v>
      </c>
      <c r="B23" s="289"/>
    </row>
    <row r="24" spans="1:2" x14ac:dyDescent="0.3">
      <c r="A24" s="324" t="s">
        <v>163</v>
      </c>
      <c r="B24" s="289"/>
    </row>
    <row r="25" spans="1:2" x14ac:dyDescent="0.3">
      <c r="A25" s="324" t="s">
        <v>164</v>
      </c>
      <c r="B25" s="289"/>
    </row>
    <row r="26" spans="1:2" x14ac:dyDescent="0.3">
      <c r="A26" s="324" t="s">
        <v>165</v>
      </c>
      <c r="B26" s="289"/>
    </row>
    <row r="27" spans="1:2" x14ac:dyDescent="0.3">
      <c r="A27" s="324" t="s">
        <v>166</v>
      </c>
      <c r="B27" s="289"/>
    </row>
    <row r="29" spans="1:2" x14ac:dyDescent="0.3">
      <c r="A29" s="324" t="s">
        <v>167</v>
      </c>
      <c r="B29" s="289"/>
    </row>
    <row r="30" spans="1:2" x14ac:dyDescent="0.3">
      <c r="A30" s="324" t="s">
        <v>168</v>
      </c>
      <c r="B30" s="599"/>
    </row>
    <row r="31" spans="1:2" x14ac:dyDescent="0.3">
      <c r="A31" s="324" t="s">
        <v>169</v>
      </c>
      <c r="B31" s="460"/>
    </row>
    <row r="33" spans="1:2" x14ac:dyDescent="0.3">
      <c r="A33" s="323" t="s">
        <v>176</v>
      </c>
    </row>
    <row r="34" spans="1:2" x14ac:dyDescent="0.3">
      <c r="A34" s="325" t="s">
        <v>177</v>
      </c>
    </row>
    <row r="35" spans="1:2" x14ac:dyDescent="0.3">
      <c r="A35" s="324" t="s">
        <v>167</v>
      </c>
      <c r="B35" s="332"/>
    </row>
    <row r="36" spans="1:2" x14ac:dyDescent="0.3">
      <c r="A36" s="324" t="s">
        <v>168</v>
      </c>
      <c r="B36" s="334" t="str">
        <f>IF(LEN(B35)=0,"",INDEX(TPStaffTable[Email],MATCH(B35,TPStaffTable[Tacoma Power Staff],0)))</f>
        <v/>
      </c>
    </row>
    <row r="37" spans="1:2" x14ac:dyDescent="0.3">
      <c r="A37" s="324" t="s">
        <v>169</v>
      </c>
      <c r="B37" s="461" t="str">
        <f>IF(LEN(B35)=0,"",INDEX(TPStaffTable[Phone],MATCH(B35,TPStaffTable[Tacoma Power Staff],0)))</f>
        <v/>
      </c>
    </row>
  </sheetData>
  <sheetProtection algorithmName="SHA-512" hashValue="RiOVFvP1ETe22FopOrBnIMNIjJWIO8QszOw23FCH1exrreMqzqIvHCVNcR07EoN3gxO91RtsqYr5bqZ47LZo7A==" saltValue="cWDS+fJw+NraFCSG9O4+Dg==" spinCount="100000" sheet="1" objects="1" scenarios="1"/>
  <dataValidations count="1">
    <dataValidation type="list" allowBlank="1" showInputMessage="1" showErrorMessage="1" sqref="B35" xr:uid="{85205613-73BE-4ED0-83F4-71BCB83CE4A5}">
      <formula1>INDIRECT("TPStaffTable[Tacoma Power Staff]")</formula1>
    </dataValidation>
  </dataValidations>
  <hyperlinks>
    <hyperlink ref="D1" location="Instructions!A1" display="Go to instructions." xr:uid="{56DCD3DF-2273-4728-A3DA-67E4238FED56}"/>
  </hyperlinks>
  <printOptions horizontalCentered="1"/>
  <pageMargins left="0.45" right="0.45" top="0.75" bottom="0.75" header="0.3" footer="0.3"/>
  <pageSetup orientation="portrait" r:id="rId1"/>
  <headerFooter>
    <oddHeader>&amp;C&amp;14Tacoma Power's Bright Rebates Lighting Application</oddHeader>
    <oddFooter>&amp;L&amp;9&amp;A&amp;C&amp;P of &amp;N&amp;R&amp;9Printed on &amp;D</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9BFFF-8BD8-4BF9-9FFC-55104A476D22}">
  <sheetPr>
    <tabColor rgb="FFFF3300"/>
  </sheetPr>
  <dimension ref="A1:C75"/>
  <sheetViews>
    <sheetView workbookViewId="0">
      <pane ySplit="4" topLeftCell="A5" activePane="bottomLeft" state="frozen"/>
      <selection pane="bottomLeft" activeCell="A5" sqref="A5"/>
    </sheetView>
  </sheetViews>
  <sheetFormatPr defaultColWidth="8.88671875" defaultRowHeight="14.4" x14ac:dyDescent="0.3"/>
  <cols>
    <col min="1" max="1" width="58.5546875" style="11" customWidth="1"/>
    <col min="2" max="2" width="16.109375" style="14" customWidth="1"/>
    <col min="3" max="3" width="116.44140625" style="14" bestFit="1" customWidth="1"/>
    <col min="4" max="16384" width="8.88671875" style="14"/>
  </cols>
  <sheetData>
    <row r="1" spans="1:3" s="53" customFormat="1" ht="21" x14ac:dyDescent="0.4">
      <c r="A1" s="113" t="s">
        <v>1163</v>
      </c>
      <c r="C1" s="204" t="s">
        <v>533</v>
      </c>
    </row>
    <row r="2" spans="1:3" x14ac:dyDescent="0.3">
      <c r="A2" s="14" t="s">
        <v>973</v>
      </c>
    </row>
    <row r="3" spans="1:3" s="53" customFormat="1" x14ac:dyDescent="0.3">
      <c r="A3" s="401" t="s">
        <v>1164</v>
      </c>
      <c r="C3" s="350"/>
    </row>
    <row r="4" spans="1:3" s="53" customFormat="1" x14ac:dyDescent="0.3">
      <c r="A4" s="53" t="s">
        <v>1165</v>
      </c>
    </row>
    <row r="6" spans="1:3" ht="18" x14ac:dyDescent="0.3">
      <c r="A6" s="21" t="s">
        <v>1166</v>
      </c>
    </row>
    <row r="7" spans="1:3" x14ac:dyDescent="0.3">
      <c r="A7" s="11" t="s">
        <v>1167</v>
      </c>
    </row>
    <row r="8" spans="1:3" x14ac:dyDescent="0.3">
      <c r="A8" s="11" t="s">
        <v>1168</v>
      </c>
    </row>
    <row r="9" spans="1:3" ht="28.8" x14ac:dyDescent="0.3">
      <c r="A9" s="11" t="s">
        <v>1169</v>
      </c>
    </row>
    <row r="10" spans="1:3" x14ac:dyDescent="0.3">
      <c r="A10" s="11" t="s">
        <v>1170</v>
      </c>
    </row>
    <row r="12" spans="1:3" x14ac:dyDescent="0.3">
      <c r="A12" s="11" t="s">
        <v>1171</v>
      </c>
    </row>
    <row r="13" spans="1:3" x14ac:dyDescent="0.3">
      <c r="A13" s="11" t="s">
        <v>1172</v>
      </c>
    </row>
    <row r="14" spans="1:3" x14ac:dyDescent="0.3">
      <c r="A14" s="11" t="s">
        <v>1173</v>
      </c>
    </row>
    <row r="15" spans="1:3" x14ac:dyDescent="0.3">
      <c r="A15" s="11" t="s">
        <v>1174</v>
      </c>
    </row>
    <row r="16" spans="1:3" x14ac:dyDescent="0.3">
      <c r="A16" s="11" t="s">
        <v>1175</v>
      </c>
    </row>
    <row r="17" spans="1:1" x14ac:dyDescent="0.3">
      <c r="A17" s="11" t="s">
        <v>1176</v>
      </c>
    </row>
    <row r="18" spans="1:1" x14ac:dyDescent="0.3">
      <c r="A18" s="11" t="s">
        <v>1177</v>
      </c>
    </row>
    <row r="20" spans="1:1" x14ac:dyDescent="0.3">
      <c r="A20" s="11" t="s">
        <v>1178</v>
      </c>
    </row>
    <row r="21" spans="1:1" x14ac:dyDescent="0.3">
      <c r="A21" s="11" t="s">
        <v>1179</v>
      </c>
    </row>
    <row r="22" spans="1:1" ht="28.8" x14ac:dyDescent="0.3">
      <c r="A22" s="11" t="s">
        <v>1180</v>
      </c>
    </row>
    <row r="23" spans="1:1" x14ac:dyDescent="0.3">
      <c r="A23" s="11" t="s">
        <v>1181</v>
      </c>
    </row>
    <row r="24" spans="1:1" x14ac:dyDescent="0.3">
      <c r="A24" s="11" t="s">
        <v>1182</v>
      </c>
    </row>
    <row r="26" spans="1:1" ht="28.8" x14ac:dyDescent="0.3">
      <c r="A26" s="11" t="s">
        <v>1183</v>
      </c>
    </row>
    <row r="27" spans="1:1" x14ac:dyDescent="0.3">
      <c r="A27" s="11" t="s">
        <v>1184</v>
      </c>
    </row>
    <row r="28" spans="1:1" ht="28.8" x14ac:dyDescent="0.3">
      <c r="A28" s="11" t="s">
        <v>1185</v>
      </c>
    </row>
    <row r="29" spans="1:1" x14ac:dyDescent="0.3">
      <c r="A29" s="11" t="s">
        <v>1186</v>
      </c>
    </row>
    <row r="31" spans="1:1" x14ac:dyDescent="0.3">
      <c r="A31" s="11" t="s">
        <v>1187</v>
      </c>
    </row>
    <row r="33" spans="1:3" ht="57.6" x14ac:dyDescent="0.3">
      <c r="A33" s="11" t="s">
        <v>1188</v>
      </c>
    </row>
    <row r="36" spans="1:3" ht="18" x14ac:dyDescent="0.3">
      <c r="A36" s="21" t="s">
        <v>1189</v>
      </c>
    </row>
    <row r="37" spans="1:3" ht="28.8" x14ac:dyDescent="0.3">
      <c r="A37" s="11" t="s">
        <v>1190</v>
      </c>
    </row>
    <row r="38" spans="1:3" ht="28.8" x14ac:dyDescent="0.3">
      <c r="A38" s="11" t="s">
        <v>1191</v>
      </c>
    </row>
    <row r="39" spans="1:3" ht="28.8" x14ac:dyDescent="0.3">
      <c r="A39" s="11" t="s">
        <v>1192</v>
      </c>
    </row>
    <row r="41" spans="1:3" x14ac:dyDescent="0.3">
      <c r="A41" s="91" t="s">
        <v>61</v>
      </c>
    </row>
    <row r="42" spans="1:3" x14ac:dyDescent="0.3">
      <c r="A42" s="403" t="s">
        <v>1193</v>
      </c>
      <c r="B42" s="404" t="s">
        <v>1194</v>
      </c>
      <c r="C42" s="404" t="s">
        <v>1195</v>
      </c>
    </row>
    <row r="43" spans="1:3" x14ac:dyDescent="0.3">
      <c r="A43" s="11" t="s">
        <v>1196</v>
      </c>
      <c r="B43" s="14" t="str">
        <f>Spaces!$A$1</f>
        <v>Spaces and Hours</v>
      </c>
      <c r="C43" s="14" t="s">
        <v>1197</v>
      </c>
    </row>
    <row r="44" spans="1:3" x14ac:dyDescent="0.3">
      <c r="A44" s="11" t="s">
        <v>1198</v>
      </c>
      <c r="B44" s="14">
        <f>MATCH("Row",Spaces!A1:A57,0)</f>
        <v>6</v>
      </c>
      <c r="C44" s="14" t="s">
        <v>1199</v>
      </c>
    </row>
    <row r="45" spans="1:3" x14ac:dyDescent="0.3">
      <c r="A45" s="402" t="s">
        <v>1200</v>
      </c>
      <c r="B45" s="14">
        <f>COUNTA(SpaceTable[Space Type])</f>
        <v>2</v>
      </c>
      <c r="C45" s="14" t="s">
        <v>1201</v>
      </c>
    </row>
    <row r="46" spans="1:3" x14ac:dyDescent="0.3">
      <c r="A46" s="11" t="s">
        <v>1202</v>
      </c>
      <c r="B46" s="14">
        <f>COUNTA(Spaces!$6:$6)</f>
        <v>22</v>
      </c>
      <c r="C46" s="14" t="s">
        <v>1203</v>
      </c>
    </row>
    <row r="47" spans="1:3" x14ac:dyDescent="0.3">
      <c r="A47" s="11" t="s">
        <v>1204</v>
      </c>
      <c r="C47" s="14" t="str">
        <f>_xlfn.CONCAT("OFFSET(",C43,",0,0,",C44,"+",C45,",",C46,")")</f>
        <v>OFFSET(Spaces!$A$1,0,0,MATCH("Row",Spaces!$A$1:$A$57,0)+COUNTA(SpaceTable[Space Type]),COUNTA(Spaces!$6:$6))</v>
      </c>
    </row>
    <row r="48" spans="1:3" ht="28.8" x14ac:dyDescent="0.3">
      <c r="A48" s="11" t="s">
        <v>1205</v>
      </c>
      <c r="C48" s="14" t="s">
        <v>1206</v>
      </c>
    </row>
    <row r="50" spans="1:3" x14ac:dyDescent="0.3">
      <c r="A50" s="91" t="s">
        <v>88</v>
      </c>
    </row>
    <row r="51" spans="1:3" x14ac:dyDescent="0.3">
      <c r="A51" s="403" t="s">
        <v>1193</v>
      </c>
      <c r="B51" s="404" t="s">
        <v>1194</v>
      </c>
      <c r="C51" s="404" t="s">
        <v>1195</v>
      </c>
    </row>
    <row r="52" spans="1:3" x14ac:dyDescent="0.3">
      <c r="A52" s="11" t="s">
        <v>1196</v>
      </c>
      <c r="B52" s="14" t="str">
        <f>Measures!$A$1</f>
        <v>Measures</v>
      </c>
      <c r="C52" s="14" t="s">
        <v>1207</v>
      </c>
    </row>
    <row r="53" spans="1:3" x14ac:dyDescent="0.3">
      <c r="A53" s="11" t="s">
        <v>1198</v>
      </c>
      <c r="B53" s="14">
        <f>MATCH("Row",Measures!$A$1:$A$507,0)</f>
        <v>5</v>
      </c>
      <c r="C53" s="14" t="s">
        <v>1208</v>
      </c>
    </row>
    <row r="54" spans="1:3" x14ac:dyDescent="0.3">
      <c r="A54" s="11" t="s">
        <v>1200</v>
      </c>
      <c r="B54" s="14">
        <f>COUNTA(Measures!$B$5:$B$507)</f>
        <v>3</v>
      </c>
      <c r="C54" s="14" t="s">
        <v>1209</v>
      </c>
    </row>
    <row r="55" spans="1:3" x14ac:dyDescent="0.3">
      <c r="A55" s="11" t="s">
        <v>1202</v>
      </c>
      <c r="B55" s="14">
        <f>COUNTA(Measures!$5:$5)</f>
        <v>64</v>
      </c>
      <c r="C55" s="14" t="s">
        <v>1210</v>
      </c>
    </row>
    <row r="56" spans="1:3" x14ac:dyDescent="0.3">
      <c r="A56" s="11" t="s">
        <v>1204</v>
      </c>
      <c r="C56" s="14" t="str">
        <f>_xlfn.CONCAT("OFFSET(",C52,",0,0,",C53,"+",C54,",",C55,")")</f>
        <v>OFFSET(Measures!$A$1,0,0,MATCH("Row",Measures!$A$1:$A$507,0)+COUNTA(Measures!$B$5:$B$507)-1,COUNTA(Measures!$5:$5))</v>
      </c>
    </row>
    <row r="57" spans="1:3" ht="28.8" x14ac:dyDescent="0.3">
      <c r="A57" s="11" t="s">
        <v>1205</v>
      </c>
      <c r="C57" s="14" t="s">
        <v>1211</v>
      </c>
    </row>
    <row r="59" spans="1:3" x14ac:dyDescent="0.3">
      <c r="A59" s="91" t="s">
        <v>128</v>
      </c>
    </row>
    <row r="60" spans="1:3" x14ac:dyDescent="0.3">
      <c r="A60" s="403" t="s">
        <v>1193</v>
      </c>
      <c r="B60" s="404" t="s">
        <v>1194</v>
      </c>
      <c r="C60" s="404" t="s">
        <v>1195</v>
      </c>
    </row>
    <row r="61" spans="1:3" x14ac:dyDescent="0.3">
      <c r="A61" s="11" t="s">
        <v>1196</v>
      </c>
      <c r="B61" s="14" t="str">
        <f>Walkthrough!$A$1</f>
        <v>Walkthrough</v>
      </c>
      <c r="C61" s="14" t="s">
        <v>1212</v>
      </c>
    </row>
    <row r="62" spans="1:3" x14ac:dyDescent="0.3">
      <c r="A62" s="11" t="s">
        <v>1198</v>
      </c>
      <c r="B62" s="14">
        <f>MATCH("Row",Walkthrough!$A$1:$A$507,0)</f>
        <v>7</v>
      </c>
      <c r="C62" s="14" t="s">
        <v>1213</v>
      </c>
    </row>
    <row r="63" spans="1:3" x14ac:dyDescent="0.3">
      <c r="A63" s="11" t="s">
        <v>1200</v>
      </c>
      <c r="B63" s="99">
        <f>COUNTIF(Walkthrough!$P$7:$P507,"Yes")</f>
        <v>0</v>
      </c>
      <c r="C63" s="14" t="s">
        <v>1214</v>
      </c>
    </row>
    <row r="64" spans="1:3" x14ac:dyDescent="0.3">
      <c r="A64" s="11" t="s">
        <v>1202</v>
      </c>
      <c r="B64" s="14">
        <f>COUNTA(Walkthrough!$7:$7)</f>
        <v>16</v>
      </c>
      <c r="C64" s="14" t="s">
        <v>1215</v>
      </c>
    </row>
    <row r="65" spans="1:3" x14ac:dyDescent="0.3">
      <c r="A65" s="11" t="s">
        <v>1204</v>
      </c>
      <c r="C65" s="14" t="str">
        <f>_xlfn.CONCAT("OFFSET(",C61,",0,0,",C62,"+",C63,",",C64,")")</f>
        <v>OFFSET(Walkthrough!$A$1,0,0,MATCH("Row",Walkthrough!$A$1:$A$507,0)+COUNTIF(Walkthrough!$P$7:$P507,"Yes"),COUNTA(Walkthrough!$7:$7))</v>
      </c>
    </row>
    <row r="66" spans="1:3" ht="28.8" x14ac:dyDescent="0.3">
      <c r="A66" s="11" t="s">
        <v>1205</v>
      </c>
      <c r="C66" s="14" t="s">
        <v>1216</v>
      </c>
    </row>
    <row r="68" spans="1:3" x14ac:dyDescent="0.3">
      <c r="A68" s="91" t="s">
        <v>132</v>
      </c>
    </row>
    <row r="69" spans="1:3" x14ac:dyDescent="0.3">
      <c r="A69" s="403" t="s">
        <v>1193</v>
      </c>
      <c r="B69" s="404" t="s">
        <v>1194</v>
      </c>
      <c r="C69" s="404" t="s">
        <v>1195</v>
      </c>
    </row>
    <row r="70" spans="1:3" x14ac:dyDescent="0.3">
      <c r="A70" s="11" t="s">
        <v>1196</v>
      </c>
      <c r="B70" s="14" t="str">
        <f>'Fixture Review'!$A$1</f>
        <v>Fixtures and Controls Review</v>
      </c>
      <c r="C70" s="485" t="s">
        <v>1217</v>
      </c>
    </row>
    <row r="71" spans="1:3" x14ac:dyDescent="0.3">
      <c r="A71" s="11" t="s">
        <v>1198</v>
      </c>
      <c r="B71" s="14">
        <f>MATCH("Measure",'Fixture Review'!$A$1:$A$6,0)</f>
        <v>6</v>
      </c>
      <c r="C71" s="14" t="s">
        <v>1218</v>
      </c>
    </row>
    <row r="72" spans="1:3" x14ac:dyDescent="0.3">
      <c r="A72" s="11" t="s">
        <v>1200</v>
      </c>
      <c r="B72" s="14">
        <f>COUNTA('Fixture Review'!$A$7:$A$117)</f>
        <v>11</v>
      </c>
      <c r="C72" s="14" t="s">
        <v>1219</v>
      </c>
    </row>
    <row r="73" spans="1:3" x14ac:dyDescent="0.3">
      <c r="A73" s="11" t="s">
        <v>1202</v>
      </c>
      <c r="B73" s="14">
        <f>COUNTA('Fixture Review'!$6:$6)</f>
        <v>3</v>
      </c>
      <c r="C73" s="14" t="s">
        <v>1220</v>
      </c>
    </row>
    <row r="74" spans="1:3" x14ac:dyDescent="0.3">
      <c r="A74" s="11" t="s">
        <v>1204</v>
      </c>
      <c r="C74" s="14" t="str">
        <f>_xlfn.CONCAT("OFFSET(",C70,",0,0,",C71,"+",C72,",",C73,")")</f>
        <v>OFFSET('Fixture Review'!$A$1,0,0,MATCH("Measure",'Fixture Review'!$A$1:$A$6,0)+COUNTA('Fixture Review'!$A$7:$A$119),COUNTA('Fixture Review'!$6:$6))</v>
      </c>
    </row>
    <row r="75" spans="1:3" ht="28.8" x14ac:dyDescent="0.3">
      <c r="A75" s="11" t="s">
        <v>1205</v>
      </c>
      <c r="C75" s="14" t="s">
        <v>1221</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9AAB90-F515-47B5-A70A-13B1EA0054A0}">
  <sheetPr>
    <tabColor theme="7" tint="0.79998168889431442"/>
  </sheetPr>
  <dimension ref="A1:D20"/>
  <sheetViews>
    <sheetView showGridLines="0" workbookViewId="0">
      <pane ySplit="1" topLeftCell="A2" activePane="bottomLeft" state="frozen"/>
      <selection pane="bottomLeft" activeCell="A2" sqref="A2"/>
    </sheetView>
  </sheetViews>
  <sheetFormatPr defaultRowHeight="14.4" x14ac:dyDescent="0.3"/>
  <cols>
    <col min="1" max="1" width="21" customWidth="1"/>
    <col min="2" max="2" width="55.6640625" customWidth="1"/>
    <col min="3" max="3" width="4.6640625" customWidth="1"/>
  </cols>
  <sheetData>
    <row r="1" spans="1:4" s="53" customFormat="1" ht="21" x14ac:dyDescent="0.4">
      <c r="A1" s="113" t="s">
        <v>179</v>
      </c>
      <c r="D1" s="206" t="s">
        <v>159</v>
      </c>
    </row>
    <row r="3" spans="1:4" s="14" customFormat="1" x14ac:dyDescent="0.3">
      <c r="A3" s="192" t="s">
        <v>160</v>
      </c>
      <c r="B3" s="190" t="str">
        <f>IF(LEN(Contacts!B3)=0,"",Contacts!B3)</f>
        <v/>
      </c>
    </row>
    <row r="4" spans="1:4" s="14" customFormat="1" x14ac:dyDescent="0.3"/>
    <row r="5" spans="1:4" s="14" customFormat="1" x14ac:dyDescent="0.3">
      <c r="A5" s="49" t="s">
        <v>180</v>
      </c>
    </row>
    <row r="6" spans="1:4" s="14" customFormat="1" x14ac:dyDescent="0.3">
      <c r="A6" s="133" t="s">
        <v>181</v>
      </c>
      <c r="B6" s="284"/>
    </row>
    <row r="7" spans="1:4" s="14" customFormat="1" x14ac:dyDescent="0.3">
      <c r="A7" s="133" t="s">
        <v>182</v>
      </c>
      <c r="B7" s="284"/>
    </row>
    <row r="8" spans="1:4" s="14" customFormat="1" x14ac:dyDescent="0.3">
      <c r="A8" s="133" t="s">
        <v>183</v>
      </c>
      <c r="B8" s="284"/>
    </row>
    <row r="9" spans="1:4" s="14" customFormat="1" x14ac:dyDescent="0.3">
      <c r="A9" s="133" t="s">
        <v>184</v>
      </c>
      <c r="B9" s="284"/>
    </row>
    <row r="10" spans="1:4" s="14" customFormat="1" x14ac:dyDescent="0.3">
      <c r="A10" s="133" t="s">
        <v>185</v>
      </c>
      <c r="B10" s="286"/>
    </row>
    <row r="11" spans="1:4" s="14" customFormat="1" x14ac:dyDescent="0.3"/>
    <row r="12" spans="1:4" s="14" customFormat="1" x14ac:dyDescent="0.3">
      <c r="A12" s="133" t="s">
        <v>186</v>
      </c>
      <c r="B12" s="284"/>
    </row>
    <row r="13" spans="1:4" s="14" customFormat="1" x14ac:dyDescent="0.3">
      <c r="A13" s="133" t="s">
        <v>188</v>
      </c>
      <c r="B13" s="284"/>
    </row>
    <row r="14" spans="1:4" s="14" customFormat="1" x14ac:dyDescent="0.3">
      <c r="A14"/>
      <c r="B14"/>
    </row>
    <row r="15" spans="1:4" s="14" customFormat="1" x14ac:dyDescent="0.3">
      <c r="A15" s="133" t="s">
        <v>190</v>
      </c>
      <c r="B15" s="287"/>
    </row>
    <row r="16" spans="1:4" s="14" customFormat="1" x14ac:dyDescent="0.3"/>
    <row r="18" spans="1:2" ht="124.5" customHeight="1" x14ac:dyDescent="0.3">
      <c r="A18" s="335" t="s">
        <v>191</v>
      </c>
      <c r="B18" s="285"/>
    </row>
    <row r="20" spans="1:2" x14ac:dyDescent="0.3">
      <c r="A20" s="16"/>
    </row>
  </sheetData>
  <sheetProtection algorithmName="SHA-512" hashValue="rD4NMaxxYFow4JWsA2vddtT66Mf+ZzFinONimnOxJ8WEFNgRz1u3DcmseybHe2XfxhB5f8CQp9jgejWp1cWkIw==" saltValue="7qu2c0d2Vflm5DVrvVLCCA==" spinCount="100000" sheet="1" objects="1" scenarios="1"/>
  <dataValidations count="2">
    <dataValidation type="list" allowBlank="1" showInputMessage="1" showErrorMessage="1" sqref="B12" xr:uid="{CF538927-05AB-4805-85F3-882551D72598}">
      <formula1>BuildingTypeList</formula1>
    </dataValidation>
    <dataValidation type="list" allowBlank="1" showInputMessage="1" showErrorMessage="1" sqref="B13" xr:uid="{9077FC4C-9673-4852-B9C5-BD17F94DBDA6}">
      <formula1>TPURateClass</formula1>
    </dataValidation>
  </dataValidations>
  <hyperlinks>
    <hyperlink ref="D1" location="Instructions!A1" display="Go to instructions." xr:uid="{243DBA07-B836-41BA-8B86-7D782B9210D5}"/>
  </hyperlinks>
  <printOptions horizontalCentered="1"/>
  <pageMargins left="0.45" right="0.45" top="0.75" bottom="0.75" header="0.3" footer="0.3"/>
  <pageSetup orientation="portrait" r:id="rId1"/>
  <headerFooter>
    <oddHeader>&amp;C&amp;14Tacoma Power's Bright Rebates Lighting Application</oddHeader>
    <oddFooter>&amp;L&amp;9&amp;A&amp;C&amp;P of &amp;N&amp;R&amp;9Printed on &amp;D</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B2CC0-3C14-4E0D-BB08-7C07DADFC3EB}">
  <sheetPr>
    <tabColor theme="7" tint="0.79998168889431442"/>
  </sheetPr>
  <dimension ref="A1:W57"/>
  <sheetViews>
    <sheetView showGridLines="0" zoomScaleNormal="100" workbookViewId="0">
      <pane xSplit="3" ySplit="6" topLeftCell="D8" activePane="bottomRight" state="frozen"/>
      <selection pane="topRight" activeCell="D1" sqref="D1"/>
      <selection pane="bottomLeft" activeCell="A6" sqref="A6"/>
      <selection pane="bottomRight" activeCell="A3" sqref="A3"/>
    </sheetView>
  </sheetViews>
  <sheetFormatPr defaultColWidth="8.88671875" defaultRowHeight="14.4" outlineLevelRow="1" outlineLevelCol="1" x14ac:dyDescent="0.3"/>
  <cols>
    <col min="1" max="1" width="6.109375" style="14" customWidth="1"/>
    <col min="2" max="2" width="20.33203125" style="14" customWidth="1"/>
    <col min="3" max="3" width="25.6640625" style="14" customWidth="1"/>
    <col min="4" max="4" width="18.6640625" style="14" customWidth="1"/>
    <col min="5" max="5" width="15.6640625" style="14" customWidth="1"/>
    <col min="8" max="14" width="10.44140625" style="14" customWidth="1"/>
    <col min="16" max="16" width="39.88671875" customWidth="1"/>
    <col min="17" max="17" width="13.33203125" style="14" hidden="1" customWidth="1" outlineLevel="1"/>
    <col min="18" max="18" width="40.88671875" style="14" hidden="1" customWidth="1" outlineLevel="1"/>
    <col min="19" max="19" width="28.6640625" hidden="1" customWidth="1" outlineLevel="1"/>
    <col min="20" max="20" width="28.44140625" style="14" hidden="1" customWidth="1" outlineLevel="1"/>
    <col min="21" max="21" width="21.5546875" style="14" hidden="1" customWidth="1" outlineLevel="1"/>
    <col min="22" max="22" width="49.6640625" style="14" hidden="1" customWidth="1" outlineLevel="1"/>
    <col min="23" max="23" width="35.109375" style="14" customWidth="1" collapsed="1"/>
    <col min="24" max="24" width="41" style="14" customWidth="1"/>
    <col min="25" max="16384" width="8.88671875" style="14"/>
  </cols>
  <sheetData>
    <row r="1" spans="1:22" s="53" customFormat="1" ht="21" x14ac:dyDescent="0.4">
      <c r="A1" s="113" t="s">
        <v>192</v>
      </c>
      <c r="D1" s="522" t="s">
        <v>193</v>
      </c>
      <c r="E1" s="194"/>
      <c r="F1" s="194"/>
      <c r="G1" s="194"/>
      <c r="H1" s="194"/>
      <c r="I1" s="194"/>
      <c r="J1" s="194"/>
      <c r="K1" s="194"/>
      <c r="L1" s="194"/>
      <c r="M1" s="194"/>
      <c r="Q1" s="194"/>
    </row>
    <row r="2" spans="1:22" x14ac:dyDescent="0.3">
      <c r="A2" s="393" t="str">
        <f>_xlfn.CONCAT("Project Name: ",IF(LEN(Contacts!B3)=0,"",Contacts!B3))</f>
        <v xml:space="preserve">Project Name: </v>
      </c>
      <c r="B2" s="193"/>
      <c r="C2" s="190"/>
      <c r="D2" s="190"/>
      <c r="F2" s="14"/>
      <c r="G2" s="14"/>
      <c r="N2" s="206" t="s">
        <v>159</v>
      </c>
      <c r="O2" s="14"/>
      <c r="P2" s="14"/>
      <c r="S2" s="14"/>
    </row>
    <row r="3" spans="1:22" x14ac:dyDescent="0.3">
      <c r="F3" s="14"/>
      <c r="G3" s="14"/>
      <c r="O3" s="14"/>
      <c r="P3" s="14"/>
      <c r="S3" s="14"/>
    </row>
    <row r="4" spans="1:22" x14ac:dyDescent="0.3">
      <c r="A4" s="66" t="s">
        <v>194</v>
      </c>
      <c r="B4" s="66"/>
      <c r="C4" s="67"/>
      <c r="D4" s="67"/>
      <c r="E4" s="281"/>
      <c r="F4" s="314" t="s">
        <v>195</v>
      </c>
      <c r="G4" s="52"/>
      <c r="H4" s="52"/>
      <c r="I4" s="52"/>
      <c r="J4" s="52"/>
      <c r="K4" s="52"/>
      <c r="L4" s="52"/>
      <c r="O4" s="274"/>
      <c r="P4" s="315" t="s">
        <v>196</v>
      </c>
      <c r="Q4" s="66" t="s">
        <v>197</v>
      </c>
      <c r="R4" s="66" t="s">
        <v>198</v>
      </c>
      <c r="S4" s="67"/>
      <c r="V4" s="14" t="s">
        <v>199</v>
      </c>
    </row>
    <row r="5" spans="1:22" ht="3" customHeight="1" x14ac:dyDescent="0.3">
      <c r="A5" s="68"/>
      <c r="B5" s="68"/>
      <c r="C5" s="68"/>
      <c r="D5" s="68"/>
      <c r="E5" s="282"/>
      <c r="F5" s="68"/>
      <c r="G5" s="68"/>
      <c r="H5" s="68"/>
      <c r="I5" s="68"/>
      <c r="J5" s="68"/>
      <c r="K5" s="68"/>
      <c r="L5" s="68"/>
      <c r="M5" s="68"/>
      <c r="N5" s="68"/>
      <c r="O5" s="282"/>
      <c r="P5" s="282"/>
      <c r="Q5" s="68"/>
      <c r="R5" s="68"/>
      <c r="S5" s="68"/>
      <c r="T5" s="68"/>
      <c r="U5" s="68"/>
    </row>
    <row r="6" spans="1:22" s="53" customFormat="1" ht="30" customHeight="1" thickBot="1" x14ac:dyDescent="0.35">
      <c r="A6" s="214" t="s">
        <v>200</v>
      </c>
      <c r="B6" s="214" t="s">
        <v>201</v>
      </c>
      <c r="C6" s="214" t="s">
        <v>202</v>
      </c>
      <c r="D6" s="214" t="s">
        <v>203</v>
      </c>
      <c r="E6" s="280" t="s">
        <v>204</v>
      </c>
      <c r="F6" s="214" t="s">
        <v>205</v>
      </c>
      <c r="G6" s="214" t="s">
        <v>206</v>
      </c>
      <c r="H6" s="214" t="s">
        <v>207</v>
      </c>
      <c r="I6" s="214" t="s">
        <v>208</v>
      </c>
      <c r="J6" s="214" t="s">
        <v>209</v>
      </c>
      <c r="K6" s="214" t="s">
        <v>210</v>
      </c>
      <c r="L6" s="280" t="s">
        <v>211</v>
      </c>
      <c r="M6" s="211" t="s">
        <v>212</v>
      </c>
      <c r="N6" s="211" t="s">
        <v>213</v>
      </c>
      <c r="O6" s="275" t="s">
        <v>214</v>
      </c>
      <c r="P6" s="280" t="s">
        <v>215</v>
      </c>
      <c r="Q6" s="524" t="s">
        <v>216</v>
      </c>
      <c r="R6" s="48" t="s">
        <v>217</v>
      </c>
      <c r="S6" s="48" t="s">
        <v>218</v>
      </c>
      <c r="T6" s="48" t="s">
        <v>219</v>
      </c>
      <c r="U6" s="48" t="s">
        <v>220</v>
      </c>
      <c r="V6" s="18" t="s">
        <v>221</v>
      </c>
    </row>
    <row r="7" spans="1:22" hidden="1" outlineLevel="1" x14ac:dyDescent="0.3">
      <c r="A7" s="212" t="s">
        <v>222</v>
      </c>
      <c r="B7" s="190" t="s">
        <v>223</v>
      </c>
      <c r="C7" s="190" t="s">
        <v>224</v>
      </c>
      <c r="D7" s="190" t="s">
        <v>225</v>
      </c>
      <c r="E7" s="276" t="s">
        <v>226</v>
      </c>
      <c r="F7" s="213" t="s">
        <v>227</v>
      </c>
      <c r="G7" s="213" t="s">
        <v>228</v>
      </c>
      <c r="H7" s="213" t="s">
        <v>229</v>
      </c>
      <c r="I7" s="190" t="s">
        <v>230</v>
      </c>
      <c r="J7" s="190" t="s">
        <v>231</v>
      </c>
      <c r="K7" s="190" t="s">
        <v>232</v>
      </c>
      <c r="L7" s="276" t="s">
        <v>233</v>
      </c>
      <c r="M7" s="190" t="s">
        <v>234</v>
      </c>
      <c r="N7" s="190" t="s">
        <v>235</v>
      </c>
      <c r="O7" s="276" t="s">
        <v>236</v>
      </c>
      <c r="P7" s="274" t="s">
        <v>237</v>
      </c>
      <c r="Q7" s="14" t="s">
        <v>238</v>
      </c>
      <c r="R7" s="14" t="s">
        <v>239</v>
      </c>
      <c r="S7" s="14" t="s">
        <v>240</v>
      </c>
      <c r="T7" t="s">
        <v>241</v>
      </c>
      <c r="U7" s="305" t="s">
        <v>242</v>
      </c>
      <c r="V7" s="14" t="s">
        <v>243</v>
      </c>
    </row>
    <row r="8" spans="1:22" collapsed="1" x14ac:dyDescent="0.3">
      <c r="A8" s="133">
        <v>1</v>
      </c>
      <c r="B8" s="344" t="s">
        <v>244</v>
      </c>
      <c r="C8" s="345" t="s">
        <v>245</v>
      </c>
      <c r="D8" s="344" t="s">
        <v>246</v>
      </c>
      <c r="E8" s="346" t="s">
        <v>247</v>
      </c>
      <c r="F8" s="347">
        <v>12</v>
      </c>
      <c r="G8" s="344">
        <v>12</v>
      </c>
      <c r="H8" s="344">
        <v>12</v>
      </c>
      <c r="I8" s="344">
        <v>12</v>
      </c>
      <c r="J8" s="344">
        <v>12</v>
      </c>
      <c r="K8" s="344">
        <v>12</v>
      </c>
      <c r="L8" s="346">
        <v>12</v>
      </c>
      <c r="M8" s="347">
        <v>52</v>
      </c>
      <c r="N8" s="133">
        <f>IF(ISBLANK(SpaceTable[[#This Row],[Space Type]]),"",SUM(F8:L8))</f>
        <v>84</v>
      </c>
      <c r="O8" s="277">
        <f>IF(ISBLANK(SpaceTable[[#This Row],[Space Type]]),"",ROUND(SpaceTable[[#This Row],[Weekly Hours]]*SpaceTable[[#This Row],[Weeks per Year]]*(DaysInYear/(DaysInWeek*WeeksInYear)),0))</f>
        <v>4380</v>
      </c>
      <c r="P8" s="293"/>
      <c r="Q8" s="142">
        <f>IF(ISBLANK(SpaceTable[[#This Row],[Space Type]]),"",IF(ISERROR(SpaceTable[[#This Row],[HVAC Factor Lookup Helper]]),0,SpaceTable[[#This Row],[HVAC Factor Lookup Helper]]))</f>
        <v>0</v>
      </c>
      <c r="R8" s="279" t="str" cm="1">
        <f t="array" ref="R8">INDEX(SpaceConditionTable[Space Conditioning Type],MATCH(1,(SpaceConditionTable[Heating Type]=D8)*(SpaceConditionTable[Cooling Type]=E8),0))</f>
        <v>None/Exterior</v>
      </c>
      <c r="S8" s="134" t="e">
        <f>INDEX(HVACFactorTable[#Data],MATCH(BuildingTypeField,HVACFactorTable[Building Type],0),MATCH(R8,HVACFactorTable[#Headers],0))</f>
        <v>#N/A</v>
      </c>
      <c r="T8" s="134" t="str">
        <f>IF(AND(ISBLANK(SpaceTable[[#This Row],[Space Type]]),ISBLANK(SpaceTable[[#This Row],[Space Description]])),"",IF(ISBLANK(SpaceTable[[#This Row],[Space Description]]),SpaceTable[[#This Row],[Space Type]],_xlfn.CONCAT(SpaceTable[[#This Row],[Space Type]]," - ",SpaceTable[[#This Row],[Space Description]])))</f>
        <v>Exterior - Dusk to Dawn</v>
      </c>
      <c r="U8" s="134" t="b">
        <f>IF(ISBLANK(SpaceTable[[#This Row],[Space Type]]),"",COUNTIF($T$8:$T$57,SpaceTable[[#This Row],[Space Name Concatenated Helper]])=1)</f>
        <v>1</v>
      </c>
      <c r="V8" s="14" t="str" cm="1">
        <f t="array" ref="V8">IF(COUNTIF(U8:U57,"FALSE")&gt;0,"",_xlfn._xlws.FILTER(T8:T57,T8:T57&lt;&gt;""))</f>
        <v>Exterior - Dusk to Dawn</v>
      </c>
    </row>
    <row r="9" spans="1:22" x14ac:dyDescent="0.3">
      <c r="A9" s="133">
        <v>2</v>
      </c>
      <c r="B9" s="290"/>
      <c r="C9" s="343"/>
      <c r="D9" s="290"/>
      <c r="E9" s="291"/>
      <c r="F9" s="292"/>
      <c r="G9" s="290"/>
      <c r="H9" s="290"/>
      <c r="I9" s="290"/>
      <c r="J9" s="290"/>
      <c r="K9" s="290"/>
      <c r="L9" s="291"/>
      <c r="M9" s="292"/>
      <c r="N9" s="133" t="str">
        <f>IF(ISBLANK(SpaceTable[[#This Row],[Space Type]]),"",SUM(F9:L9))</f>
        <v/>
      </c>
      <c r="O9" s="278" t="str">
        <f>IF(ISBLANK(SpaceTable[[#This Row],[Space Type]]),"",ROUND(SpaceTable[[#This Row],[Weekly Hours]]*SpaceTable[[#This Row],[Weeks per Year]]*(DaysInYear/(DaysInWeek*WeeksInYear)),0))</f>
        <v/>
      </c>
      <c r="P9" s="293"/>
      <c r="Q9" s="142" t="str">
        <f>IF(ISBLANK(SpaceTable[[#This Row],[Space Type]]),"",IF(ISERROR(SpaceTable[[#This Row],[HVAC Factor Lookup Helper]]),0,SpaceTable[[#This Row],[HVAC Factor Lookup Helper]]))</f>
        <v/>
      </c>
      <c r="R9" s="279" t="e" cm="1">
        <f t="array" ref="R9">INDEX(SpaceConditionTable[Space Conditioning Type],MATCH(1,(SpaceConditionTable[Heating Type]=D9)*(SpaceConditionTable[Cooling Type]=E9),0))</f>
        <v>#N/A</v>
      </c>
      <c r="S9" s="134" t="e">
        <f>INDEX(HVACFactorTable[#Data],MATCH(BuildingTypeField,HVACFactorTable[Building Type],0),MATCH(R9,HVACFactorTable[#Headers],0))</f>
        <v>#N/A</v>
      </c>
      <c r="T9" s="134" t="str">
        <f>IF(AND(ISBLANK(SpaceTable[[#This Row],[Space Type]]),ISBLANK(SpaceTable[[#This Row],[Space Description]])),"",IF(ISBLANK(SpaceTable[[#This Row],[Space Description]]),SpaceTable[[#This Row],[Space Type]],_xlfn.CONCAT(SpaceTable[[#This Row],[Space Type]]," - ",SpaceTable[[#This Row],[Space Description]])))</f>
        <v/>
      </c>
      <c r="U9" s="134" t="str">
        <f>IF(ISBLANK(SpaceTable[[#This Row],[Space Type]]),"",COUNTIF($T$8:$T$57,SpaceTable[[#This Row],[Space Name Concatenated Helper]])=1)</f>
        <v/>
      </c>
    </row>
    <row r="10" spans="1:22" x14ac:dyDescent="0.3">
      <c r="A10" s="133">
        <v>3</v>
      </c>
      <c r="B10" s="290"/>
      <c r="C10" s="343"/>
      <c r="D10" s="290"/>
      <c r="E10" s="291"/>
      <c r="F10" s="292"/>
      <c r="G10" s="290"/>
      <c r="H10" s="290"/>
      <c r="I10" s="290"/>
      <c r="J10" s="290"/>
      <c r="K10" s="290"/>
      <c r="L10" s="291"/>
      <c r="M10" s="292"/>
      <c r="N10" s="133" t="str">
        <f>IF(ISBLANK(SpaceTable[[#This Row],[Space Type]]),"",SUM(F10:L10))</f>
        <v/>
      </c>
      <c r="O10" s="278" t="str">
        <f>IF(ISBLANK(SpaceTable[[#This Row],[Space Type]]),"",ROUND(SpaceTable[[#This Row],[Weekly Hours]]*SpaceTable[[#This Row],[Weeks per Year]]*(DaysInYear/(DaysInWeek*WeeksInYear)),0))</f>
        <v/>
      </c>
      <c r="P10" s="293"/>
      <c r="Q10" s="142" t="str">
        <f>IF(ISBLANK(SpaceTable[[#This Row],[Space Type]]),"",IF(ISERROR(SpaceTable[[#This Row],[HVAC Factor Lookup Helper]]),0,SpaceTable[[#This Row],[HVAC Factor Lookup Helper]]))</f>
        <v/>
      </c>
      <c r="R10" s="279" t="e" cm="1">
        <f t="array" ref="R10">INDEX(SpaceConditionTable[Space Conditioning Type],MATCH(1,(SpaceConditionTable[Heating Type]=D10)*(SpaceConditionTable[Cooling Type]=E10),0))</f>
        <v>#N/A</v>
      </c>
      <c r="S10" s="134" t="e">
        <f>INDEX(HVACFactorTable[#Data],MATCH(BuildingTypeField,HVACFactorTable[Building Type],0),MATCH(R10,HVACFactorTable[#Headers],0))</f>
        <v>#N/A</v>
      </c>
      <c r="T10" s="134" t="str">
        <f>IF(AND(ISBLANK(SpaceTable[[#This Row],[Space Type]]),ISBLANK(SpaceTable[[#This Row],[Space Description]])),"",IF(ISBLANK(SpaceTable[[#This Row],[Space Description]]),SpaceTable[[#This Row],[Space Type]],_xlfn.CONCAT(SpaceTable[[#This Row],[Space Type]]," - ",SpaceTable[[#This Row],[Space Description]])))</f>
        <v/>
      </c>
      <c r="U10" s="134" t="str">
        <f>IF(ISBLANK(SpaceTable[[#This Row],[Space Type]]),"",COUNTIF($T$8:$T$57,SpaceTable[[#This Row],[Space Name Concatenated Helper]])=1)</f>
        <v/>
      </c>
    </row>
    <row r="11" spans="1:22" x14ac:dyDescent="0.3">
      <c r="A11" s="133">
        <v>4</v>
      </c>
      <c r="B11" s="290"/>
      <c r="C11" s="343"/>
      <c r="D11" s="290"/>
      <c r="E11" s="291"/>
      <c r="F11" s="292"/>
      <c r="G11" s="290"/>
      <c r="H11" s="290"/>
      <c r="I11" s="290"/>
      <c r="J11" s="290"/>
      <c r="K11" s="290"/>
      <c r="L11" s="291"/>
      <c r="M11" s="292"/>
      <c r="N11" s="135" t="str">
        <f>IF(ISBLANK(SpaceTable[[#This Row],[Space Type]]),"",SUM(F11:L11))</f>
        <v/>
      </c>
      <c r="O11" s="278" t="str">
        <f>IF(ISBLANK(SpaceTable[[#This Row],[Space Type]]),"",ROUND(SpaceTable[[#This Row],[Weekly Hours]]*SpaceTable[[#This Row],[Weeks per Year]]*(DaysInYear/(DaysInWeek*WeeksInYear)),0))</f>
        <v/>
      </c>
      <c r="P11" s="293"/>
      <c r="Q11" s="142" t="str">
        <f>IF(ISBLANK(SpaceTable[[#This Row],[Space Type]]),"",IF(ISERROR(SpaceTable[[#This Row],[HVAC Factor Lookup Helper]]),0,SpaceTable[[#This Row],[HVAC Factor Lookup Helper]]))</f>
        <v/>
      </c>
      <c r="R11" s="279" t="e" cm="1">
        <f t="array" ref="R11">INDEX(SpaceConditionTable[Space Conditioning Type],MATCH(1,(SpaceConditionTable[Heating Type]=D11)*(SpaceConditionTable[Cooling Type]=E11),0))</f>
        <v>#N/A</v>
      </c>
      <c r="S11" s="134" t="e">
        <f>INDEX(HVACFactorTable[#Data],MATCH(BuildingTypeField,HVACFactorTable[Building Type],0),MATCH(R11,HVACFactorTable[#Headers],0))</f>
        <v>#N/A</v>
      </c>
      <c r="T11" s="134" t="str">
        <f>IF(AND(ISBLANK(SpaceTable[[#This Row],[Space Type]]),ISBLANK(SpaceTable[[#This Row],[Space Description]])),"",IF(ISBLANK(SpaceTable[[#This Row],[Space Description]]),SpaceTable[[#This Row],[Space Type]],_xlfn.CONCAT(SpaceTable[[#This Row],[Space Type]]," - ",SpaceTable[[#This Row],[Space Description]])))</f>
        <v/>
      </c>
      <c r="U11" s="134" t="str">
        <f>IF(ISBLANK(SpaceTable[[#This Row],[Space Type]]),"",COUNTIF($T$8:$T$57,SpaceTable[[#This Row],[Space Name Concatenated Helper]])=1)</f>
        <v/>
      </c>
    </row>
    <row r="12" spans="1:22" x14ac:dyDescent="0.3">
      <c r="A12" s="133">
        <v>5</v>
      </c>
      <c r="B12" s="290"/>
      <c r="C12" s="343"/>
      <c r="D12" s="290"/>
      <c r="E12" s="291"/>
      <c r="F12" s="292"/>
      <c r="G12" s="290"/>
      <c r="H12" s="290"/>
      <c r="I12" s="290"/>
      <c r="J12" s="290"/>
      <c r="K12" s="290"/>
      <c r="L12" s="291"/>
      <c r="M12" s="292"/>
      <c r="N12" s="135" t="str">
        <f>IF(ISBLANK(SpaceTable[[#This Row],[Space Type]]),"",SUM(F12:L12))</f>
        <v/>
      </c>
      <c r="O12" s="278" t="str">
        <f>IF(ISBLANK(SpaceTable[[#This Row],[Space Type]]),"",ROUND(SpaceTable[[#This Row],[Weekly Hours]]*SpaceTable[[#This Row],[Weeks per Year]]*(DaysInYear/(DaysInWeek*WeeksInYear)),0))</f>
        <v/>
      </c>
      <c r="P12" s="293"/>
      <c r="Q12" s="142" t="str">
        <f>IF(ISBLANK(SpaceTable[[#This Row],[Space Type]]),"",IF(ISERROR(SpaceTable[[#This Row],[HVAC Factor Lookup Helper]]),0,SpaceTable[[#This Row],[HVAC Factor Lookup Helper]]))</f>
        <v/>
      </c>
      <c r="R12" s="279" t="e" cm="1">
        <f t="array" ref="R12">INDEX(SpaceConditionTable[Space Conditioning Type],MATCH(1,(SpaceConditionTable[Heating Type]=D12)*(SpaceConditionTable[Cooling Type]=E12),0))</f>
        <v>#N/A</v>
      </c>
      <c r="S12" s="134" t="e">
        <f>INDEX(HVACFactorTable[#Data],MATCH(BuildingTypeField,HVACFactorTable[Building Type],0),MATCH(R12,HVACFactorTable[#Headers],0))</f>
        <v>#N/A</v>
      </c>
      <c r="T12" s="134" t="str">
        <f>IF(AND(ISBLANK(SpaceTable[[#This Row],[Space Type]]),ISBLANK(SpaceTable[[#This Row],[Space Description]])),"",IF(ISBLANK(SpaceTable[[#This Row],[Space Description]]),SpaceTable[[#This Row],[Space Type]],_xlfn.CONCAT(SpaceTable[[#This Row],[Space Type]]," - ",SpaceTable[[#This Row],[Space Description]])))</f>
        <v/>
      </c>
      <c r="U12" s="134" t="str">
        <f>IF(ISBLANK(SpaceTable[[#This Row],[Space Type]]),"",COUNTIF($T$8:$T$57,SpaceTable[[#This Row],[Space Name Concatenated Helper]])=1)</f>
        <v/>
      </c>
    </row>
    <row r="13" spans="1:22" x14ac:dyDescent="0.3">
      <c r="A13" s="133">
        <v>6</v>
      </c>
      <c r="B13" s="290"/>
      <c r="C13" s="343"/>
      <c r="D13" s="290"/>
      <c r="E13" s="291"/>
      <c r="F13" s="292"/>
      <c r="G13" s="290"/>
      <c r="H13" s="290"/>
      <c r="I13" s="290"/>
      <c r="J13" s="290"/>
      <c r="K13" s="290"/>
      <c r="L13" s="291"/>
      <c r="M13" s="292"/>
      <c r="N13" s="135" t="str">
        <f>IF(ISBLANK(SpaceTable[[#This Row],[Space Type]]),"",SUM(F13:L13))</f>
        <v/>
      </c>
      <c r="O13" s="278" t="str">
        <f>IF(ISBLANK(SpaceTable[[#This Row],[Space Type]]),"",ROUND(SpaceTable[[#This Row],[Weekly Hours]]*SpaceTable[[#This Row],[Weeks per Year]]*(DaysInYear/(DaysInWeek*WeeksInYear)),0))</f>
        <v/>
      </c>
      <c r="P13" s="293"/>
      <c r="Q13" s="142" t="str">
        <f>IF(ISBLANK(SpaceTable[[#This Row],[Space Type]]),"",IF(ISERROR(SpaceTable[[#This Row],[HVAC Factor Lookup Helper]]),0,SpaceTable[[#This Row],[HVAC Factor Lookup Helper]]))</f>
        <v/>
      </c>
      <c r="R13" s="279" t="e" cm="1">
        <f t="array" ref="R13">INDEX(SpaceConditionTable[Space Conditioning Type],MATCH(1,(SpaceConditionTable[Heating Type]=D13)*(SpaceConditionTable[Cooling Type]=E13),0))</f>
        <v>#N/A</v>
      </c>
      <c r="S13" s="134" t="e">
        <f>INDEX(HVACFactorTable[#Data],MATCH(BuildingTypeField,HVACFactorTable[Building Type],0),MATCH(R13,HVACFactorTable[#Headers],0))</f>
        <v>#N/A</v>
      </c>
      <c r="T13" s="134" t="str">
        <f>IF(AND(ISBLANK(SpaceTable[[#This Row],[Space Type]]),ISBLANK(SpaceTable[[#This Row],[Space Description]])),"",IF(ISBLANK(SpaceTable[[#This Row],[Space Description]]),SpaceTable[[#This Row],[Space Type]],_xlfn.CONCAT(SpaceTable[[#This Row],[Space Type]]," - ",SpaceTable[[#This Row],[Space Description]])))</f>
        <v/>
      </c>
      <c r="U13" s="134" t="str">
        <f>IF(ISBLANK(SpaceTable[[#This Row],[Space Type]]),"",COUNTIF($T$8:$T$57,SpaceTable[[#This Row],[Space Name Concatenated Helper]])=1)</f>
        <v/>
      </c>
    </row>
    <row r="14" spans="1:22" x14ac:dyDescent="0.3">
      <c r="A14" s="133">
        <v>7</v>
      </c>
      <c r="B14" s="290"/>
      <c r="C14" s="343"/>
      <c r="D14" s="290"/>
      <c r="E14" s="291"/>
      <c r="F14" s="292"/>
      <c r="G14" s="290"/>
      <c r="H14" s="290"/>
      <c r="I14" s="290"/>
      <c r="J14" s="290"/>
      <c r="K14" s="290"/>
      <c r="L14" s="291"/>
      <c r="M14" s="292"/>
      <c r="N14" s="135" t="str">
        <f>IF(ISBLANK(SpaceTable[[#This Row],[Space Type]]),"",SUM(F14:L14))</f>
        <v/>
      </c>
      <c r="O14" s="278" t="str">
        <f>IF(ISBLANK(SpaceTable[[#This Row],[Space Type]]),"",ROUND(SpaceTable[[#This Row],[Weekly Hours]]*SpaceTable[[#This Row],[Weeks per Year]]*(DaysInYear/(DaysInWeek*WeeksInYear)),0))</f>
        <v/>
      </c>
      <c r="P14" s="293"/>
      <c r="Q14" s="142" t="str">
        <f>IF(ISBLANK(SpaceTable[[#This Row],[Space Type]]),"",IF(ISERROR(SpaceTable[[#This Row],[HVAC Factor Lookup Helper]]),0,SpaceTable[[#This Row],[HVAC Factor Lookup Helper]]))</f>
        <v/>
      </c>
      <c r="R14" s="279" t="e" cm="1">
        <f t="array" ref="R14">INDEX(SpaceConditionTable[Space Conditioning Type],MATCH(1,(SpaceConditionTable[Heating Type]=D14)*(SpaceConditionTable[Cooling Type]=E14),0))</f>
        <v>#N/A</v>
      </c>
      <c r="S14" s="134" t="e">
        <f>INDEX(HVACFactorTable[#Data],MATCH(BuildingTypeField,HVACFactorTable[Building Type],0),MATCH(R14,HVACFactorTable[#Headers],0))</f>
        <v>#N/A</v>
      </c>
      <c r="T14" s="134" t="str">
        <f>IF(AND(ISBLANK(SpaceTable[[#This Row],[Space Type]]),ISBLANK(SpaceTable[[#This Row],[Space Description]])),"",IF(ISBLANK(SpaceTable[[#This Row],[Space Description]]),SpaceTable[[#This Row],[Space Type]],_xlfn.CONCAT(SpaceTable[[#This Row],[Space Type]]," - ",SpaceTable[[#This Row],[Space Description]])))</f>
        <v/>
      </c>
      <c r="U14" s="134" t="str">
        <f>IF(ISBLANK(SpaceTable[[#This Row],[Space Type]]),"",COUNTIF($T$8:$T$57,SpaceTable[[#This Row],[Space Name Concatenated Helper]])=1)</f>
        <v/>
      </c>
    </row>
    <row r="15" spans="1:22" x14ac:dyDescent="0.3">
      <c r="A15" s="133">
        <v>8</v>
      </c>
      <c r="B15" s="290"/>
      <c r="C15" s="343"/>
      <c r="D15" s="290"/>
      <c r="E15" s="291"/>
      <c r="F15" s="292"/>
      <c r="G15" s="290"/>
      <c r="H15" s="290"/>
      <c r="I15" s="290"/>
      <c r="J15" s="290"/>
      <c r="K15" s="290"/>
      <c r="L15" s="291"/>
      <c r="M15" s="292"/>
      <c r="N15" s="135" t="str">
        <f>IF(ISBLANK(SpaceTable[[#This Row],[Space Type]]),"",SUM(F15:L15))</f>
        <v/>
      </c>
      <c r="O15" s="278" t="str">
        <f>IF(ISBLANK(SpaceTable[[#This Row],[Space Type]]),"",ROUND(SpaceTable[[#This Row],[Weekly Hours]]*SpaceTable[[#This Row],[Weeks per Year]]*(DaysInYear/(DaysInWeek*WeeksInYear)),0))</f>
        <v/>
      </c>
      <c r="P15" s="293"/>
      <c r="Q15" s="142" t="str">
        <f>IF(ISBLANK(SpaceTable[[#This Row],[Space Type]]),"",IF(ISERROR(SpaceTable[[#This Row],[HVAC Factor Lookup Helper]]),0,SpaceTable[[#This Row],[HVAC Factor Lookup Helper]]))</f>
        <v/>
      </c>
      <c r="R15" s="279" t="e" cm="1">
        <f t="array" ref="R15">INDEX(SpaceConditionTable[Space Conditioning Type],MATCH(1,(SpaceConditionTable[Heating Type]=D15)*(SpaceConditionTable[Cooling Type]=E15),0))</f>
        <v>#N/A</v>
      </c>
      <c r="S15" s="134" t="e">
        <f>INDEX(HVACFactorTable[#Data],MATCH(BuildingTypeField,HVACFactorTable[Building Type],0),MATCH(R15,HVACFactorTable[#Headers],0))</f>
        <v>#N/A</v>
      </c>
      <c r="T15" s="134" t="str">
        <f>IF(AND(ISBLANK(SpaceTable[[#This Row],[Space Type]]),ISBLANK(SpaceTable[[#This Row],[Space Description]])),"",IF(ISBLANK(SpaceTable[[#This Row],[Space Description]]),SpaceTable[[#This Row],[Space Type]],_xlfn.CONCAT(SpaceTable[[#This Row],[Space Type]]," - ",SpaceTable[[#This Row],[Space Description]])))</f>
        <v/>
      </c>
      <c r="U15" s="134" t="str">
        <f>IF(ISBLANK(SpaceTable[[#This Row],[Space Type]]),"",COUNTIF($T$8:$T$57,SpaceTable[[#This Row],[Space Name Concatenated Helper]])=1)</f>
        <v/>
      </c>
    </row>
    <row r="16" spans="1:22" x14ac:dyDescent="0.3">
      <c r="A16" s="133">
        <v>9</v>
      </c>
      <c r="B16" s="290"/>
      <c r="C16" s="343"/>
      <c r="D16" s="290"/>
      <c r="E16" s="291"/>
      <c r="F16" s="292"/>
      <c r="G16" s="290"/>
      <c r="H16" s="290"/>
      <c r="I16" s="290"/>
      <c r="J16" s="290"/>
      <c r="K16" s="290"/>
      <c r="L16" s="291"/>
      <c r="M16" s="292"/>
      <c r="N16" s="135" t="str">
        <f>IF(ISBLANK(SpaceTable[[#This Row],[Space Type]]),"",SUM(F16:L16))</f>
        <v/>
      </c>
      <c r="O16" s="278" t="str">
        <f>IF(ISBLANK(SpaceTable[[#This Row],[Space Type]]),"",ROUND(SpaceTable[[#This Row],[Weekly Hours]]*SpaceTable[[#This Row],[Weeks per Year]]*(DaysInYear/(DaysInWeek*WeeksInYear)),0))</f>
        <v/>
      </c>
      <c r="P16" s="293"/>
      <c r="Q16" s="142" t="str">
        <f>IF(ISBLANK(SpaceTable[[#This Row],[Space Type]]),"",IF(ISERROR(SpaceTable[[#This Row],[HVAC Factor Lookup Helper]]),0,SpaceTable[[#This Row],[HVAC Factor Lookup Helper]]))</f>
        <v/>
      </c>
      <c r="R16" s="279" t="e" cm="1">
        <f t="array" ref="R16">INDEX(SpaceConditionTable[Space Conditioning Type],MATCH(1,(SpaceConditionTable[Heating Type]=D16)*(SpaceConditionTable[Cooling Type]=E16),0))</f>
        <v>#N/A</v>
      </c>
      <c r="S16" s="134" t="e">
        <f>INDEX(HVACFactorTable[#Data],MATCH(BuildingTypeField,HVACFactorTable[Building Type],0),MATCH(R16,HVACFactorTable[#Headers],0))</f>
        <v>#N/A</v>
      </c>
      <c r="T16" s="134" t="str">
        <f>IF(AND(ISBLANK(SpaceTable[[#This Row],[Space Type]]),ISBLANK(SpaceTable[[#This Row],[Space Description]])),"",IF(ISBLANK(SpaceTable[[#This Row],[Space Description]]),SpaceTable[[#This Row],[Space Type]],_xlfn.CONCAT(SpaceTable[[#This Row],[Space Type]]," - ",SpaceTable[[#This Row],[Space Description]])))</f>
        <v/>
      </c>
      <c r="U16" s="134" t="str">
        <f>IF(ISBLANK(SpaceTable[[#This Row],[Space Type]]),"",COUNTIF($T$8:$T$57,SpaceTable[[#This Row],[Space Name Concatenated Helper]])=1)</f>
        <v/>
      </c>
    </row>
    <row r="17" spans="1:21" x14ac:dyDescent="0.3">
      <c r="A17" s="133">
        <v>10</v>
      </c>
      <c r="B17" s="290"/>
      <c r="C17" s="343"/>
      <c r="D17" s="290"/>
      <c r="E17" s="291"/>
      <c r="F17" s="292"/>
      <c r="G17" s="290"/>
      <c r="H17" s="290"/>
      <c r="I17" s="290"/>
      <c r="J17" s="290"/>
      <c r="K17" s="290"/>
      <c r="L17" s="291"/>
      <c r="M17" s="292"/>
      <c r="N17" s="135" t="str">
        <f>IF(ISBLANK(SpaceTable[[#This Row],[Space Type]]),"",SUM(F17:L17))</f>
        <v/>
      </c>
      <c r="O17" s="278" t="str">
        <f>IF(ISBLANK(SpaceTable[[#This Row],[Space Type]]),"",ROUND(SpaceTable[[#This Row],[Weekly Hours]]*SpaceTable[[#This Row],[Weeks per Year]]*(DaysInYear/(DaysInWeek*WeeksInYear)),0))</f>
        <v/>
      </c>
      <c r="P17" s="293"/>
      <c r="Q17" s="142" t="str">
        <f>IF(ISBLANK(SpaceTable[[#This Row],[Space Type]]),"",IF(ISERROR(SpaceTable[[#This Row],[HVAC Factor Lookup Helper]]),0,SpaceTable[[#This Row],[HVAC Factor Lookup Helper]]))</f>
        <v/>
      </c>
      <c r="R17" s="279" t="e" cm="1">
        <f t="array" ref="R17">INDEX(SpaceConditionTable[Space Conditioning Type],MATCH(1,(SpaceConditionTable[Heating Type]=D17)*(SpaceConditionTable[Cooling Type]=E17),0))</f>
        <v>#N/A</v>
      </c>
      <c r="S17" s="134" t="e">
        <f>INDEX(HVACFactorTable[#Data],MATCH(BuildingTypeField,HVACFactorTable[Building Type],0),MATCH(R17,HVACFactorTable[#Headers],0))</f>
        <v>#N/A</v>
      </c>
      <c r="T17" s="134" t="str">
        <f>IF(AND(ISBLANK(SpaceTable[[#This Row],[Space Type]]),ISBLANK(SpaceTable[[#This Row],[Space Description]])),"",IF(ISBLANK(SpaceTable[[#This Row],[Space Description]]),SpaceTable[[#This Row],[Space Type]],_xlfn.CONCAT(SpaceTable[[#This Row],[Space Type]]," - ",SpaceTable[[#This Row],[Space Description]])))</f>
        <v/>
      </c>
      <c r="U17" s="134" t="str">
        <f>IF(ISBLANK(SpaceTable[[#This Row],[Space Type]]),"",COUNTIF($T$8:$T$57,SpaceTable[[#This Row],[Space Name Concatenated Helper]])=1)</f>
        <v/>
      </c>
    </row>
    <row r="18" spans="1:21" x14ac:dyDescent="0.3">
      <c r="A18" s="133">
        <v>11</v>
      </c>
      <c r="B18" s="290"/>
      <c r="C18" s="343"/>
      <c r="D18" s="290"/>
      <c r="E18" s="291"/>
      <c r="F18" s="292"/>
      <c r="G18" s="290"/>
      <c r="H18" s="290"/>
      <c r="I18" s="290"/>
      <c r="J18" s="290"/>
      <c r="K18" s="290"/>
      <c r="L18" s="291"/>
      <c r="M18" s="292"/>
      <c r="N18" s="135" t="str">
        <f>IF(ISBLANK(SpaceTable[[#This Row],[Space Type]]),"",SUM(F18:L18))</f>
        <v/>
      </c>
      <c r="O18" s="278" t="str">
        <f>IF(ISBLANK(SpaceTable[[#This Row],[Space Type]]),"",ROUND(SpaceTable[[#This Row],[Weekly Hours]]*SpaceTable[[#This Row],[Weeks per Year]]*(DaysInYear/(DaysInWeek*WeeksInYear)),0))</f>
        <v/>
      </c>
      <c r="P18" s="293"/>
      <c r="Q18" s="142" t="str">
        <f>IF(ISBLANK(SpaceTable[[#This Row],[Space Type]]),"",IF(ISERROR(SpaceTable[[#This Row],[HVAC Factor Lookup Helper]]),0,SpaceTable[[#This Row],[HVAC Factor Lookup Helper]]))</f>
        <v/>
      </c>
      <c r="R18" s="279" t="e" cm="1">
        <f t="array" ref="R18">INDEX(SpaceConditionTable[Space Conditioning Type],MATCH(1,(SpaceConditionTable[Heating Type]=D18)*(SpaceConditionTable[Cooling Type]=E18),0))</f>
        <v>#N/A</v>
      </c>
      <c r="S18" s="134" t="e">
        <f>INDEX(HVACFactorTable[#Data],MATCH(BuildingTypeField,HVACFactorTable[Building Type],0),MATCH(R18,HVACFactorTable[#Headers],0))</f>
        <v>#N/A</v>
      </c>
      <c r="T18" s="134" t="str">
        <f>IF(AND(ISBLANK(SpaceTable[[#This Row],[Space Type]]),ISBLANK(SpaceTable[[#This Row],[Space Description]])),"",IF(ISBLANK(SpaceTable[[#This Row],[Space Description]]),SpaceTable[[#This Row],[Space Type]],_xlfn.CONCAT(SpaceTable[[#This Row],[Space Type]]," - ",SpaceTable[[#This Row],[Space Description]])))</f>
        <v/>
      </c>
      <c r="U18" s="134" t="str">
        <f>IF(ISBLANK(SpaceTable[[#This Row],[Space Type]]),"",COUNTIF($T$8:$T$57,SpaceTable[[#This Row],[Space Name Concatenated Helper]])=1)</f>
        <v/>
      </c>
    </row>
    <row r="19" spans="1:21" x14ac:dyDescent="0.3">
      <c r="A19" s="133">
        <v>12</v>
      </c>
      <c r="B19" s="290"/>
      <c r="C19" s="343"/>
      <c r="D19" s="290"/>
      <c r="E19" s="291"/>
      <c r="F19" s="292"/>
      <c r="G19" s="290"/>
      <c r="H19" s="290"/>
      <c r="I19" s="290"/>
      <c r="J19" s="290"/>
      <c r="K19" s="290"/>
      <c r="L19" s="291"/>
      <c r="M19" s="292"/>
      <c r="N19" s="135" t="str">
        <f>IF(ISBLANK(SpaceTable[[#This Row],[Space Type]]),"",SUM(F19:L19))</f>
        <v/>
      </c>
      <c r="O19" s="278" t="str">
        <f>IF(ISBLANK(SpaceTable[[#This Row],[Space Type]]),"",ROUND(SpaceTable[[#This Row],[Weekly Hours]]*SpaceTable[[#This Row],[Weeks per Year]]*(DaysInYear/(DaysInWeek*WeeksInYear)),0))</f>
        <v/>
      </c>
      <c r="P19" s="293"/>
      <c r="Q19" s="142" t="str">
        <f>IF(ISBLANK(SpaceTable[[#This Row],[Space Type]]),"",IF(ISERROR(SpaceTable[[#This Row],[HVAC Factor Lookup Helper]]),0,SpaceTable[[#This Row],[HVAC Factor Lookup Helper]]))</f>
        <v/>
      </c>
      <c r="R19" s="279" t="e" cm="1">
        <f t="array" ref="R19">INDEX(SpaceConditionTable[Space Conditioning Type],MATCH(1,(SpaceConditionTable[Heating Type]=D19)*(SpaceConditionTable[Cooling Type]=E19),0))</f>
        <v>#N/A</v>
      </c>
      <c r="S19" s="134" t="e">
        <f>INDEX(HVACFactorTable[#Data],MATCH(BuildingTypeField,HVACFactorTable[Building Type],0),MATCH(R19,HVACFactorTable[#Headers],0))</f>
        <v>#N/A</v>
      </c>
      <c r="T19" s="134" t="str">
        <f>IF(AND(ISBLANK(SpaceTable[[#This Row],[Space Type]]),ISBLANK(SpaceTable[[#This Row],[Space Description]])),"",IF(ISBLANK(SpaceTable[[#This Row],[Space Description]]),SpaceTable[[#This Row],[Space Type]],_xlfn.CONCAT(SpaceTable[[#This Row],[Space Type]]," - ",SpaceTable[[#This Row],[Space Description]])))</f>
        <v/>
      </c>
      <c r="U19" s="134" t="str">
        <f>IF(ISBLANK(SpaceTable[[#This Row],[Space Type]]),"",COUNTIF($T$8:$T$57,SpaceTable[[#This Row],[Space Name Concatenated Helper]])=1)</f>
        <v/>
      </c>
    </row>
    <row r="20" spans="1:21" x14ac:dyDescent="0.3">
      <c r="A20" s="133">
        <v>13</v>
      </c>
      <c r="B20" s="290"/>
      <c r="C20" s="343"/>
      <c r="D20" s="290"/>
      <c r="E20" s="291"/>
      <c r="F20" s="292"/>
      <c r="G20" s="290"/>
      <c r="H20" s="290"/>
      <c r="I20" s="290"/>
      <c r="J20" s="290"/>
      <c r="K20" s="290"/>
      <c r="L20" s="291"/>
      <c r="M20" s="292"/>
      <c r="N20" s="135" t="str">
        <f>IF(ISBLANK(SpaceTable[[#This Row],[Space Type]]),"",SUM(F20:L20))</f>
        <v/>
      </c>
      <c r="O20" s="278" t="str">
        <f>IF(ISBLANK(SpaceTable[[#This Row],[Space Type]]),"",ROUND(SpaceTable[[#This Row],[Weekly Hours]]*SpaceTable[[#This Row],[Weeks per Year]]*(DaysInYear/(DaysInWeek*WeeksInYear)),0))</f>
        <v/>
      </c>
      <c r="P20" s="293"/>
      <c r="Q20" s="142" t="str">
        <f>IF(ISBLANK(SpaceTable[[#This Row],[Space Type]]),"",IF(ISERROR(SpaceTable[[#This Row],[HVAC Factor Lookup Helper]]),0,SpaceTable[[#This Row],[HVAC Factor Lookup Helper]]))</f>
        <v/>
      </c>
      <c r="R20" s="279" t="e" cm="1">
        <f t="array" ref="R20">INDEX(SpaceConditionTable[Space Conditioning Type],MATCH(1,(SpaceConditionTable[Heating Type]=D20)*(SpaceConditionTable[Cooling Type]=E20),0))</f>
        <v>#N/A</v>
      </c>
      <c r="S20" s="134" t="e">
        <f>INDEX(HVACFactorTable[#Data],MATCH(BuildingTypeField,HVACFactorTable[Building Type],0),MATCH(R20,HVACFactorTable[#Headers],0))</f>
        <v>#N/A</v>
      </c>
      <c r="T20" s="134" t="str">
        <f>IF(AND(ISBLANK(SpaceTable[[#This Row],[Space Type]]),ISBLANK(SpaceTable[[#This Row],[Space Description]])),"",IF(ISBLANK(SpaceTable[[#This Row],[Space Description]]),SpaceTable[[#This Row],[Space Type]],_xlfn.CONCAT(SpaceTable[[#This Row],[Space Type]]," - ",SpaceTable[[#This Row],[Space Description]])))</f>
        <v/>
      </c>
      <c r="U20" s="134" t="str">
        <f>IF(ISBLANK(SpaceTable[[#This Row],[Space Type]]),"",COUNTIF($T$8:$T$57,SpaceTable[[#This Row],[Space Name Concatenated Helper]])=1)</f>
        <v/>
      </c>
    </row>
    <row r="21" spans="1:21" x14ac:dyDescent="0.3">
      <c r="A21" s="133">
        <v>14</v>
      </c>
      <c r="B21" s="290"/>
      <c r="C21" s="343"/>
      <c r="D21" s="290"/>
      <c r="E21" s="291"/>
      <c r="F21" s="292"/>
      <c r="G21" s="290"/>
      <c r="H21" s="290"/>
      <c r="I21" s="290"/>
      <c r="J21" s="290"/>
      <c r="K21" s="290"/>
      <c r="L21" s="291"/>
      <c r="M21" s="292"/>
      <c r="N21" s="135" t="str">
        <f>IF(ISBLANK(SpaceTable[[#This Row],[Space Type]]),"",SUM(F21:L21))</f>
        <v/>
      </c>
      <c r="O21" s="278" t="str">
        <f>IF(ISBLANK(SpaceTable[[#This Row],[Space Type]]),"",ROUND(SpaceTable[[#This Row],[Weekly Hours]]*SpaceTable[[#This Row],[Weeks per Year]]*(DaysInYear/(DaysInWeek*WeeksInYear)),0))</f>
        <v/>
      </c>
      <c r="P21" s="293"/>
      <c r="Q21" s="142" t="str">
        <f>IF(ISBLANK(SpaceTable[[#This Row],[Space Type]]),"",IF(ISERROR(SpaceTable[[#This Row],[HVAC Factor Lookup Helper]]),0,SpaceTable[[#This Row],[HVAC Factor Lookup Helper]]))</f>
        <v/>
      </c>
      <c r="R21" s="279" t="e" cm="1">
        <f t="array" ref="R21">INDEX(SpaceConditionTable[Space Conditioning Type],MATCH(1,(SpaceConditionTable[Heating Type]=D21)*(SpaceConditionTable[Cooling Type]=E21),0))</f>
        <v>#N/A</v>
      </c>
      <c r="S21" s="134" t="e">
        <f>INDEX(HVACFactorTable[#Data],MATCH(BuildingTypeField,HVACFactorTable[Building Type],0),MATCH(R21,HVACFactorTable[#Headers],0))</f>
        <v>#N/A</v>
      </c>
      <c r="T21" s="134" t="str">
        <f>IF(AND(ISBLANK(SpaceTable[[#This Row],[Space Type]]),ISBLANK(SpaceTable[[#This Row],[Space Description]])),"",IF(ISBLANK(SpaceTable[[#This Row],[Space Description]]),SpaceTable[[#This Row],[Space Type]],_xlfn.CONCAT(SpaceTable[[#This Row],[Space Type]]," - ",SpaceTable[[#This Row],[Space Description]])))</f>
        <v/>
      </c>
      <c r="U21" s="134" t="str">
        <f>IF(ISBLANK(SpaceTable[[#This Row],[Space Type]]),"",COUNTIF($T$8:$T$57,SpaceTable[[#This Row],[Space Name Concatenated Helper]])=1)</f>
        <v/>
      </c>
    </row>
    <row r="22" spans="1:21" x14ac:dyDescent="0.3">
      <c r="A22" s="133">
        <v>15</v>
      </c>
      <c r="B22" s="290"/>
      <c r="C22" s="343"/>
      <c r="D22" s="290"/>
      <c r="E22" s="291"/>
      <c r="F22" s="292"/>
      <c r="G22" s="290"/>
      <c r="H22" s="290"/>
      <c r="I22" s="290"/>
      <c r="J22" s="290"/>
      <c r="K22" s="290"/>
      <c r="L22" s="291"/>
      <c r="M22" s="292"/>
      <c r="N22" s="135" t="str">
        <f>IF(ISBLANK(SpaceTable[[#This Row],[Space Type]]),"",SUM(F22:L22))</f>
        <v/>
      </c>
      <c r="O22" s="278" t="str">
        <f>IF(ISBLANK(SpaceTable[[#This Row],[Space Type]]),"",ROUND(SpaceTable[[#This Row],[Weekly Hours]]*SpaceTable[[#This Row],[Weeks per Year]]*(DaysInYear/(DaysInWeek*WeeksInYear)),0))</f>
        <v/>
      </c>
      <c r="P22" s="293"/>
      <c r="Q22" s="142" t="str">
        <f>IF(ISBLANK(SpaceTable[[#This Row],[Space Type]]),"",IF(ISERROR(SpaceTable[[#This Row],[HVAC Factor Lookup Helper]]),0,SpaceTable[[#This Row],[HVAC Factor Lookup Helper]]))</f>
        <v/>
      </c>
      <c r="R22" s="279" t="e" cm="1">
        <f t="array" ref="R22">INDEX(SpaceConditionTable[Space Conditioning Type],MATCH(1,(SpaceConditionTable[Heating Type]=D22)*(SpaceConditionTable[Cooling Type]=E22),0))</f>
        <v>#N/A</v>
      </c>
      <c r="S22" s="134" t="e">
        <f>INDEX(HVACFactorTable[#Data],MATCH(BuildingTypeField,HVACFactorTable[Building Type],0),MATCH(R22,HVACFactorTable[#Headers],0))</f>
        <v>#N/A</v>
      </c>
      <c r="T22" s="134" t="str">
        <f>IF(AND(ISBLANK(SpaceTable[[#This Row],[Space Type]]),ISBLANK(SpaceTable[[#This Row],[Space Description]])),"",IF(ISBLANK(SpaceTable[[#This Row],[Space Description]]),SpaceTable[[#This Row],[Space Type]],_xlfn.CONCAT(SpaceTable[[#This Row],[Space Type]]," - ",SpaceTable[[#This Row],[Space Description]])))</f>
        <v/>
      </c>
      <c r="U22" s="134" t="str">
        <f>IF(ISBLANK(SpaceTable[[#This Row],[Space Type]]),"",COUNTIF($T$8:$T$57,SpaceTable[[#This Row],[Space Name Concatenated Helper]])=1)</f>
        <v/>
      </c>
    </row>
    <row r="23" spans="1:21" x14ac:dyDescent="0.3">
      <c r="A23" s="133">
        <v>16</v>
      </c>
      <c r="B23" s="290"/>
      <c r="C23" s="343"/>
      <c r="D23" s="290"/>
      <c r="E23" s="291"/>
      <c r="F23" s="292"/>
      <c r="G23" s="290"/>
      <c r="H23" s="290"/>
      <c r="I23" s="290"/>
      <c r="J23" s="290"/>
      <c r="K23" s="290"/>
      <c r="L23" s="291"/>
      <c r="M23" s="292"/>
      <c r="N23" s="135" t="str">
        <f>IF(ISBLANK(SpaceTable[[#This Row],[Space Type]]),"",SUM(F23:L23))</f>
        <v/>
      </c>
      <c r="O23" s="278" t="str">
        <f>IF(ISBLANK(SpaceTable[[#This Row],[Space Type]]),"",ROUND(SpaceTable[[#This Row],[Weekly Hours]]*SpaceTable[[#This Row],[Weeks per Year]]*(DaysInYear/(DaysInWeek*WeeksInYear)),0))</f>
        <v/>
      </c>
      <c r="P23" s="293"/>
      <c r="Q23" s="142" t="str">
        <f>IF(ISBLANK(SpaceTable[[#This Row],[Space Type]]),"",IF(ISERROR(SpaceTable[[#This Row],[HVAC Factor Lookup Helper]]),0,SpaceTable[[#This Row],[HVAC Factor Lookup Helper]]))</f>
        <v/>
      </c>
      <c r="R23" s="279" t="e" cm="1">
        <f t="array" ref="R23">INDEX(SpaceConditionTable[Space Conditioning Type],MATCH(1,(SpaceConditionTable[Heating Type]=D23)*(SpaceConditionTable[Cooling Type]=E23),0))</f>
        <v>#N/A</v>
      </c>
      <c r="S23" s="134" t="e">
        <f>INDEX(HVACFactorTable[#Data],MATCH(BuildingTypeField,HVACFactorTable[Building Type],0),MATCH(R23,HVACFactorTable[#Headers],0))</f>
        <v>#N/A</v>
      </c>
      <c r="T23" s="134" t="str">
        <f>IF(AND(ISBLANK(SpaceTable[[#This Row],[Space Type]]),ISBLANK(SpaceTable[[#This Row],[Space Description]])),"",IF(ISBLANK(SpaceTable[[#This Row],[Space Description]]),SpaceTable[[#This Row],[Space Type]],_xlfn.CONCAT(SpaceTable[[#This Row],[Space Type]]," - ",SpaceTable[[#This Row],[Space Description]])))</f>
        <v/>
      </c>
      <c r="U23" s="134" t="str">
        <f>IF(ISBLANK(SpaceTable[[#This Row],[Space Type]]),"",COUNTIF($T$8:$T$57,SpaceTable[[#This Row],[Space Name Concatenated Helper]])=1)</f>
        <v/>
      </c>
    </row>
    <row r="24" spans="1:21" x14ac:dyDescent="0.3">
      <c r="A24" s="133">
        <v>17</v>
      </c>
      <c r="B24" s="290"/>
      <c r="C24" s="343"/>
      <c r="D24" s="290"/>
      <c r="E24" s="291"/>
      <c r="F24" s="292"/>
      <c r="G24" s="290"/>
      <c r="H24" s="290"/>
      <c r="I24" s="290"/>
      <c r="J24" s="290"/>
      <c r="K24" s="290"/>
      <c r="L24" s="291"/>
      <c r="M24" s="292"/>
      <c r="N24" s="135" t="str">
        <f>IF(ISBLANK(SpaceTable[[#This Row],[Space Type]]),"",SUM(F24:L24))</f>
        <v/>
      </c>
      <c r="O24" s="278" t="str">
        <f>IF(ISBLANK(SpaceTable[[#This Row],[Space Type]]),"",ROUND(SpaceTable[[#This Row],[Weekly Hours]]*SpaceTable[[#This Row],[Weeks per Year]]*(DaysInYear/(DaysInWeek*WeeksInYear)),0))</f>
        <v/>
      </c>
      <c r="P24" s="293"/>
      <c r="Q24" s="142" t="str">
        <f>IF(ISBLANK(SpaceTable[[#This Row],[Space Type]]),"",IF(ISERROR(SpaceTable[[#This Row],[HVAC Factor Lookup Helper]]),0,SpaceTable[[#This Row],[HVAC Factor Lookup Helper]]))</f>
        <v/>
      </c>
      <c r="R24" s="279" t="e" cm="1">
        <f t="array" ref="R24">INDEX(SpaceConditionTable[Space Conditioning Type],MATCH(1,(SpaceConditionTable[Heating Type]=D24)*(SpaceConditionTable[Cooling Type]=E24),0))</f>
        <v>#N/A</v>
      </c>
      <c r="S24" s="134" t="e">
        <f>INDEX(HVACFactorTable[#Data],MATCH(BuildingTypeField,HVACFactorTable[Building Type],0),MATCH(R24,HVACFactorTable[#Headers],0))</f>
        <v>#N/A</v>
      </c>
      <c r="T24" s="134" t="str">
        <f>IF(AND(ISBLANK(SpaceTable[[#This Row],[Space Type]]),ISBLANK(SpaceTable[[#This Row],[Space Description]])),"",IF(ISBLANK(SpaceTable[[#This Row],[Space Description]]),SpaceTable[[#This Row],[Space Type]],_xlfn.CONCAT(SpaceTable[[#This Row],[Space Type]]," - ",SpaceTable[[#This Row],[Space Description]])))</f>
        <v/>
      </c>
      <c r="U24" s="134" t="str">
        <f>IF(ISBLANK(SpaceTable[[#This Row],[Space Type]]),"",COUNTIF($T$8:$T$57,SpaceTable[[#This Row],[Space Name Concatenated Helper]])=1)</f>
        <v/>
      </c>
    </row>
    <row r="25" spans="1:21" x14ac:dyDescent="0.3">
      <c r="A25" s="133">
        <v>18</v>
      </c>
      <c r="B25" s="290"/>
      <c r="C25" s="343"/>
      <c r="D25" s="290"/>
      <c r="E25" s="291"/>
      <c r="F25" s="292"/>
      <c r="G25" s="290"/>
      <c r="H25" s="290"/>
      <c r="I25" s="290"/>
      <c r="J25" s="290"/>
      <c r="K25" s="290"/>
      <c r="L25" s="291"/>
      <c r="M25" s="292"/>
      <c r="N25" s="135" t="str">
        <f>IF(ISBLANK(SpaceTable[[#This Row],[Space Type]]),"",SUM(F25:L25))</f>
        <v/>
      </c>
      <c r="O25" s="278" t="str">
        <f>IF(ISBLANK(SpaceTable[[#This Row],[Space Type]]),"",ROUND(SpaceTable[[#This Row],[Weekly Hours]]*SpaceTable[[#This Row],[Weeks per Year]]*(DaysInYear/(DaysInWeek*WeeksInYear)),0))</f>
        <v/>
      </c>
      <c r="P25" s="293"/>
      <c r="Q25" s="142" t="str">
        <f>IF(ISBLANK(SpaceTable[[#This Row],[Space Type]]),"",IF(ISERROR(SpaceTable[[#This Row],[HVAC Factor Lookup Helper]]),0,SpaceTable[[#This Row],[HVAC Factor Lookup Helper]]))</f>
        <v/>
      </c>
      <c r="R25" s="279" t="e" cm="1">
        <f t="array" ref="R25">INDEX(SpaceConditionTable[Space Conditioning Type],MATCH(1,(SpaceConditionTable[Heating Type]=D25)*(SpaceConditionTable[Cooling Type]=E25),0))</f>
        <v>#N/A</v>
      </c>
      <c r="S25" s="134" t="e">
        <f>INDEX(HVACFactorTable[#Data],MATCH(BuildingTypeField,HVACFactorTable[Building Type],0),MATCH(R25,HVACFactorTable[#Headers],0))</f>
        <v>#N/A</v>
      </c>
      <c r="T25" s="134" t="str">
        <f>IF(AND(ISBLANK(SpaceTable[[#This Row],[Space Type]]),ISBLANK(SpaceTable[[#This Row],[Space Description]])),"",IF(ISBLANK(SpaceTable[[#This Row],[Space Description]]),SpaceTable[[#This Row],[Space Type]],_xlfn.CONCAT(SpaceTable[[#This Row],[Space Type]]," - ",SpaceTable[[#This Row],[Space Description]])))</f>
        <v/>
      </c>
      <c r="U25" s="134" t="str">
        <f>IF(ISBLANK(SpaceTable[[#This Row],[Space Type]]),"",COUNTIF($T$8:$T$57,SpaceTable[[#This Row],[Space Name Concatenated Helper]])=1)</f>
        <v/>
      </c>
    </row>
    <row r="26" spans="1:21" x14ac:dyDescent="0.3">
      <c r="A26" s="133">
        <v>19</v>
      </c>
      <c r="B26" s="290"/>
      <c r="C26" s="343"/>
      <c r="D26" s="290"/>
      <c r="E26" s="291"/>
      <c r="F26" s="292"/>
      <c r="G26" s="290"/>
      <c r="H26" s="290"/>
      <c r="I26" s="290"/>
      <c r="J26" s="290"/>
      <c r="K26" s="290"/>
      <c r="L26" s="291"/>
      <c r="M26" s="292"/>
      <c r="N26" s="135" t="str">
        <f>IF(ISBLANK(SpaceTable[[#This Row],[Space Type]]),"",SUM(F26:L26))</f>
        <v/>
      </c>
      <c r="O26" s="278" t="str">
        <f>IF(ISBLANK(SpaceTable[[#This Row],[Space Type]]),"",ROUND(SpaceTable[[#This Row],[Weekly Hours]]*SpaceTable[[#This Row],[Weeks per Year]]*(DaysInYear/(DaysInWeek*WeeksInYear)),0))</f>
        <v/>
      </c>
      <c r="P26" s="293"/>
      <c r="Q26" s="142" t="str">
        <f>IF(ISBLANK(SpaceTable[[#This Row],[Space Type]]),"",IF(ISERROR(SpaceTable[[#This Row],[HVAC Factor Lookup Helper]]),0,SpaceTable[[#This Row],[HVAC Factor Lookup Helper]]))</f>
        <v/>
      </c>
      <c r="R26" s="279" t="e" cm="1">
        <f t="array" ref="R26">INDEX(SpaceConditionTable[Space Conditioning Type],MATCH(1,(SpaceConditionTable[Heating Type]=D26)*(SpaceConditionTable[Cooling Type]=E26),0))</f>
        <v>#N/A</v>
      </c>
      <c r="S26" s="134" t="e">
        <f>INDEX(HVACFactorTable[#Data],MATCH(BuildingTypeField,HVACFactorTable[Building Type],0),MATCH(R26,HVACFactorTable[#Headers],0))</f>
        <v>#N/A</v>
      </c>
      <c r="T26" s="134" t="str">
        <f>IF(AND(ISBLANK(SpaceTable[[#This Row],[Space Type]]),ISBLANK(SpaceTable[[#This Row],[Space Description]])),"",IF(ISBLANK(SpaceTable[[#This Row],[Space Description]]),SpaceTable[[#This Row],[Space Type]],_xlfn.CONCAT(SpaceTable[[#This Row],[Space Type]]," - ",SpaceTable[[#This Row],[Space Description]])))</f>
        <v/>
      </c>
      <c r="U26" s="134" t="str">
        <f>IF(ISBLANK(SpaceTable[[#This Row],[Space Type]]),"",COUNTIF($T$8:$T$57,SpaceTable[[#This Row],[Space Name Concatenated Helper]])=1)</f>
        <v/>
      </c>
    </row>
    <row r="27" spans="1:21" x14ac:dyDescent="0.3">
      <c r="A27" s="133">
        <v>20</v>
      </c>
      <c r="B27" s="290"/>
      <c r="C27" s="343"/>
      <c r="D27" s="290"/>
      <c r="E27" s="291"/>
      <c r="F27" s="292"/>
      <c r="G27" s="290"/>
      <c r="H27" s="290"/>
      <c r="I27" s="290"/>
      <c r="J27" s="290"/>
      <c r="K27" s="290"/>
      <c r="L27" s="291"/>
      <c r="M27" s="292"/>
      <c r="N27" s="135" t="str">
        <f>IF(ISBLANK(SpaceTable[[#This Row],[Space Type]]),"",SUM(F27:L27))</f>
        <v/>
      </c>
      <c r="O27" s="278" t="str">
        <f>IF(ISBLANK(SpaceTable[[#This Row],[Space Type]]),"",ROUND(SpaceTable[[#This Row],[Weekly Hours]]*SpaceTable[[#This Row],[Weeks per Year]]*(DaysInYear/(DaysInWeek*WeeksInYear)),0))</f>
        <v/>
      </c>
      <c r="P27" s="293"/>
      <c r="Q27" s="142" t="str">
        <f>IF(ISBLANK(SpaceTable[[#This Row],[Space Type]]),"",IF(ISERROR(SpaceTable[[#This Row],[HVAC Factor Lookup Helper]]),0,SpaceTable[[#This Row],[HVAC Factor Lookup Helper]]))</f>
        <v/>
      </c>
      <c r="R27" s="279" t="e" cm="1">
        <f t="array" ref="R27">INDEX(SpaceConditionTable[Space Conditioning Type],MATCH(1,(SpaceConditionTable[Heating Type]=D27)*(SpaceConditionTable[Cooling Type]=E27),0))</f>
        <v>#N/A</v>
      </c>
      <c r="S27" s="134" t="e">
        <f>INDEX(HVACFactorTable[#Data],MATCH(BuildingTypeField,HVACFactorTable[Building Type],0),MATCH(R27,HVACFactorTable[#Headers],0))</f>
        <v>#N/A</v>
      </c>
      <c r="T27" s="134" t="str">
        <f>IF(AND(ISBLANK(SpaceTable[[#This Row],[Space Type]]),ISBLANK(SpaceTable[[#This Row],[Space Description]])),"",IF(ISBLANK(SpaceTable[[#This Row],[Space Description]]),SpaceTable[[#This Row],[Space Type]],_xlfn.CONCAT(SpaceTable[[#This Row],[Space Type]]," - ",SpaceTable[[#This Row],[Space Description]])))</f>
        <v/>
      </c>
      <c r="U27" s="134" t="str">
        <f>IF(ISBLANK(SpaceTable[[#This Row],[Space Type]]),"",COUNTIF($T$8:$T$57,SpaceTable[[#This Row],[Space Name Concatenated Helper]])=1)</f>
        <v/>
      </c>
    </row>
    <row r="28" spans="1:21" x14ac:dyDescent="0.3">
      <c r="A28" s="133">
        <v>21</v>
      </c>
      <c r="B28" s="290"/>
      <c r="C28" s="343"/>
      <c r="D28" s="290"/>
      <c r="E28" s="291"/>
      <c r="F28" s="292"/>
      <c r="G28" s="290"/>
      <c r="H28" s="290"/>
      <c r="I28" s="290"/>
      <c r="J28" s="290"/>
      <c r="K28" s="290"/>
      <c r="L28" s="291"/>
      <c r="M28" s="292"/>
      <c r="N28" s="135" t="str">
        <f>IF(ISBLANK(SpaceTable[[#This Row],[Space Type]]),"",SUM(F28:L28))</f>
        <v/>
      </c>
      <c r="O28" s="278" t="str">
        <f>IF(ISBLANK(SpaceTable[[#This Row],[Space Type]]),"",ROUND(SpaceTable[[#This Row],[Weekly Hours]]*SpaceTable[[#This Row],[Weeks per Year]]*(DaysInYear/(DaysInWeek*WeeksInYear)),0))</f>
        <v/>
      </c>
      <c r="P28" s="293"/>
      <c r="Q28" s="142" t="str">
        <f>IF(ISBLANK(SpaceTable[[#This Row],[Space Type]]),"",IF(ISERROR(SpaceTable[[#This Row],[HVAC Factor Lookup Helper]]),0,SpaceTable[[#This Row],[HVAC Factor Lookup Helper]]))</f>
        <v/>
      </c>
      <c r="R28" s="279" t="e" cm="1">
        <f t="array" ref="R28">INDEX(SpaceConditionTable[Space Conditioning Type],MATCH(1,(SpaceConditionTable[Heating Type]=D28)*(SpaceConditionTable[Cooling Type]=E28),0))</f>
        <v>#N/A</v>
      </c>
      <c r="S28" s="134" t="e">
        <f>INDEX(HVACFactorTable[#Data],MATCH(BuildingTypeField,HVACFactorTable[Building Type],0),MATCH(R28,HVACFactorTable[#Headers],0))</f>
        <v>#N/A</v>
      </c>
      <c r="T28" s="134" t="str">
        <f>IF(AND(ISBLANK(SpaceTable[[#This Row],[Space Type]]),ISBLANK(SpaceTable[[#This Row],[Space Description]])),"",IF(ISBLANK(SpaceTable[[#This Row],[Space Description]]),SpaceTable[[#This Row],[Space Type]],_xlfn.CONCAT(SpaceTable[[#This Row],[Space Type]]," - ",SpaceTable[[#This Row],[Space Description]])))</f>
        <v/>
      </c>
      <c r="U28" s="134" t="str">
        <f>IF(ISBLANK(SpaceTable[[#This Row],[Space Type]]),"",COUNTIF($T$8:$T$57,SpaceTable[[#This Row],[Space Name Concatenated Helper]])=1)</f>
        <v/>
      </c>
    </row>
    <row r="29" spans="1:21" x14ac:dyDescent="0.3">
      <c r="A29" s="133">
        <v>22</v>
      </c>
      <c r="B29" s="290"/>
      <c r="C29" s="343"/>
      <c r="D29" s="290"/>
      <c r="E29" s="291"/>
      <c r="F29" s="292"/>
      <c r="G29" s="290"/>
      <c r="H29" s="290"/>
      <c r="I29" s="290"/>
      <c r="J29" s="290"/>
      <c r="K29" s="290"/>
      <c r="L29" s="291"/>
      <c r="M29" s="292"/>
      <c r="N29" s="135" t="str">
        <f>IF(ISBLANK(SpaceTable[[#This Row],[Space Type]]),"",SUM(F29:L29))</f>
        <v/>
      </c>
      <c r="O29" s="278" t="str">
        <f>IF(ISBLANK(SpaceTable[[#This Row],[Space Type]]),"",ROUND(SpaceTable[[#This Row],[Weekly Hours]]*SpaceTable[[#This Row],[Weeks per Year]]*(DaysInYear/(DaysInWeek*WeeksInYear)),0))</f>
        <v/>
      </c>
      <c r="P29" s="293"/>
      <c r="Q29" s="142" t="str">
        <f>IF(ISBLANK(SpaceTable[[#This Row],[Space Type]]),"",IF(ISERROR(SpaceTable[[#This Row],[HVAC Factor Lookup Helper]]),0,SpaceTable[[#This Row],[HVAC Factor Lookup Helper]]))</f>
        <v/>
      </c>
      <c r="R29" s="279" t="e" cm="1">
        <f t="array" ref="R29">INDEX(SpaceConditionTable[Space Conditioning Type],MATCH(1,(SpaceConditionTable[Heating Type]=D29)*(SpaceConditionTable[Cooling Type]=E29),0))</f>
        <v>#N/A</v>
      </c>
      <c r="S29" s="134" t="e">
        <f>INDEX(HVACFactorTable[#Data],MATCH(BuildingTypeField,HVACFactorTable[Building Type],0),MATCH(R29,HVACFactorTable[#Headers],0))</f>
        <v>#N/A</v>
      </c>
      <c r="T29" s="134" t="str">
        <f>IF(AND(ISBLANK(SpaceTable[[#This Row],[Space Type]]),ISBLANK(SpaceTable[[#This Row],[Space Description]])),"",IF(ISBLANK(SpaceTable[[#This Row],[Space Description]]),SpaceTable[[#This Row],[Space Type]],_xlfn.CONCAT(SpaceTable[[#This Row],[Space Type]]," - ",SpaceTable[[#This Row],[Space Description]])))</f>
        <v/>
      </c>
      <c r="U29" s="134" t="str">
        <f>IF(ISBLANK(SpaceTable[[#This Row],[Space Type]]),"",COUNTIF($T$8:$T$57,SpaceTable[[#This Row],[Space Name Concatenated Helper]])=1)</f>
        <v/>
      </c>
    </row>
    <row r="30" spans="1:21" x14ac:dyDescent="0.3">
      <c r="A30" s="133">
        <v>23</v>
      </c>
      <c r="B30" s="290"/>
      <c r="C30" s="343"/>
      <c r="D30" s="290"/>
      <c r="E30" s="291"/>
      <c r="F30" s="292"/>
      <c r="G30" s="290"/>
      <c r="H30" s="290"/>
      <c r="I30" s="290"/>
      <c r="J30" s="290"/>
      <c r="K30" s="290"/>
      <c r="L30" s="291"/>
      <c r="M30" s="292"/>
      <c r="N30" s="135" t="str">
        <f>IF(ISBLANK(SpaceTable[[#This Row],[Space Type]]),"",SUM(F30:L30))</f>
        <v/>
      </c>
      <c r="O30" s="278" t="str">
        <f>IF(ISBLANK(SpaceTable[[#This Row],[Space Type]]),"",ROUND(SpaceTable[[#This Row],[Weekly Hours]]*SpaceTable[[#This Row],[Weeks per Year]]*(DaysInYear/(DaysInWeek*WeeksInYear)),0))</f>
        <v/>
      </c>
      <c r="P30" s="293"/>
      <c r="Q30" s="142" t="str">
        <f>IF(ISBLANK(SpaceTable[[#This Row],[Space Type]]),"",IF(ISERROR(SpaceTable[[#This Row],[HVAC Factor Lookup Helper]]),0,SpaceTable[[#This Row],[HVAC Factor Lookup Helper]]))</f>
        <v/>
      </c>
      <c r="R30" s="279" t="e" cm="1">
        <f t="array" ref="R30">INDEX(SpaceConditionTable[Space Conditioning Type],MATCH(1,(SpaceConditionTable[Heating Type]=D30)*(SpaceConditionTable[Cooling Type]=E30),0))</f>
        <v>#N/A</v>
      </c>
      <c r="S30" s="134" t="e">
        <f>INDEX(HVACFactorTable[#Data],MATCH(BuildingTypeField,HVACFactorTable[Building Type],0),MATCH(R30,HVACFactorTable[#Headers],0))</f>
        <v>#N/A</v>
      </c>
      <c r="T30" s="134" t="str">
        <f>IF(AND(ISBLANK(SpaceTable[[#This Row],[Space Type]]),ISBLANK(SpaceTable[[#This Row],[Space Description]])),"",IF(ISBLANK(SpaceTable[[#This Row],[Space Description]]),SpaceTable[[#This Row],[Space Type]],_xlfn.CONCAT(SpaceTable[[#This Row],[Space Type]]," - ",SpaceTable[[#This Row],[Space Description]])))</f>
        <v/>
      </c>
      <c r="U30" s="134" t="str">
        <f>IF(ISBLANK(SpaceTable[[#This Row],[Space Type]]),"",COUNTIF($T$8:$T$57,SpaceTable[[#This Row],[Space Name Concatenated Helper]])=1)</f>
        <v/>
      </c>
    </row>
    <row r="31" spans="1:21" x14ac:dyDescent="0.3">
      <c r="A31" s="133">
        <v>24</v>
      </c>
      <c r="B31" s="290"/>
      <c r="C31" s="343"/>
      <c r="D31" s="290"/>
      <c r="E31" s="291"/>
      <c r="F31" s="292"/>
      <c r="G31" s="290"/>
      <c r="H31" s="290"/>
      <c r="I31" s="290"/>
      <c r="J31" s="290"/>
      <c r="K31" s="290"/>
      <c r="L31" s="291"/>
      <c r="M31" s="292"/>
      <c r="N31" s="135" t="str">
        <f>IF(ISBLANK(SpaceTable[[#This Row],[Space Type]]),"",SUM(F31:L31))</f>
        <v/>
      </c>
      <c r="O31" s="278" t="str">
        <f>IF(ISBLANK(SpaceTable[[#This Row],[Space Type]]),"",ROUND(SpaceTable[[#This Row],[Weekly Hours]]*SpaceTable[[#This Row],[Weeks per Year]]*(DaysInYear/(DaysInWeek*WeeksInYear)),0))</f>
        <v/>
      </c>
      <c r="P31" s="293"/>
      <c r="Q31" s="142" t="str">
        <f>IF(ISBLANK(SpaceTable[[#This Row],[Space Type]]),"",IF(ISERROR(SpaceTable[[#This Row],[HVAC Factor Lookup Helper]]),0,SpaceTable[[#This Row],[HVAC Factor Lookup Helper]]))</f>
        <v/>
      </c>
      <c r="R31" s="279" t="e" cm="1">
        <f t="array" ref="R31">INDEX(SpaceConditionTable[Space Conditioning Type],MATCH(1,(SpaceConditionTable[Heating Type]=D31)*(SpaceConditionTable[Cooling Type]=E31),0))</f>
        <v>#N/A</v>
      </c>
      <c r="S31" s="134" t="e">
        <f>INDEX(HVACFactorTable[#Data],MATCH(BuildingTypeField,HVACFactorTable[Building Type],0),MATCH(R31,HVACFactorTable[#Headers],0))</f>
        <v>#N/A</v>
      </c>
      <c r="T31" s="134" t="str">
        <f>IF(AND(ISBLANK(SpaceTable[[#This Row],[Space Type]]),ISBLANK(SpaceTable[[#This Row],[Space Description]])),"",IF(ISBLANK(SpaceTable[[#This Row],[Space Description]]),SpaceTable[[#This Row],[Space Type]],_xlfn.CONCAT(SpaceTable[[#This Row],[Space Type]]," - ",SpaceTable[[#This Row],[Space Description]])))</f>
        <v/>
      </c>
      <c r="U31" s="134" t="str">
        <f>IF(ISBLANK(SpaceTable[[#This Row],[Space Type]]),"",COUNTIF($T$8:$T$57,SpaceTable[[#This Row],[Space Name Concatenated Helper]])=1)</f>
        <v/>
      </c>
    </row>
    <row r="32" spans="1:21" x14ac:dyDescent="0.3">
      <c r="A32" s="133">
        <v>25</v>
      </c>
      <c r="B32" s="290"/>
      <c r="C32" s="343"/>
      <c r="D32" s="290"/>
      <c r="E32" s="291"/>
      <c r="F32" s="292"/>
      <c r="G32" s="290"/>
      <c r="H32" s="290"/>
      <c r="I32" s="290"/>
      <c r="J32" s="290"/>
      <c r="K32" s="290"/>
      <c r="L32" s="291"/>
      <c r="M32" s="292"/>
      <c r="N32" s="135" t="str">
        <f>IF(ISBLANK(SpaceTable[[#This Row],[Space Type]]),"",SUM(F32:L32))</f>
        <v/>
      </c>
      <c r="O32" s="278" t="str">
        <f>IF(ISBLANK(SpaceTable[[#This Row],[Space Type]]),"",ROUND(SpaceTable[[#This Row],[Weekly Hours]]*SpaceTable[[#This Row],[Weeks per Year]]*(DaysInYear/(DaysInWeek*WeeksInYear)),0))</f>
        <v/>
      </c>
      <c r="P32" s="293"/>
      <c r="Q32" s="142" t="str">
        <f>IF(ISBLANK(SpaceTable[[#This Row],[Space Type]]),"",IF(ISERROR(SpaceTable[[#This Row],[HVAC Factor Lookup Helper]]),0,SpaceTable[[#This Row],[HVAC Factor Lookup Helper]]))</f>
        <v/>
      </c>
      <c r="R32" s="279" t="e" cm="1">
        <f t="array" ref="R32">INDEX(SpaceConditionTable[Space Conditioning Type],MATCH(1,(SpaceConditionTable[Heating Type]=D32)*(SpaceConditionTable[Cooling Type]=E32),0))</f>
        <v>#N/A</v>
      </c>
      <c r="S32" s="134" t="e">
        <f>INDEX(HVACFactorTable[#Data],MATCH(BuildingTypeField,HVACFactorTable[Building Type],0),MATCH(R32,HVACFactorTable[#Headers],0))</f>
        <v>#N/A</v>
      </c>
      <c r="T32" s="134" t="str">
        <f>IF(AND(ISBLANK(SpaceTable[[#This Row],[Space Type]]),ISBLANK(SpaceTable[[#This Row],[Space Description]])),"",IF(ISBLANK(SpaceTable[[#This Row],[Space Description]]),SpaceTable[[#This Row],[Space Type]],_xlfn.CONCAT(SpaceTable[[#This Row],[Space Type]]," - ",SpaceTable[[#This Row],[Space Description]])))</f>
        <v/>
      </c>
      <c r="U32" s="134" t="str">
        <f>IF(ISBLANK(SpaceTable[[#This Row],[Space Type]]),"",COUNTIF($T$8:$T$57,SpaceTable[[#This Row],[Space Name Concatenated Helper]])=1)</f>
        <v/>
      </c>
    </row>
    <row r="33" spans="1:21" x14ac:dyDescent="0.3">
      <c r="A33" s="133">
        <v>26</v>
      </c>
      <c r="B33" s="290"/>
      <c r="C33" s="343"/>
      <c r="D33" s="290"/>
      <c r="E33" s="291"/>
      <c r="F33" s="292"/>
      <c r="G33" s="290"/>
      <c r="H33" s="290"/>
      <c r="I33" s="290"/>
      <c r="J33" s="290"/>
      <c r="K33" s="290"/>
      <c r="L33" s="291"/>
      <c r="M33" s="292"/>
      <c r="N33" s="135" t="str">
        <f>IF(ISBLANK(SpaceTable[[#This Row],[Space Type]]),"",SUM(F33:L33))</f>
        <v/>
      </c>
      <c r="O33" s="278" t="str">
        <f>IF(ISBLANK(SpaceTable[[#This Row],[Space Type]]),"",ROUND(SpaceTable[[#This Row],[Weekly Hours]]*SpaceTable[[#This Row],[Weeks per Year]]*(DaysInYear/(DaysInWeek*WeeksInYear)),0))</f>
        <v/>
      </c>
      <c r="P33" s="293"/>
      <c r="Q33" s="142" t="str">
        <f>IF(ISBLANK(SpaceTable[[#This Row],[Space Type]]),"",IF(ISERROR(SpaceTable[[#This Row],[HVAC Factor Lookup Helper]]),0,SpaceTable[[#This Row],[HVAC Factor Lookup Helper]]))</f>
        <v/>
      </c>
      <c r="R33" s="279" t="e" cm="1">
        <f t="array" ref="R33">INDEX(SpaceConditionTable[Space Conditioning Type],MATCH(1,(SpaceConditionTable[Heating Type]=D33)*(SpaceConditionTable[Cooling Type]=E33),0))</f>
        <v>#N/A</v>
      </c>
      <c r="S33" s="134" t="e">
        <f>INDEX(HVACFactorTable[#Data],MATCH(BuildingTypeField,HVACFactorTable[Building Type],0),MATCH(R33,HVACFactorTable[#Headers],0))</f>
        <v>#N/A</v>
      </c>
      <c r="T33" s="134" t="str">
        <f>IF(AND(ISBLANK(SpaceTable[[#This Row],[Space Type]]),ISBLANK(SpaceTable[[#This Row],[Space Description]])),"",IF(ISBLANK(SpaceTable[[#This Row],[Space Description]]),SpaceTable[[#This Row],[Space Type]],_xlfn.CONCAT(SpaceTable[[#This Row],[Space Type]]," - ",SpaceTable[[#This Row],[Space Description]])))</f>
        <v/>
      </c>
      <c r="U33" s="134" t="str">
        <f>IF(ISBLANK(SpaceTable[[#This Row],[Space Type]]),"",COUNTIF($T$8:$T$57,SpaceTable[[#This Row],[Space Name Concatenated Helper]])=1)</f>
        <v/>
      </c>
    </row>
    <row r="34" spans="1:21" x14ac:dyDescent="0.3">
      <c r="A34" s="133">
        <v>27</v>
      </c>
      <c r="B34" s="290"/>
      <c r="C34" s="343"/>
      <c r="D34" s="290"/>
      <c r="E34" s="291"/>
      <c r="F34" s="292"/>
      <c r="G34" s="290"/>
      <c r="H34" s="290"/>
      <c r="I34" s="290"/>
      <c r="J34" s="290"/>
      <c r="K34" s="290"/>
      <c r="L34" s="291"/>
      <c r="M34" s="292"/>
      <c r="N34" s="135" t="str">
        <f>IF(ISBLANK(SpaceTable[[#This Row],[Space Type]]),"",SUM(F34:L34))</f>
        <v/>
      </c>
      <c r="O34" s="278" t="str">
        <f>IF(ISBLANK(SpaceTable[[#This Row],[Space Type]]),"",ROUND(SpaceTable[[#This Row],[Weekly Hours]]*SpaceTable[[#This Row],[Weeks per Year]]*(DaysInYear/(DaysInWeek*WeeksInYear)),0))</f>
        <v/>
      </c>
      <c r="P34" s="293"/>
      <c r="Q34" s="142" t="str">
        <f>IF(ISBLANK(SpaceTable[[#This Row],[Space Type]]),"",IF(ISERROR(SpaceTable[[#This Row],[HVAC Factor Lookup Helper]]),0,SpaceTable[[#This Row],[HVAC Factor Lookup Helper]]))</f>
        <v/>
      </c>
      <c r="R34" s="279" t="e" cm="1">
        <f t="array" ref="R34">INDEX(SpaceConditionTable[Space Conditioning Type],MATCH(1,(SpaceConditionTable[Heating Type]=D34)*(SpaceConditionTable[Cooling Type]=E34),0))</f>
        <v>#N/A</v>
      </c>
      <c r="S34" s="134" t="e">
        <f>INDEX(HVACFactorTable[#Data],MATCH(BuildingTypeField,HVACFactorTable[Building Type],0),MATCH(R34,HVACFactorTable[#Headers],0))</f>
        <v>#N/A</v>
      </c>
      <c r="T34" s="134" t="str">
        <f>IF(AND(ISBLANK(SpaceTable[[#This Row],[Space Type]]),ISBLANK(SpaceTable[[#This Row],[Space Description]])),"",IF(ISBLANK(SpaceTable[[#This Row],[Space Description]]),SpaceTable[[#This Row],[Space Type]],_xlfn.CONCAT(SpaceTable[[#This Row],[Space Type]]," - ",SpaceTable[[#This Row],[Space Description]])))</f>
        <v/>
      </c>
      <c r="U34" s="134" t="str">
        <f>IF(ISBLANK(SpaceTable[[#This Row],[Space Type]]),"",COUNTIF($T$8:$T$57,SpaceTable[[#This Row],[Space Name Concatenated Helper]])=1)</f>
        <v/>
      </c>
    </row>
    <row r="35" spans="1:21" x14ac:dyDescent="0.3">
      <c r="A35" s="133">
        <v>28</v>
      </c>
      <c r="B35" s="290"/>
      <c r="C35" s="343"/>
      <c r="D35" s="290"/>
      <c r="E35" s="291"/>
      <c r="F35" s="292"/>
      <c r="G35" s="290"/>
      <c r="H35" s="290"/>
      <c r="I35" s="290"/>
      <c r="J35" s="290"/>
      <c r="K35" s="290"/>
      <c r="L35" s="291"/>
      <c r="M35" s="292"/>
      <c r="N35" s="135" t="str">
        <f>IF(ISBLANK(SpaceTable[[#This Row],[Space Type]]),"",SUM(F35:L35))</f>
        <v/>
      </c>
      <c r="O35" s="278" t="str">
        <f>IF(ISBLANK(SpaceTable[[#This Row],[Space Type]]),"",ROUND(SpaceTable[[#This Row],[Weekly Hours]]*SpaceTable[[#This Row],[Weeks per Year]]*(DaysInYear/(DaysInWeek*WeeksInYear)),0))</f>
        <v/>
      </c>
      <c r="P35" s="293"/>
      <c r="Q35" s="142" t="str">
        <f>IF(ISBLANK(SpaceTable[[#This Row],[Space Type]]),"",IF(ISERROR(SpaceTable[[#This Row],[HVAC Factor Lookup Helper]]),0,SpaceTable[[#This Row],[HVAC Factor Lookup Helper]]))</f>
        <v/>
      </c>
      <c r="R35" s="279" t="e" cm="1">
        <f t="array" ref="R35">INDEX(SpaceConditionTable[Space Conditioning Type],MATCH(1,(SpaceConditionTable[Heating Type]=D35)*(SpaceConditionTable[Cooling Type]=E35),0))</f>
        <v>#N/A</v>
      </c>
      <c r="S35" s="134" t="e">
        <f>INDEX(HVACFactorTable[#Data],MATCH(BuildingTypeField,HVACFactorTable[Building Type],0),MATCH(R35,HVACFactorTable[#Headers],0))</f>
        <v>#N/A</v>
      </c>
      <c r="T35" s="134" t="str">
        <f>IF(AND(ISBLANK(SpaceTable[[#This Row],[Space Type]]),ISBLANK(SpaceTable[[#This Row],[Space Description]])),"",IF(ISBLANK(SpaceTable[[#This Row],[Space Description]]),SpaceTable[[#This Row],[Space Type]],_xlfn.CONCAT(SpaceTable[[#This Row],[Space Type]]," - ",SpaceTable[[#This Row],[Space Description]])))</f>
        <v/>
      </c>
      <c r="U35" s="134" t="str">
        <f>IF(ISBLANK(SpaceTable[[#This Row],[Space Type]]),"",COUNTIF($T$8:$T$57,SpaceTable[[#This Row],[Space Name Concatenated Helper]])=1)</f>
        <v/>
      </c>
    </row>
    <row r="36" spans="1:21" x14ac:dyDescent="0.3">
      <c r="A36" s="133">
        <v>29</v>
      </c>
      <c r="B36" s="290"/>
      <c r="C36" s="343"/>
      <c r="D36" s="290"/>
      <c r="E36" s="291"/>
      <c r="F36" s="292"/>
      <c r="G36" s="290"/>
      <c r="H36" s="290"/>
      <c r="I36" s="290"/>
      <c r="J36" s="290"/>
      <c r="K36" s="290"/>
      <c r="L36" s="291"/>
      <c r="M36" s="292"/>
      <c r="N36" s="135" t="str">
        <f>IF(ISBLANK(SpaceTable[[#This Row],[Space Type]]),"",SUM(F36:L36))</f>
        <v/>
      </c>
      <c r="O36" s="278" t="str">
        <f>IF(ISBLANK(SpaceTable[[#This Row],[Space Type]]),"",ROUND(SpaceTable[[#This Row],[Weekly Hours]]*SpaceTable[[#This Row],[Weeks per Year]]*(DaysInYear/(DaysInWeek*WeeksInYear)),0))</f>
        <v/>
      </c>
      <c r="P36" s="293"/>
      <c r="Q36" s="142" t="str">
        <f>IF(ISBLANK(SpaceTable[[#This Row],[Space Type]]),"",IF(ISERROR(SpaceTable[[#This Row],[HVAC Factor Lookup Helper]]),0,SpaceTable[[#This Row],[HVAC Factor Lookup Helper]]))</f>
        <v/>
      </c>
      <c r="R36" s="279" t="e" cm="1">
        <f t="array" ref="R36">INDEX(SpaceConditionTable[Space Conditioning Type],MATCH(1,(SpaceConditionTable[Heating Type]=D36)*(SpaceConditionTable[Cooling Type]=E36),0))</f>
        <v>#N/A</v>
      </c>
      <c r="S36" s="134" t="e">
        <f>INDEX(HVACFactorTable[#Data],MATCH(BuildingTypeField,HVACFactorTable[Building Type],0),MATCH(R36,HVACFactorTable[#Headers],0))</f>
        <v>#N/A</v>
      </c>
      <c r="T36" s="134" t="str">
        <f>IF(AND(ISBLANK(SpaceTable[[#This Row],[Space Type]]),ISBLANK(SpaceTable[[#This Row],[Space Description]])),"",IF(ISBLANK(SpaceTable[[#This Row],[Space Description]]),SpaceTable[[#This Row],[Space Type]],_xlfn.CONCAT(SpaceTable[[#This Row],[Space Type]]," - ",SpaceTable[[#This Row],[Space Description]])))</f>
        <v/>
      </c>
      <c r="U36" s="134" t="str">
        <f>IF(ISBLANK(SpaceTable[[#This Row],[Space Type]]),"",COUNTIF($T$8:$T$57,SpaceTable[[#This Row],[Space Name Concatenated Helper]])=1)</f>
        <v/>
      </c>
    </row>
    <row r="37" spans="1:21" x14ac:dyDescent="0.3">
      <c r="A37" s="133">
        <v>30</v>
      </c>
      <c r="B37" s="290"/>
      <c r="C37" s="343"/>
      <c r="D37" s="290"/>
      <c r="E37" s="291"/>
      <c r="F37" s="292"/>
      <c r="G37" s="290"/>
      <c r="H37" s="290"/>
      <c r="I37" s="290"/>
      <c r="J37" s="290"/>
      <c r="K37" s="290"/>
      <c r="L37" s="291"/>
      <c r="M37" s="292"/>
      <c r="N37" s="135" t="str">
        <f>IF(ISBLANK(SpaceTable[[#This Row],[Space Type]]),"",SUM(F37:L37))</f>
        <v/>
      </c>
      <c r="O37" s="278" t="str">
        <f>IF(ISBLANK(SpaceTable[[#This Row],[Space Type]]),"",ROUND(SpaceTable[[#This Row],[Weekly Hours]]*SpaceTable[[#This Row],[Weeks per Year]]*(DaysInYear/(DaysInWeek*WeeksInYear)),0))</f>
        <v/>
      </c>
      <c r="P37" s="293"/>
      <c r="Q37" s="142" t="str">
        <f>IF(ISBLANK(SpaceTable[[#This Row],[Space Type]]),"",IF(ISERROR(SpaceTable[[#This Row],[HVAC Factor Lookup Helper]]),0,SpaceTable[[#This Row],[HVAC Factor Lookup Helper]]))</f>
        <v/>
      </c>
      <c r="R37" s="279" t="e" cm="1">
        <f t="array" ref="R37">INDEX(SpaceConditionTable[Space Conditioning Type],MATCH(1,(SpaceConditionTable[Heating Type]=D37)*(SpaceConditionTable[Cooling Type]=E37),0))</f>
        <v>#N/A</v>
      </c>
      <c r="S37" s="134" t="e">
        <f>INDEX(HVACFactorTable[#Data],MATCH(BuildingTypeField,HVACFactorTable[Building Type],0),MATCH(R37,HVACFactorTable[#Headers],0))</f>
        <v>#N/A</v>
      </c>
      <c r="T37" s="134" t="str">
        <f>IF(AND(ISBLANK(SpaceTable[[#This Row],[Space Type]]),ISBLANK(SpaceTable[[#This Row],[Space Description]])),"",IF(ISBLANK(SpaceTable[[#This Row],[Space Description]]),SpaceTable[[#This Row],[Space Type]],_xlfn.CONCAT(SpaceTable[[#This Row],[Space Type]]," - ",SpaceTable[[#This Row],[Space Description]])))</f>
        <v/>
      </c>
      <c r="U37" s="134" t="str">
        <f>IF(ISBLANK(SpaceTable[[#This Row],[Space Type]]),"",COUNTIF($T$8:$T$57,SpaceTable[[#This Row],[Space Name Concatenated Helper]])=1)</f>
        <v/>
      </c>
    </row>
    <row r="38" spans="1:21" x14ac:dyDescent="0.3">
      <c r="A38" s="133">
        <v>31</v>
      </c>
      <c r="B38" s="290"/>
      <c r="C38" s="343"/>
      <c r="D38" s="290"/>
      <c r="E38" s="291"/>
      <c r="F38" s="292"/>
      <c r="G38" s="290"/>
      <c r="H38" s="290"/>
      <c r="I38" s="290"/>
      <c r="J38" s="290"/>
      <c r="K38" s="290"/>
      <c r="L38" s="291"/>
      <c r="M38" s="292"/>
      <c r="N38" s="135" t="str">
        <f>IF(ISBLANK(SpaceTable[[#This Row],[Space Type]]),"",SUM(F38:L38))</f>
        <v/>
      </c>
      <c r="O38" s="278" t="str">
        <f>IF(ISBLANK(SpaceTable[[#This Row],[Space Type]]),"",ROUND(SpaceTable[[#This Row],[Weekly Hours]]*SpaceTable[[#This Row],[Weeks per Year]]*(DaysInYear/(DaysInWeek*WeeksInYear)),0))</f>
        <v/>
      </c>
      <c r="P38" s="293"/>
      <c r="Q38" s="142" t="str">
        <f>IF(ISBLANK(SpaceTable[[#This Row],[Space Type]]),"",IF(ISERROR(SpaceTable[[#This Row],[HVAC Factor Lookup Helper]]),0,SpaceTable[[#This Row],[HVAC Factor Lookup Helper]]))</f>
        <v/>
      </c>
      <c r="R38" s="279" t="e" cm="1">
        <f t="array" ref="R38">INDEX(SpaceConditionTable[Space Conditioning Type],MATCH(1,(SpaceConditionTable[Heating Type]=D38)*(SpaceConditionTable[Cooling Type]=E38),0))</f>
        <v>#N/A</v>
      </c>
      <c r="S38" s="134" t="e">
        <f>INDEX(HVACFactorTable[#Data],MATCH(BuildingTypeField,HVACFactorTable[Building Type],0),MATCH(R38,HVACFactorTable[#Headers],0))</f>
        <v>#N/A</v>
      </c>
      <c r="T38" s="134" t="str">
        <f>IF(AND(ISBLANK(SpaceTable[[#This Row],[Space Type]]),ISBLANK(SpaceTable[[#This Row],[Space Description]])),"",IF(ISBLANK(SpaceTable[[#This Row],[Space Description]]),SpaceTable[[#This Row],[Space Type]],_xlfn.CONCAT(SpaceTable[[#This Row],[Space Type]]," - ",SpaceTable[[#This Row],[Space Description]])))</f>
        <v/>
      </c>
      <c r="U38" s="134" t="str">
        <f>IF(ISBLANK(SpaceTable[[#This Row],[Space Type]]),"",COUNTIF($T$8:$T$57,SpaceTable[[#This Row],[Space Name Concatenated Helper]])=1)</f>
        <v/>
      </c>
    </row>
    <row r="39" spans="1:21" x14ac:dyDescent="0.3">
      <c r="A39" s="133">
        <v>32</v>
      </c>
      <c r="B39" s="290"/>
      <c r="C39" s="343"/>
      <c r="D39" s="290"/>
      <c r="E39" s="291"/>
      <c r="F39" s="292"/>
      <c r="G39" s="290"/>
      <c r="H39" s="290"/>
      <c r="I39" s="290"/>
      <c r="J39" s="290"/>
      <c r="K39" s="290"/>
      <c r="L39" s="291"/>
      <c r="M39" s="292"/>
      <c r="N39" s="135" t="str">
        <f>IF(ISBLANK(SpaceTable[[#This Row],[Space Type]]),"",SUM(F39:L39))</f>
        <v/>
      </c>
      <c r="O39" s="278" t="str">
        <f>IF(ISBLANK(SpaceTable[[#This Row],[Space Type]]),"",ROUND(SpaceTable[[#This Row],[Weekly Hours]]*SpaceTable[[#This Row],[Weeks per Year]]*(DaysInYear/(DaysInWeek*WeeksInYear)),0))</f>
        <v/>
      </c>
      <c r="P39" s="293"/>
      <c r="Q39" s="142" t="str">
        <f>IF(ISBLANK(SpaceTable[[#This Row],[Space Type]]),"",IF(ISERROR(SpaceTable[[#This Row],[HVAC Factor Lookup Helper]]),0,SpaceTable[[#This Row],[HVAC Factor Lookup Helper]]))</f>
        <v/>
      </c>
      <c r="R39" s="279" t="e" cm="1">
        <f t="array" ref="R39">INDEX(SpaceConditionTable[Space Conditioning Type],MATCH(1,(SpaceConditionTable[Heating Type]=D39)*(SpaceConditionTable[Cooling Type]=E39),0))</f>
        <v>#N/A</v>
      </c>
      <c r="S39" s="134" t="e">
        <f>INDEX(HVACFactorTable[#Data],MATCH(BuildingTypeField,HVACFactorTable[Building Type],0),MATCH(R39,HVACFactorTable[#Headers],0))</f>
        <v>#N/A</v>
      </c>
      <c r="T39" s="134" t="str">
        <f>IF(AND(ISBLANK(SpaceTable[[#This Row],[Space Type]]),ISBLANK(SpaceTable[[#This Row],[Space Description]])),"",IF(ISBLANK(SpaceTable[[#This Row],[Space Description]]),SpaceTable[[#This Row],[Space Type]],_xlfn.CONCAT(SpaceTable[[#This Row],[Space Type]]," - ",SpaceTable[[#This Row],[Space Description]])))</f>
        <v/>
      </c>
      <c r="U39" s="134" t="str">
        <f>IF(ISBLANK(SpaceTable[[#This Row],[Space Type]]),"",COUNTIF($T$8:$T$57,SpaceTable[[#This Row],[Space Name Concatenated Helper]])=1)</f>
        <v/>
      </c>
    </row>
    <row r="40" spans="1:21" x14ac:dyDescent="0.3">
      <c r="A40" s="133">
        <v>33</v>
      </c>
      <c r="B40" s="290"/>
      <c r="C40" s="343"/>
      <c r="D40" s="290"/>
      <c r="E40" s="291"/>
      <c r="F40" s="292"/>
      <c r="G40" s="290"/>
      <c r="H40" s="290"/>
      <c r="I40" s="290"/>
      <c r="J40" s="290"/>
      <c r="K40" s="290"/>
      <c r="L40" s="291"/>
      <c r="M40" s="292"/>
      <c r="N40" s="135" t="str">
        <f>IF(ISBLANK(SpaceTable[[#This Row],[Space Type]]),"",SUM(F40:L40))</f>
        <v/>
      </c>
      <c r="O40" s="278" t="str">
        <f>IF(ISBLANK(SpaceTable[[#This Row],[Space Type]]),"",ROUND(SpaceTable[[#This Row],[Weekly Hours]]*SpaceTable[[#This Row],[Weeks per Year]]*(DaysInYear/(DaysInWeek*WeeksInYear)),0))</f>
        <v/>
      </c>
      <c r="P40" s="293"/>
      <c r="Q40" s="142" t="str">
        <f>IF(ISBLANK(SpaceTable[[#This Row],[Space Type]]),"",IF(ISERROR(SpaceTable[[#This Row],[HVAC Factor Lookup Helper]]),0,SpaceTable[[#This Row],[HVAC Factor Lookup Helper]]))</f>
        <v/>
      </c>
      <c r="R40" s="279" t="e" cm="1">
        <f t="array" ref="R40">INDEX(SpaceConditionTable[Space Conditioning Type],MATCH(1,(SpaceConditionTable[Heating Type]=D40)*(SpaceConditionTable[Cooling Type]=E40),0))</f>
        <v>#N/A</v>
      </c>
      <c r="S40" s="134" t="e">
        <f>INDEX(HVACFactorTable[#Data],MATCH(BuildingTypeField,HVACFactorTable[Building Type],0),MATCH(R40,HVACFactorTable[#Headers],0))</f>
        <v>#N/A</v>
      </c>
      <c r="T40" s="134" t="str">
        <f>IF(AND(ISBLANK(SpaceTable[[#This Row],[Space Type]]),ISBLANK(SpaceTable[[#This Row],[Space Description]])),"",IF(ISBLANK(SpaceTable[[#This Row],[Space Description]]),SpaceTable[[#This Row],[Space Type]],_xlfn.CONCAT(SpaceTable[[#This Row],[Space Type]]," - ",SpaceTable[[#This Row],[Space Description]])))</f>
        <v/>
      </c>
      <c r="U40" s="134" t="str">
        <f>IF(ISBLANK(SpaceTable[[#This Row],[Space Type]]),"",COUNTIF($T$8:$T$57,SpaceTable[[#This Row],[Space Name Concatenated Helper]])=1)</f>
        <v/>
      </c>
    </row>
    <row r="41" spans="1:21" x14ac:dyDescent="0.3">
      <c r="A41" s="133">
        <v>34</v>
      </c>
      <c r="B41" s="290"/>
      <c r="C41" s="343"/>
      <c r="D41" s="290"/>
      <c r="E41" s="291"/>
      <c r="F41" s="292"/>
      <c r="G41" s="290"/>
      <c r="H41" s="290"/>
      <c r="I41" s="290"/>
      <c r="J41" s="290"/>
      <c r="K41" s="290"/>
      <c r="L41" s="291"/>
      <c r="M41" s="292"/>
      <c r="N41" s="135" t="str">
        <f>IF(ISBLANK(SpaceTable[[#This Row],[Space Type]]),"",SUM(F41:L41))</f>
        <v/>
      </c>
      <c r="O41" s="278" t="str">
        <f>IF(ISBLANK(SpaceTable[[#This Row],[Space Type]]),"",ROUND(SpaceTable[[#This Row],[Weekly Hours]]*SpaceTable[[#This Row],[Weeks per Year]]*(DaysInYear/(DaysInWeek*WeeksInYear)),0))</f>
        <v/>
      </c>
      <c r="P41" s="293"/>
      <c r="Q41" s="142" t="str">
        <f>IF(ISBLANK(SpaceTable[[#This Row],[Space Type]]),"",IF(ISERROR(SpaceTable[[#This Row],[HVAC Factor Lookup Helper]]),0,SpaceTable[[#This Row],[HVAC Factor Lookup Helper]]))</f>
        <v/>
      </c>
      <c r="R41" s="279" t="e" cm="1">
        <f t="array" ref="R41">INDEX(SpaceConditionTable[Space Conditioning Type],MATCH(1,(SpaceConditionTable[Heating Type]=D41)*(SpaceConditionTable[Cooling Type]=E41),0))</f>
        <v>#N/A</v>
      </c>
      <c r="S41" s="134" t="e">
        <f>INDEX(HVACFactorTable[#Data],MATCH(BuildingTypeField,HVACFactorTable[Building Type],0),MATCH(R41,HVACFactorTable[#Headers],0))</f>
        <v>#N/A</v>
      </c>
      <c r="T41" s="134" t="str">
        <f>IF(AND(ISBLANK(SpaceTable[[#This Row],[Space Type]]),ISBLANK(SpaceTable[[#This Row],[Space Description]])),"",IF(ISBLANK(SpaceTable[[#This Row],[Space Description]]),SpaceTable[[#This Row],[Space Type]],_xlfn.CONCAT(SpaceTable[[#This Row],[Space Type]]," - ",SpaceTable[[#This Row],[Space Description]])))</f>
        <v/>
      </c>
      <c r="U41" s="134" t="str">
        <f>IF(ISBLANK(SpaceTable[[#This Row],[Space Type]]),"",COUNTIF($T$8:$T$57,SpaceTable[[#This Row],[Space Name Concatenated Helper]])=1)</f>
        <v/>
      </c>
    </row>
    <row r="42" spans="1:21" x14ac:dyDescent="0.3">
      <c r="A42" s="133">
        <v>35</v>
      </c>
      <c r="B42" s="290"/>
      <c r="C42" s="343"/>
      <c r="D42" s="290"/>
      <c r="E42" s="291"/>
      <c r="F42" s="292"/>
      <c r="G42" s="290"/>
      <c r="H42" s="290"/>
      <c r="I42" s="290"/>
      <c r="J42" s="290"/>
      <c r="K42" s="290"/>
      <c r="L42" s="291"/>
      <c r="M42" s="292"/>
      <c r="N42" s="135" t="str">
        <f>IF(ISBLANK(SpaceTable[[#This Row],[Space Type]]),"",SUM(F42:L42))</f>
        <v/>
      </c>
      <c r="O42" s="278" t="str">
        <f>IF(ISBLANK(SpaceTable[[#This Row],[Space Type]]),"",ROUND(SpaceTable[[#This Row],[Weekly Hours]]*SpaceTable[[#This Row],[Weeks per Year]]*(DaysInYear/(DaysInWeek*WeeksInYear)),0))</f>
        <v/>
      </c>
      <c r="P42" s="293"/>
      <c r="Q42" s="142" t="str">
        <f>IF(ISBLANK(SpaceTable[[#This Row],[Space Type]]),"",IF(ISERROR(SpaceTable[[#This Row],[HVAC Factor Lookup Helper]]),0,SpaceTable[[#This Row],[HVAC Factor Lookup Helper]]))</f>
        <v/>
      </c>
      <c r="R42" s="279" t="e" cm="1">
        <f t="array" ref="R42">INDEX(SpaceConditionTable[Space Conditioning Type],MATCH(1,(SpaceConditionTable[Heating Type]=D42)*(SpaceConditionTable[Cooling Type]=E42),0))</f>
        <v>#N/A</v>
      </c>
      <c r="S42" s="134" t="e">
        <f>INDEX(HVACFactorTable[#Data],MATCH(BuildingTypeField,HVACFactorTable[Building Type],0),MATCH(R42,HVACFactorTable[#Headers],0))</f>
        <v>#N/A</v>
      </c>
      <c r="T42" s="134" t="str">
        <f>IF(AND(ISBLANK(SpaceTable[[#This Row],[Space Type]]),ISBLANK(SpaceTable[[#This Row],[Space Description]])),"",IF(ISBLANK(SpaceTable[[#This Row],[Space Description]]),SpaceTable[[#This Row],[Space Type]],_xlfn.CONCAT(SpaceTable[[#This Row],[Space Type]]," - ",SpaceTable[[#This Row],[Space Description]])))</f>
        <v/>
      </c>
      <c r="U42" s="134" t="str">
        <f>IF(ISBLANK(SpaceTable[[#This Row],[Space Type]]),"",COUNTIF($T$8:$T$57,SpaceTable[[#This Row],[Space Name Concatenated Helper]])=1)</f>
        <v/>
      </c>
    </row>
    <row r="43" spans="1:21" x14ac:dyDescent="0.3">
      <c r="A43" s="133">
        <v>36</v>
      </c>
      <c r="B43" s="290"/>
      <c r="C43" s="343"/>
      <c r="D43" s="290"/>
      <c r="E43" s="291"/>
      <c r="F43" s="292"/>
      <c r="G43" s="290"/>
      <c r="H43" s="290"/>
      <c r="I43" s="290"/>
      <c r="J43" s="290"/>
      <c r="K43" s="290"/>
      <c r="L43" s="291"/>
      <c r="M43" s="292"/>
      <c r="N43" s="135" t="str">
        <f>IF(ISBLANK(SpaceTable[[#This Row],[Space Type]]),"",SUM(F43:L43))</f>
        <v/>
      </c>
      <c r="O43" s="278" t="str">
        <f>IF(ISBLANK(SpaceTable[[#This Row],[Space Type]]),"",ROUND(SpaceTable[[#This Row],[Weekly Hours]]*SpaceTable[[#This Row],[Weeks per Year]]*(DaysInYear/(DaysInWeek*WeeksInYear)),0))</f>
        <v/>
      </c>
      <c r="P43" s="293"/>
      <c r="Q43" s="142" t="str">
        <f>IF(ISBLANK(SpaceTable[[#This Row],[Space Type]]),"",IF(ISERROR(SpaceTable[[#This Row],[HVAC Factor Lookup Helper]]),0,SpaceTable[[#This Row],[HVAC Factor Lookup Helper]]))</f>
        <v/>
      </c>
      <c r="R43" s="279" t="e" cm="1">
        <f t="array" ref="R43">INDEX(SpaceConditionTable[Space Conditioning Type],MATCH(1,(SpaceConditionTable[Heating Type]=D43)*(SpaceConditionTable[Cooling Type]=E43),0))</f>
        <v>#N/A</v>
      </c>
      <c r="S43" s="134" t="e">
        <f>INDEX(HVACFactorTable[#Data],MATCH(BuildingTypeField,HVACFactorTable[Building Type],0),MATCH(R43,HVACFactorTable[#Headers],0))</f>
        <v>#N/A</v>
      </c>
      <c r="T43" s="134" t="str">
        <f>IF(AND(ISBLANK(SpaceTable[[#This Row],[Space Type]]),ISBLANK(SpaceTable[[#This Row],[Space Description]])),"",IF(ISBLANK(SpaceTable[[#This Row],[Space Description]]),SpaceTable[[#This Row],[Space Type]],_xlfn.CONCAT(SpaceTable[[#This Row],[Space Type]]," - ",SpaceTable[[#This Row],[Space Description]])))</f>
        <v/>
      </c>
      <c r="U43" s="134" t="str">
        <f>IF(ISBLANK(SpaceTable[[#This Row],[Space Type]]),"",COUNTIF($T$8:$T$57,SpaceTable[[#This Row],[Space Name Concatenated Helper]])=1)</f>
        <v/>
      </c>
    </row>
    <row r="44" spans="1:21" x14ac:dyDescent="0.3">
      <c r="A44" s="133">
        <v>37</v>
      </c>
      <c r="B44" s="290"/>
      <c r="C44" s="343"/>
      <c r="D44" s="290"/>
      <c r="E44" s="291"/>
      <c r="F44" s="292"/>
      <c r="G44" s="290"/>
      <c r="H44" s="290"/>
      <c r="I44" s="290"/>
      <c r="J44" s="290"/>
      <c r="K44" s="290"/>
      <c r="L44" s="291"/>
      <c r="M44" s="292"/>
      <c r="N44" s="135" t="str">
        <f>IF(ISBLANK(SpaceTable[[#This Row],[Space Type]]),"",SUM(F44:L44))</f>
        <v/>
      </c>
      <c r="O44" s="278" t="str">
        <f>IF(ISBLANK(SpaceTable[[#This Row],[Space Type]]),"",ROUND(SpaceTable[[#This Row],[Weekly Hours]]*SpaceTable[[#This Row],[Weeks per Year]]*(DaysInYear/(DaysInWeek*WeeksInYear)),0))</f>
        <v/>
      </c>
      <c r="P44" s="293"/>
      <c r="Q44" s="142" t="str">
        <f>IF(ISBLANK(SpaceTable[[#This Row],[Space Type]]),"",IF(ISERROR(SpaceTable[[#This Row],[HVAC Factor Lookup Helper]]),0,SpaceTable[[#This Row],[HVAC Factor Lookup Helper]]))</f>
        <v/>
      </c>
      <c r="R44" s="279" t="e" cm="1">
        <f t="array" ref="R44">INDEX(SpaceConditionTable[Space Conditioning Type],MATCH(1,(SpaceConditionTable[Heating Type]=D44)*(SpaceConditionTable[Cooling Type]=E44),0))</f>
        <v>#N/A</v>
      </c>
      <c r="S44" s="134" t="e">
        <f>INDEX(HVACFactorTable[#Data],MATCH(BuildingTypeField,HVACFactorTable[Building Type],0),MATCH(R44,HVACFactorTable[#Headers],0))</f>
        <v>#N/A</v>
      </c>
      <c r="T44" s="134" t="str">
        <f>IF(AND(ISBLANK(SpaceTable[[#This Row],[Space Type]]),ISBLANK(SpaceTable[[#This Row],[Space Description]])),"",IF(ISBLANK(SpaceTable[[#This Row],[Space Description]]),SpaceTable[[#This Row],[Space Type]],_xlfn.CONCAT(SpaceTable[[#This Row],[Space Type]]," - ",SpaceTable[[#This Row],[Space Description]])))</f>
        <v/>
      </c>
      <c r="U44" s="134" t="str">
        <f>IF(ISBLANK(SpaceTable[[#This Row],[Space Type]]),"",COUNTIF($T$8:$T$57,SpaceTable[[#This Row],[Space Name Concatenated Helper]])=1)</f>
        <v/>
      </c>
    </row>
    <row r="45" spans="1:21" x14ac:dyDescent="0.3">
      <c r="A45" s="133">
        <v>38</v>
      </c>
      <c r="B45" s="290"/>
      <c r="C45" s="343"/>
      <c r="D45" s="290"/>
      <c r="E45" s="291"/>
      <c r="F45" s="292"/>
      <c r="G45" s="290"/>
      <c r="H45" s="290"/>
      <c r="I45" s="290"/>
      <c r="J45" s="290"/>
      <c r="K45" s="290"/>
      <c r="L45" s="291"/>
      <c r="M45" s="292"/>
      <c r="N45" s="135" t="str">
        <f>IF(ISBLANK(SpaceTable[[#This Row],[Space Type]]),"",SUM(F45:L45))</f>
        <v/>
      </c>
      <c r="O45" s="278" t="str">
        <f>IF(ISBLANK(SpaceTable[[#This Row],[Space Type]]),"",ROUND(SpaceTable[[#This Row],[Weekly Hours]]*SpaceTable[[#This Row],[Weeks per Year]]*(DaysInYear/(DaysInWeek*WeeksInYear)),0))</f>
        <v/>
      </c>
      <c r="P45" s="293"/>
      <c r="Q45" s="142" t="str">
        <f>IF(ISBLANK(SpaceTable[[#This Row],[Space Type]]),"",IF(ISERROR(SpaceTable[[#This Row],[HVAC Factor Lookup Helper]]),0,SpaceTable[[#This Row],[HVAC Factor Lookup Helper]]))</f>
        <v/>
      </c>
      <c r="R45" s="279" t="e" cm="1">
        <f t="array" ref="R45">INDEX(SpaceConditionTable[Space Conditioning Type],MATCH(1,(SpaceConditionTable[Heating Type]=D45)*(SpaceConditionTable[Cooling Type]=E45),0))</f>
        <v>#N/A</v>
      </c>
      <c r="S45" s="134" t="e">
        <f>INDEX(HVACFactorTable[#Data],MATCH(BuildingTypeField,HVACFactorTable[Building Type],0),MATCH(R45,HVACFactorTable[#Headers],0))</f>
        <v>#N/A</v>
      </c>
      <c r="T45" s="134" t="str">
        <f>IF(AND(ISBLANK(SpaceTable[[#This Row],[Space Type]]),ISBLANK(SpaceTable[[#This Row],[Space Description]])),"",IF(ISBLANK(SpaceTable[[#This Row],[Space Description]]),SpaceTable[[#This Row],[Space Type]],_xlfn.CONCAT(SpaceTable[[#This Row],[Space Type]]," - ",SpaceTable[[#This Row],[Space Description]])))</f>
        <v/>
      </c>
      <c r="U45" s="134" t="str">
        <f>IF(ISBLANK(SpaceTable[[#This Row],[Space Type]]),"",COUNTIF($T$8:$T$57,SpaceTable[[#This Row],[Space Name Concatenated Helper]])=1)</f>
        <v/>
      </c>
    </row>
    <row r="46" spans="1:21" x14ac:dyDescent="0.3">
      <c r="A46" s="133">
        <v>39</v>
      </c>
      <c r="B46" s="290"/>
      <c r="C46" s="343"/>
      <c r="D46" s="290"/>
      <c r="E46" s="291"/>
      <c r="F46" s="292"/>
      <c r="G46" s="290"/>
      <c r="H46" s="290"/>
      <c r="I46" s="290"/>
      <c r="J46" s="290"/>
      <c r="K46" s="290"/>
      <c r="L46" s="291"/>
      <c r="M46" s="292"/>
      <c r="N46" s="135" t="str">
        <f>IF(ISBLANK(SpaceTable[[#This Row],[Space Type]]),"",SUM(F46:L46))</f>
        <v/>
      </c>
      <c r="O46" s="278" t="str">
        <f>IF(ISBLANK(SpaceTable[[#This Row],[Space Type]]),"",ROUND(SpaceTable[[#This Row],[Weekly Hours]]*SpaceTable[[#This Row],[Weeks per Year]]*(DaysInYear/(DaysInWeek*WeeksInYear)),0))</f>
        <v/>
      </c>
      <c r="P46" s="293"/>
      <c r="Q46" s="142" t="str">
        <f>IF(ISBLANK(SpaceTable[[#This Row],[Space Type]]),"",IF(ISERROR(SpaceTable[[#This Row],[HVAC Factor Lookup Helper]]),0,SpaceTable[[#This Row],[HVAC Factor Lookup Helper]]))</f>
        <v/>
      </c>
      <c r="R46" s="279" t="e" cm="1">
        <f t="array" ref="R46">INDEX(SpaceConditionTable[Space Conditioning Type],MATCH(1,(SpaceConditionTable[Heating Type]=D46)*(SpaceConditionTable[Cooling Type]=E46),0))</f>
        <v>#N/A</v>
      </c>
      <c r="S46" s="134" t="e">
        <f>INDEX(HVACFactorTable[#Data],MATCH(BuildingTypeField,HVACFactorTable[Building Type],0),MATCH(R46,HVACFactorTable[#Headers],0))</f>
        <v>#N/A</v>
      </c>
      <c r="T46" s="134" t="str">
        <f>IF(AND(ISBLANK(SpaceTable[[#This Row],[Space Type]]),ISBLANK(SpaceTable[[#This Row],[Space Description]])),"",IF(ISBLANK(SpaceTable[[#This Row],[Space Description]]),SpaceTable[[#This Row],[Space Type]],_xlfn.CONCAT(SpaceTable[[#This Row],[Space Type]]," - ",SpaceTable[[#This Row],[Space Description]])))</f>
        <v/>
      </c>
      <c r="U46" s="134" t="str">
        <f>IF(ISBLANK(SpaceTable[[#This Row],[Space Type]]),"",COUNTIF($T$8:$T$57,SpaceTable[[#This Row],[Space Name Concatenated Helper]])=1)</f>
        <v/>
      </c>
    </row>
    <row r="47" spans="1:21" x14ac:dyDescent="0.3">
      <c r="A47" s="133">
        <v>40</v>
      </c>
      <c r="B47" s="290"/>
      <c r="C47" s="343"/>
      <c r="D47" s="290"/>
      <c r="E47" s="291"/>
      <c r="F47" s="292"/>
      <c r="G47" s="290"/>
      <c r="H47" s="290"/>
      <c r="I47" s="290"/>
      <c r="J47" s="290"/>
      <c r="K47" s="290"/>
      <c r="L47" s="291"/>
      <c r="M47" s="292"/>
      <c r="N47" s="135" t="str">
        <f>IF(ISBLANK(SpaceTable[[#This Row],[Space Type]]),"",SUM(F47:L47))</f>
        <v/>
      </c>
      <c r="O47" s="278" t="str">
        <f>IF(ISBLANK(SpaceTable[[#This Row],[Space Type]]),"",ROUND(SpaceTable[[#This Row],[Weekly Hours]]*SpaceTable[[#This Row],[Weeks per Year]]*(DaysInYear/(DaysInWeek*WeeksInYear)),0))</f>
        <v/>
      </c>
      <c r="P47" s="293"/>
      <c r="Q47" s="142" t="str">
        <f>IF(ISBLANK(SpaceTable[[#This Row],[Space Type]]),"",IF(ISERROR(SpaceTable[[#This Row],[HVAC Factor Lookup Helper]]),0,SpaceTable[[#This Row],[HVAC Factor Lookup Helper]]))</f>
        <v/>
      </c>
      <c r="R47" s="279" t="e" cm="1">
        <f t="array" ref="R47">INDEX(SpaceConditionTable[Space Conditioning Type],MATCH(1,(SpaceConditionTable[Heating Type]=D47)*(SpaceConditionTable[Cooling Type]=E47),0))</f>
        <v>#N/A</v>
      </c>
      <c r="S47" s="134" t="e">
        <f>INDEX(HVACFactorTable[#Data],MATCH(BuildingTypeField,HVACFactorTable[Building Type],0),MATCH(R47,HVACFactorTable[#Headers],0))</f>
        <v>#N/A</v>
      </c>
      <c r="T47" s="134" t="str">
        <f>IF(AND(ISBLANK(SpaceTable[[#This Row],[Space Type]]),ISBLANK(SpaceTable[[#This Row],[Space Description]])),"",IF(ISBLANK(SpaceTable[[#This Row],[Space Description]]),SpaceTable[[#This Row],[Space Type]],_xlfn.CONCAT(SpaceTable[[#This Row],[Space Type]]," - ",SpaceTable[[#This Row],[Space Description]])))</f>
        <v/>
      </c>
      <c r="U47" s="134" t="str">
        <f>IF(ISBLANK(SpaceTable[[#This Row],[Space Type]]),"",COUNTIF($T$8:$T$57,SpaceTable[[#This Row],[Space Name Concatenated Helper]])=1)</f>
        <v/>
      </c>
    </row>
    <row r="48" spans="1:21" x14ac:dyDescent="0.3">
      <c r="A48" s="133">
        <v>41</v>
      </c>
      <c r="B48" s="290"/>
      <c r="C48" s="343"/>
      <c r="D48" s="290"/>
      <c r="E48" s="291"/>
      <c r="F48" s="292"/>
      <c r="G48" s="290"/>
      <c r="H48" s="290"/>
      <c r="I48" s="290"/>
      <c r="J48" s="290"/>
      <c r="K48" s="290"/>
      <c r="L48" s="291"/>
      <c r="M48" s="292"/>
      <c r="N48" s="135" t="str">
        <f>IF(ISBLANK(SpaceTable[[#This Row],[Space Type]]),"",SUM(F48:L48))</f>
        <v/>
      </c>
      <c r="O48" s="278" t="str">
        <f>IF(ISBLANK(SpaceTable[[#This Row],[Space Type]]),"",ROUND(SpaceTable[[#This Row],[Weekly Hours]]*SpaceTable[[#This Row],[Weeks per Year]]*(DaysInYear/(DaysInWeek*WeeksInYear)),0))</f>
        <v/>
      </c>
      <c r="P48" s="293"/>
      <c r="Q48" s="142" t="str">
        <f>IF(ISBLANK(SpaceTable[[#This Row],[Space Type]]),"",IF(ISERROR(SpaceTable[[#This Row],[HVAC Factor Lookup Helper]]),0,SpaceTable[[#This Row],[HVAC Factor Lookup Helper]]))</f>
        <v/>
      </c>
      <c r="R48" s="279" t="e" cm="1">
        <f t="array" ref="R48">INDEX(SpaceConditionTable[Space Conditioning Type],MATCH(1,(SpaceConditionTable[Heating Type]=D48)*(SpaceConditionTable[Cooling Type]=E48),0))</f>
        <v>#N/A</v>
      </c>
      <c r="S48" s="134" t="e">
        <f>INDEX(HVACFactorTable[#Data],MATCH(BuildingTypeField,HVACFactorTable[Building Type],0),MATCH(R48,HVACFactorTable[#Headers],0))</f>
        <v>#N/A</v>
      </c>
      <c r="T48" s="134" t="str">
        <f>IF(AND(ISBLANK(SpaceTable[[#This Row],[Space Type]]),ISBLANK(SpaceTable[[#This Row],[Space Description]])),"",IF(ISBLANK(SpaceTable[[#This Row],[Space Description]]),SpaceTable[[#This Row],[Space Type]],_xlfn.CONCAT(SpaceTable[[#This Row],[Space Type]]," - ",SpaceTable[[#This Row],[Space Description]])))</f>
        <v/>
      </c>
      <c r="U48" s="134" t="str">
        <f>IF(ISBLANK(SpaceTable[[#This Row],[Space Type]]),"",COUNTIF($T$8:$T$57,SpaceTable[[#This Row],[Space Name Concatenated Helper]])=1)</f>
        <v/>
      </c>
    </row>
    <row r="49" spans="1:21" x14ac:dyDescent="0.3">
      <c r="A49" s="133">
        <v>42</v>
      </c>
      <c r="B49" s="290"/>
      <c r="C49" s="343"/>
      <c r="D49" s="290"/>
      <c r="E49" s="291"/>
      <c r="F49" s="292"/>
      <c r="G49" s="290"/>
      <c r="H49" s="290"/>
      <c r="I49" s="290"/>
      <c r="J49" s="290"/>
      <c r="K49" s="290"/>
      <c r="L49" s="291"/>
      <c r="M49" s="292"/>
      <c r="N49" s="135" t="str">
        <f>IF(ISBLANK(SpaceTable[[#This Row],[Space Type]]),"",SUM(F49:L49))</f>
        <v/>
      </c>
      <c r="O49" s="278" t="str">
        <f>IF(ISBLANK(SpaceTable[[#This Row],[Space Type]]),"",ROUND(SpaceTable[[#This Row],[Weekly Hours]]*SpaceTable[[#This Row],[Weeks per Year]]*(DaysInYear/(DaysInWeek*WeeksInYear)),0))</f>
        <v/>
      </c>
      <c r="P49" s="293"/>
      <c r="Q49" s="142" t="str">
        <f>IF(ISBLANK(SpaceTable[[#This Row],[Space Type]]),"",IF(ISERROR(SpaceTable[[#This Row],[HVAC Factor Lookup Helper]]),0,SpaceTable[[#This Row],[HVAC Factor Lookup Helper]]))</f>
        <v/>
      </c>
      <c r="R49" s="279" t="e" cm="1">
        <f t="array" ref="R49">INDEX(SpaceConditionTable[Space Conditioning Type],MATCH(1,(SpaceConditionTable[Heating Type]=D49)*(SpaceConditionTable[Cooling Type]=E49),0))</f>
        <v>#N/A</v>
      </c>
      <c r="S49" s="134" t="e">
        <f>INDEX(HVACFactorTable[#Data],MATCH(BuildingTypeField,HVACFactorTable[Building Type],0),MATCH(R49,HVACFactorTable[#Headers],0))</f>
        <v>#N/A</v>
      </c>
      <c r="T49" s="134" t="str">
        <f>IF(AND(ISBLANK(SpaceTable[[#This Row],[Space Type]]),ISBLANK(SpaceTable[[#This Row],[Space Description]])),"",IF(ISBLANK(SpaceTable[[#This Row],[Space Description]]),SpaceTable[[#This Row],[Space Type]],_xlfn.CONCAT(SpaceTable[[#This Row],[Space Type]]," - ",SpaceTable[[#This Row],[Space Description]])))</f>
        <v/>
      </c>
      <c r="U49" s="134" t="str">
        <f>IF(ISBLANK(SpaceTable[[#This Row],[Space Type]]),"",COUNTIF($T$8:$T$57,SpaceTable[[#This Row],[Space Name Concatenated Helper]])=1)</f>
        <v/>
      </c>
    </row>
    <row r="50" spans="1:21" x14ac:dyDescent="0.3">
      <c r="A50" s="133">
        <v>43</v>
      </c>
      <c r="B50" s="290"/>
      <c r="C50" s="343"/>
      <c r="D50" s="290"/>
      <c r="E50" s="291"/>
      <c r="F50" s="292"/>
      <c r="G50" s="290"/>
      <c r="H50" s="290"/>
      <c r="I50" s="290"/>
      <c r="J50" s="290"/>
      <c r="K50" s="290"/>
      <c r="L50" s="291"/>
      <c r="M50" s="292"/>
      <c r="N50" s="135" t="str">
        <f>IF(ISBLANK(SpaceTable[[#This Row],[Space Type]]),"",SUM(F50:L50))</f>
        <v/>
      </c>
      <c r="O50" s="278" t="str">
        <f>IF(ISBLANK(SpaceTable[[#This Row],[Space Type]]),"",ROUND(SpaceTable[[#This Row],[Weekly Hours]]*SpaceTable[[#This Row],[Weeks per Year]]*(DaysInYear/(DaysInWeek*WeeksInYear)),0))</f>
        <v/>
      </c>
      <c r="P50" s="293"/>
      <c r="Q50" s="142" t="str">
        <f>IF(ISBLANK(SpaceTable[[#This Row],[Space Type]]),"",IF(ISERROR(SpaceTable[[#This Row],[HVAC Factor Lookup Helper]]),0,SpaceTable[[#This Row],[HVAC Factor Lookup Helper]]))</f>
        <v/>
      </c>
      <c r="R50" s="279" t="e" cm="1">
        <f t="array" ref="R50">INDEX(SpaceConditionTable[Space Conditioning Type],MATCH(1,(SpaceConditionTable[Heating Type]=D50)*(SpaceConditionTable[Cooling Type]=E50),0))</f>
        <v>#N/A</v>
      </c>
      <c r="S50" s="134" t="e">
        <f>INDEX(HVACFactorTable[#Data],MATCH(BuildingTypeField,HVACFactorTable[Building Type],0),MATCH(R50,HVACFactorTable[#Headers],0))</f>
        <v>#N/A</v>
      </c>
      <c r="T50" s="134" t="str">
        <f>IF(AND(ISBLANK(SpaceTable[[#This Row],[Space Type]]),ISBLANK(SpaceTable[[#This Row],[Space Description]])),"",IF(ISBLANK(SpaceTable[[#This Row],[Space Description]]),SpaceTable[[#This Row],[Space Type]],_xlfn.CONCAT(SpaceTable[[#This Row],[Space Type]]," - ",SpaceTable[[#This Row],[Space Description]])))</f>
        <v/>
      </c>
      <c r="U50" s="134" t="str">
        <f>IF(ISBLANK(SpaceTable[[#This Row],[Space Type]]),"",COUNTIF($T$8:$T$57,SpaceTable[[#This Row],[Space Name Concatenated Helper]])=1)</f>
        <v/>
      </c>
    </row>
    <row r="51" spans="1:21" x14ac:dyDescent="0.3">
      <c r="A51" s="133">
        <v>44</v>
      </c>
      <c r="B51" s="290"/>
      <c r="C51" s="343"/>
      <c r="D51" s="290"/>
      <c r="E51" s="291"/>
      <c r="F51" s="292"/>
      <c r="G51" s="290"/>
      <c r="H51" s="290"/>
      <c r="I51" s="290"/>
      <c r="J51" s="290"/>
      <c r="K51" s="290"/>
      <c r="L51" s="291"/>
      <c r="M51" s="292"/>
      <c r="N51" s="135" t="str">
        <f>IF(ISBLANK(SpaceTable[[#This Row],[Space Type]]),"",SUM(F51:L51))</f>
        <v/>
      </c>
      <c r="O51" s="278" t="str">
        <f>IF(ISBLANK(SpaceTable[[#This Row],[Space Type]]),"",ROUND(SpaceTable[[#This Row],[Weekly Hours]]*SpaceTable[[#This Row],[Weeks per Year]]*(DaysInYear/(DaysInWeek*WeeksInYear)),0))</f>
        <v/>
      </c>
      <c r="P51" s="293"/>
      <c r="Q51" s="142" t="str">
        <f>IF(ISBLANK(SpaceTable[[#This Row],[Space Type]]),"",IF(ISERROR(SpaceTable[[#This Row],[HVAC Factor Lookup Helper]]),0,SpaceTable[[#This Row],[HVAC Factor Lookup Helper]]))</f>
        <v/>
      </c>
      <c r="R51" s="279" t="e" cm="1">
        <f t="array" ref="R51">INDEX(SpaceConditionTable[Space Conditioning Type],MATCH(1,(SpaceConditionTable[Heating Type]=D51)*(SpaceConditionTable[Cooling Type]=E51),0))</f>
        <v>#N/A</v>
      </c>
      <c r="S51" s="134" t="e">
        <f>INDEX(HVACFactorTable[#Data],MATCH(BuildingTypeField,HVACFactorTable[Building Type],0),MATCH(R51,HVACFactorTable[#Headers],0))</f>
        <v>#N/A</v>
      </c>
      <c r="T51" s="134" t="str">
        <f>IF(AND(ISBLANK(SpaceTable[[#This Row],[Space Type]]),ISBLANK(SpaceTable[[#This Row],[Space Description]])),"",IF(ISBLANK(SpaceTable[[#This Row],[Space Description]]),SpaceTable[[#This Row],[Space Type]],_xlfn.CONCAT(SpaceTable[[#This Row],[Space Type]]," - ",SpaceTable[[#This Row],[Space Description]])))</f>
        <v/>
      </c>
      <c r="U51" s="134" t="str">
        <f>IF(ISBLANK(SpaceTable[[#This Row],[Space Type]]),"",COUNTIF($T$8:$T$57,SpaceTable[[#This Row],[Space Name Concatenated Helper]])=1)</f>
        <v/>
      </c>
    </row>
    <row r="52" spans="1:21" x14ac:dyDescent="0.3">
      <c r="A52" s="133">
        <v>45</v>
      </c>
      <c r="B52" s="290"/>
      <c r="C52" s="343"/>
      <c r="D52" s="290"/>
      <c r="E52" s="291"/>
      <c r="F52" s="292"/>
      <c r="G52" s="290"/>
      <c r="H52" s="290"/>
      <c r="I52" s="290"/>
      <c r="J52" s="290"/>
      <c r="K52" s="290"/>
      <c r="L52" s="291"/>
      <c r="M52" s="292"/>
      <c r="N52" s="135" t="str">
        <f>IF(ISBLANK(SpaceTable[[#This Row],[Space Type]]),"",SUM(F52:L52))</f>
        <v/>
      </c>
      <c r="O52" s="278" t="str">
        <f>IF(ISBLANK(SpaceTable[[#This Row],[Space Type]]),"",ROUND(SpaceTable[[#This Row],[Weekly Hours]]*SpaceTable[[#This Row],[Weeks per Year]]*(DaysInYear/(DaysInWeek*WeeksInYear)),0))</f>
        <v/>
      </c>
      <c r="P52" s="293"/>
      <c r="Q52" s="142" t="str">
        <f>IF(ISBLANK(SpaceTable[[#This Row],[Space Type]]),"",IF(ISERROR(SpaceTable[[#This Row],[HVAC Factor Lookup Helper]]),0,SpaceTable[[#This Row],[HVAC Factor Lookup Helper]]))</f>
        <v/>
      </c>
      <c r="R52" s="279" t="e" cm="1">
        <f t="array" ref="R52">INDEX(SpaceConditionTable[Space Conditioning Type],MATCH(1,(SpaceConditionTable[Heating Type]=D52)*(SpaceConditionTable[Cooling Type]=E52),0))</f>
        <v>#N/A</v>
      </c>
      <c r="S52" s="134" t="e">
        <f>INDEX(HVACFactorTable[#Data],MATCH(BuildingTypeField,HVACFactorTable[Building Type],0),MATCH(R52,HVACFactorTable[#Headers],0))</f>
        <v>#N/A</v>
      </c>
      <c r="T52" s="134" t="str">
        <f>IF(AND(ISBLANK(SpaceTable[[#This Row],[Space Type]]),ISBLANK(SpaceTable[[#This Row],[Space Description]])),"",IF(ISBLANK(SpaceTable[[#This Row],[Space Description]]),SpaceTable[[#This Row],[Space Type]],_xlfn.CONCAT(SpaceTable[[#This Row],[Space Type]]," - ",SpaceTable[[#This Row],[Space Description]])))</f>
        <v/>
      </c>
      <c r="U52" s="134" t="str">
        <f>IF(ISBLANK(SpaceTable[[#This Row],[Space Type]]),"",COUNTIF($T$8:$T$57,SpaceTable[[#This Row],[Space Name Concatenated Helper]])=1)</f>
        <v/>
      </c>
    </row>
    <row r="53" spans="1:21" x14ac:dyDescent="0.3">
      <c r="A53" s="133">
        <v>46</v>
      </c>
      <c r="B53" s="290"/>
      <c r="C53" s="343"/>
      <c r="D53" s="290"/>
      <c r="E53" s="291"/>
      <c r="F53" s="292"/>
      <c r="G53" s="290"/>
      <c r="H53" s="290"/>
      <c r="I53" s="290"/>
      <c r="J53" s="290"/>
      <c r="K53" s="290"/>
      <c r="L53" s="291"/>
      <c r="M53" s="292"/>
      <c r="N53" s="135" t="str">
        <f>IF(ISBLANK(SpaceTable[[#This Row],[Space Type]]),"",SUM(F53:L53))</f>
        <v/>
      </c>
      <c r="O53" s="278" t="str">
        <f>IF(ISBLANK(SpaceTable[[#This Row],[Space Type]]),"",ROUND(SpaceTable[[#This Row],[Weekly Hours]]*SpaceTable[[#This Row],[Weeks per Year]]*(DaysInYear/(DaysInWeek*WeeksInYear)),0))</f>
        <v/>
      </c>
      <c r="P53" s="293"/>
      <c r="Q53" s="142" t="str">
        <f>IF(ISBLANK(SpaceTable[[#This Row],[Space Type]]),"",IF(ISERROR(SpaceTable[[#This Row],[HVAC Factor Lookup Helper]]),0,SpaceTable[[#This Row],[HVAC Factor Lookup Helper]]))</f>
        <v/>
      </c>
      <c r="R53" s="279" t="e" cm="1">
        <f t="array" ref="R53">INDEX(SpaceConditionTable[Space Conditioning Type],MATCH(1,(SpaceConditionTable[Heating Type]=D53)*(SpaceConditionTable[Cooling Type]=E53),0))</f>
        <v>#N/A</v>
      </c>
      <c r="S53" s="134" t="e">
        <f>INDEX(HVACFactorTable[#Data],MATCH(BuildingTypeField,HVACFactorTable[Building Type],0),MATCH(R53,HVACFactorTable[#Headers],0))</f>
        <v>#N/A</v>
      </c>
      <c r="T53" s="134" t="str">
        <f>IF(AND(ISBLANK(SpaceTable[[#This Row],[Space Type]]),ISBLANK(SpaceTable[[#This Row],[Space Description]])),"",IF(ISBLANK(SpaceTable[[#This Row],[Space Description]]),SpaceTable[[#This Row],[Space Type]],_xlfn.CONCAT(SpaceTable[[#This Row],[Space Type]]," - ",SpaceTable[[#This Row],[Space Description]])))</f>
        <v/>
      </c>
      <c r="U53" s="134" t="str">
        <f>IF(ISBLANK(SpaceTable[[#This Row],[Space Type]]),"",COUNTIF($T$8:$T$57,SpaceTable[[#This Row],[Space Name Concatenated Helper]])=1)</f>
        <v/>
      </c>
    </row>
    <row r="54" spans="1:21" x14ac:dyDescent="0.3">
      <c r="A54" s="133">
        <v>47</v>
      </c>
      <c r="B54" s="290"/>
      <c r="C54" s="343"/>
      <c r="D54" s="290"/>
      <c r="E54" s="291"/>
      <c r="F54" s="292"/>
      <c r="G54" s="290"/>
      <c r="H54" s="290"/>
      <c r="I54" s="290"/>
      <c r="J54" s="290"/>
      <c r="K54" s="290"/>
      <c r="L54" s="291"/>
      <c r="M54" s="292"/>
      <c r="N54" s="135" t="str">
        <f>IF(ISBLANK(SpaceTable[[#This Row],[Space Type]]),"",SUM(F54:L54))</f>
        <v/>
      </c>
      <c r="O54" s="278" t="str">
        <f>IF(ISBLANK(SpaceTable[[#This Row],[Space Type]]),"",ROUND(SpaceTable[[#This Row],[Weekly Hours]]*SpaceTable[[#This Row],[Weeks per Year]]*(DaysInYear/(DaysInWeek*WeeksInYear)),0))</f>
        <v/>
      </c>
      <c r="P54" s="293"/>
      <c r="Q54" s="142" t="str">
        <f>IF(ISBLANK(SpaceTable[[#This Row],[Space Type]]),"",IF(ISERROR(SpaceTable[[#This Row],[HVAC Factor Lookup Helper]]),0,SpaceTable[[#This Row],[HVAC Factor Lookup Helper]]))</f>
        <v/>
      </c>
      <c r="R54" s="279" t="e" cm="1">
        <f t="array" ref="R54">INDEX(SpaceConditionTable[Space Conditioning Type],MATCH(1,(SpaceConditionTable[Heating Type]=D54)*(SpaceConditionTable[Cooling Type]=E54),0))</f>
        <v>#N/A</v>
      </c>
      <c r="S54" s="134" t="e">
        <f>INDEX(HVACFactorTable[#Data],MATCH(BuildingTypeField,HVACFactorTable[Building Type],0),MATCH(R54,HVACFactorTable[#Headers],0))</f>
        <v>#N/A</v>
      </c>
      <c r="T54" s="134" t="str">
        <f>IF(AND(ISBLANK(SpaceTable[[#This Row],[Space Type]]),ISBLANK(SpaceTable[[#This Row],[Space Description]])),"",IF(ISBLANK(SpaceTable[[#This Row],[Space Description]]),SpaceTable[[#This Row],[Space Type]],_xlfn.CONCAT(SpaceTable[[#This Row],[Space Type]]," - ",SpaceTable[[#This Row],[Space Description]])))</f>
        <v/>
      </c>
      <c r="U54" s="134" t="str">
        <f>IF(ISBLANK(SpaceTable[[#This Row],[Space Type]]),"",COUNTIF($T$8:$T$57,SpaceTable[[#This Row],[Space Name Concatenated Helper]])=1)</f>
        <v/>
      </c>
    </row>
    <row r="55" spans="1:21" x14ac:dyDescent="0.3">
      <c r="A55" s="133">
        <v>48</v>
      </c>
      <c r="B55" s="290"/>
      <c r="C55" s="343"/>
      <c r="D55" s="290"/>
      <c r="E55" s="291"/>
      <c r="F55" s="292"/>
      <c r="G55" s="290"/>
      <c r="H55" s="290"/>
      <c r="I55" s="290"/>
      <c r="J55" s="290"/>
      <c r="K55" s="290"/>
      <c r="L55" s="291"/>
      <c r="M55" s="292"/>
      <c r="N55" s="135" t="str">
        <f>IF(ISBLANK(SpaceTable[[#This Row],[Space Type]]),"",SUM(F55:L55))</f>
        <v/>
      </c>
      <c r="O55" s="278" t="str">
        <f>IF(ISBLANK(SpaceTable[[#This Row],[Space Type]]),"",ROUND(SpaceTable[[#This Row],[Weekly Hours]]*SpaceTable[[#This Row],[Weeks per Year]]*(DaysInYear/(DaysInWeek*WeeksInYear)),0))</f>
        <v/>
      </c>
      <c r="P55" s="293"/>
      <c r="Q55" s="142" t="str">
        <f>IF(ISBLANK(SpaceTable[[#This Row],[Space Type]]),"",IF(ISERROR(SpaceTable[[#This Row],[HVAC Factor Lookup Helper]]),0,SpaceTable[[#This Row],[HVAC Factor Lookup Helper]]))</f>
        <v/>
      </c>
      <c r="R55" s="279" t="e" cm="1">
        <f t="array" ref="R55">INDEX(SpaceConditionTable[Space Conditioning Type],MATCH(1,(SpaceConditionTable[Heating Type]=D55)*(SpaceConditionTable[Cooling Type]=E55),0))</f>
        <v>#N/A</v>
      </c>
      <c r="S55" s="134" t="e">
        <f>INDEX(HVACFactorTable[#Data],MATCH(BuildingTypeField,HVACFactorTable[Building Type],0),MATCH(R55,HVACFactorTable[#Headers],0))</f>
        <v>#N/A</v>
      </c>
      <c r="T55" s="134" t="str">
        <f>IF(AND(ISBLANK(SpaceTable[[#This Row],[Space Type]]),ISBLANK(SpaceTable[[#This Row],[Space Description]])),"",IF(ISBLANK(SpaceTable[[#This Row],[Space Description]]),SpaceTable[[#This Row],[Space Type]],_xlfn.CONCAT(SpaceTable[[#This Row],[Space Type]]," - ",SpaceTable[[#This Row],[Space Description]])))</f>
        <v/>
      </c>
      <c r="U55" s="134" t="str">
        <f>IF(ISBLANK(SpaceTable[[#This Row],[Space Type]]),"",COUNTIF($T$8:$T$57,SpaceTable[[#This Row],[Space Name Concatenated Helper]])=1)</f>
        <v/>
      </c>
    </row>
    <row r="56" spans="1:21" x14ac:dyDescent="0.3">
      <c r="A56" s="133">
        <v>49</v>
      </c>
      <c r="B56" s="290"/>
      <c r="C56" s="343"/>
      <c r="D56" s="290"/>
      <c r="E56" s="291"/>
      <c r="F56" s="292"/>
      <c r="G56" s="290"/>
      <c r="H56" s="290"/>
      <c r="I56" s="290"/>
      <c r="J56" s="290"/>
      <c r="K56" s="290"/>
      <c r="L56" s="291"/>
      <c r="M56" s="292"/>
      <c r="N56" s="135" t="str">
        <f>IF(ISBLANK(SpaceTable[[#This Row],[Space Type]]),"",SUM(F56:L56))</f>
        <v/>
      </c>
      <c r="O56" s="278" t="str">
        <f>IF(ISBLANK(SpaceTable[[#This Row],[Space Type]]),"",ROUND(SpaceTable[[#This Row],[Weekly Hours]]*SpaceTable[[#This Row],[Weeks per Year]]*(DaysInYear/(DaysInWeek*WeeksInYear)),0))</f>
        <v/>
      </c>
      <c r="P56" s="293"/>
      <c r="Q56" s="142" t="str">
        <f>IF(ISBLANK(SpaceTable[[#This Row],[Space Type]]),"",IF(ISERROR(SpaceTable[[#This Row],[HVAC Factor Lookup Helper]]),0,SpaceTable[[#This Row],[HVAC Factor Lookup Helper]]))</f>
        <v/>
      </c>
      <c r="R56" s="279" t="e" cm="1">
        <f t="array" ref="R56">INDEX(SpaceConditionTable[Space Conditioning Type],MATCH(1,(SpaceConditionTable[Heating Type]=D56)*(SpaceConditionTable[Cooling Type]=E56),0))</f>
        <v>#N/A</v>
      </c>
      <c r="S56" s="134" t="e">
        <f>INDEX(HVACFactorTable[#Data],MATCH(BuildingTypeField,HVACFactorTable[Building Type],0),MATCH(R56,HVACFactorTable[#Headers],0))</f>
        <v>#N/A</v>
      </c>
      <c r="T56" s="134" t="str">
        <f>IF(AND(ISBLANK(SpaceTable[[#This Row],[Space Type]]),ISBLANK(SpaceTable[[#This Row],[Space Description]])),"",IF(ISBLANK(SpaceTable[[#This Row],[Space Description]]),SpaceTable[[#This Row],[Space Type]],_xlfn.CONCAT(SpaceTable[[#This Row],[Space Type]]," - ",SpaceTable[[#This Row],[Space Description]])))</f>
        <v/>
      </c>
      <c r="U56" s="134" t="str">
        <f>IF(ISBLANK(SpaceTable[[#This Row],[Space Type]]),"",COUNTIF($T$8:$T$57,SpaceTable[[#This Row],[Space Name Concatenated Helper]])=1)</f>
        <v/>
      </c>
    </row>
    <row r="57" spans="1:21" x14ac:dyDescent="0.3">
      <c r="A57" s="133">
        <v>50</v>
      </c>
      <c r="B57" s="290"/>
      <c r="C57" s="343"/>
      <c r="D57" s="290"/>
      <c r="E57" s="291"/>
      <c r="F57" s="292"/>
      <c r="G57" s="290"/>
      <c r="H57" s="290"/>
      <c r="I57" s="290"/>
      <c r="J57" s="290"/>
      <c r="K57" s="290"/>
      <c r="L57" s="291"/>
      <c r="M57" s="292"/>
      <c r="N57" s="135" t="str">
        <f>IF(ISBLANK(SpaceTable[[#This Row],[Space Type]]),"",SUM(F57:L57))</f>
        <v/>
      </c>
      <c r="O57" s="278" t="str">
        <f>IF(ISBLANK(SpaceTable[[#This Row],[Space Type]]),"",ROUND(SpaceTable[[#This Row],[Weekly Hours]]*SpaceTable[[#This Row],[Weeks per Year]]*(DaysInYear/(DaysInWeek*WeeksInYear)),0))</f>
        <v/>
      </c>
      <c r="P57" s="293"/>
      <c r="Q57" s="142" t="str">
        <f>IF(ISBLANK(SpaceTable[[#This Row],[Space Type]]),"",IF(ISERROR(SpaceTable[[#This Row],[HVAC Factor Lookup Helper]]),0,SpaceTable[[#This Row],[HVAC Factor Lookup Helper]]))</f>
        <v/>
      </c>
      <c r="R57" s="279" t="e" cm="1">
        <f t="array" ref="R57">INDEX(SpaceConditionTable[Space Conditioning Type],MATCH(1,(SpaceConditionTable[Heating Type]=D57)*(SpaceConditionTable[Cooling Type]=E57),0))</f>
        <v>#N/A</v>
      </c>
      <c r="S57" s="134" t="e">
        <f>INDEX(HVACFactorTable[#Data],MATCH(BuildingTypeField,HVACFactorTable[Building Type],0),MATCH(R57,HVACFactorTable[#Headers],0))</f>
        <v>#N/A</v>
      </c>
      <c r="T57" s="134" t="str">
        <f>IF(AND(ISBLANK(SpaceTable[[#This Row],[Space Type]]),ISBLANK(SpaceTable[[#This Row],[Space Description]])),"",IF(ISBLANK(SpaceTable[[#This Row],[Space Description]]),SpaceTable[[#This Row],[Space Type]],_xlfn.CONCAT(SpaceTable[[#This Row],[Space Type]]," - ",SpaceTable[[#This Row],[Space Description]])))</f>
        <v/>
      </c>
      <c r="U57" s="134" t="str">
        <f>IF(ISBLANK(SpaceTable[[#This Row],[Space Type]]),"",COUNTIF($T$8:$T$57,SpaceTable[[#This Row],[Space Name Concatenated Helper]])=1)</f>
        <v/>
      </c>
    </row>
  </sheetData>
  <sheetProtection algorithmName="SHA-512" hashValue="uP6TNZ4gznKZcGwb2hfArFDZvBUu79Qq7PZkfJ9egE96I9/0cX6r/gRrV23UfXJ0505KgQWuLY7TZBAU6eWD9A==" saltValue="0GjeCsOYMQRLkOm6ZlNYEA==" spinCount="100000" sheet="1" objects="1" scenarios="1"/>
  <phoneticPr fontId="12" type="noConversion"/>
  <conditionalFormatting sqref="A8:A57">
    <cfRule type="expression" dxfId="10" priority="1">
      <formula>U8=FALSE</formula>
    </cfRule>
  </conditionalFormatting>
  <dataValidations count="8">
    <dataValidation type="list" allowBlank="1" showInputMessage="1" showErrorMessage="1" sqref="C4" xr:uid="{4335594D-59DB-4EDB-81E0-B1C167120421}">
      <formula1>BuildingTypeList</formula1>
    </dataValidation>
    <dataValidation allowBlank="1" showInputMessage="1" showErrorMessage="1" sqref="B1:B2 B4:B6 A4 A2" xr:uid="{7BCE4A59-2A73-41C6-9372-A1E9B8BE261D}"/>
    <dataValidation type="list" allowBlank="1" showInputMessage="1" showErrorMessage="1" sqref="B9:B57" xr:uid="{D8874A78-5551-4F44-8175-5FF2558FC4E0}">
      <formula1>SpaceType</formula1>
    </dataValidation>
    <dataValidation type="list" allowBlank="1" showInputMessage="1" showErrorMessage="1" sqref="D8:D57" xr:uid="{A09F5E26-D1B8-4A01-A478-91F1B35B5CB0}">
      <formula1>HeatType</formula1>
    </dataValidation>
    <dataValidation type="list" allowBlank="1" showInputMessage="1" showErrorMessage="1" sqref="E8:E57" xr:uid="{41C612F6-4B0B-44D4-AB6A-A7914394E80F}">
      <formula1>CoolType</formula1>
    </dataValidation>
    <dataValidation type="decimal" allowBlank="1" showInputMessage="1" showErrorMessage="1" sqref="F8:L57" xr:uid="{9B9D1F40-0424-4EE8-87C6-8A4489F8F2AA}">
      <formula1>MinOperateHours</formula1>
      <formula2>MaxOperateHours</formula2>
    </dataValidation>
    <dataValidation allowBlank="1" showInputMessage="1" showErrorMessage="1" error="Duplicate" sqref="C20:C21" xr:uid="{B0CE9314-8488-4C61-B0D4-2DBD57C9B4A8}"/>
    <dataValidation type="decimal" allowBlank="1" showInputMessage="1" showErrorMessage="1" sqref="M8:M9 M11:M57 M10" xr:uid="{4231A61C-3BCD-40D9-8D16-68B4A7C12B3C}">
      <formula1>MinOperateWeeks</formula1>
      <formula2>WeeksInYear</formula2>
    </dataValidation>
  </dataValidations>
  <hyperlinks>
    <hyperlink ref="N2" location="Instructions!A1" display="Go to instructions." xr:uid="{419C2735-1C53-41CE-9548-BFB62B0D16E7}"/>
  </hyperlinks>
  <pageMargins left="0.45" right="0.45" top="0.75" bottom="0.75" header="0.3" footer="0.3"/>
  <pageSetup pageOrder="overThenDown" orientation="landscape" r:id="rId1"/>
  <headerFooter>
    <oddHeader>&amp;C&amp;14Tacoma Power's Bright Rebates Lighting Application</oddHeader>
    <oddFooter>&amp;L&amp;9&amp;A&amp;C&amp;P of &amp;N&amp;R&amp;9Printed on &amp;D</oddFooter>
  </headerFooter>
  <ignoredErrors>
    <ignoredError sqref="N27:N57 T7:U7 U8:U57 O8:O57" calculatedColumn="1"/>
    <ignoredError sqref="N8:N18 N19:N20 N21 N22:N26" formulaRange="1" calculatedColumn="1"/>
  </ignoredErrors>
  <legacyDrawing r:id="rId2"/>
  <tableParts count="1">
    <tablePart r:id="rId3"/>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F1F81C-61C8-46F6-870D-B1E460018C63}">
  <sheetPr>
    <tabColor theme="7" tint="0.79998168889431442"/>
  </sheetPr>
  <dimension ref="A1:BL515"/>
  <sheetViews>
    <sheetView showGridLines="0" zoomScaleNormal="100" workbookViewId="0">
      <pane xSplit="2" ySplit="5" topLeftCell="C6" activePane="bottomRight" state="frozen"/>
      <selection pane="topRight" activeCell="D1" sqref="D1"/>
      <selection pane="bottomLeft" activeCell="A6" sqref="A6"/>
      <selection pane="bottomRight" activeCell="A5" sqref="A5"/>
    </sheetView>
  </sheetViews>
  <sheetFormatPr defaultRowHeight="14.4" outlineLevelRow="1" outlineLevelCol="1" x14ac:dyDescent="0.3"/>
  <cols>
    <col min="1" max="1" width="6.109375" bestFit="1" customWidth="1"/>
    <col min="2" max="2" width="28" customWidth="1"/>
    <col min="3" max="3" width="15.33203125" bestFit="1" customWidth="1"/>
    <col min="5" max="5" width="23.5546875" style="350" customWidth="1"/>
    <col min="6" max="6" width="25.6640625" style="350" customWidth="1"/>
    <col min="7" max="7" width="8.88671875" style="19"/>
    <col min="8" max="8" width="10.88671875" style="5" customWidth="1"/>
    <col min="9" max="9" width="8.88671875" style="5"/>
    <col min="11" max="11" width="23.5546875" style="350" customWidth="1"/>
    <col min="12" max="12" width="25.6640625" style="350" customWidth="1"/>
    <col min="13" max="13" width="8.88671875" style="19"/>
    <col min="14" max="14" width="10.5546875" style="5" customWidth="1"/>
    <col min="15" max="15" width="8.88671875" style="5"/>
    <col min="16" max="16" width="17.109375" customWidth="1"/>
    <col min="17" max="17" width="30.33203125" style="36" customWidth="1"/>
    <col min="18" max="18" width="18.109375" customWidth="1"/>
    <col min="20" max="21" width="10.33203125" customWidth="1"/>
    <col min="22" max="22" width="31.109375" customWidth="1"/>
    <col min="23" max="23" width="11.44140625" style="54" customWidth="1"/>
    <col min="24" max="24" width="11.44140625" style="4" customWidth="1"/>
    <col min="25" max="25" width="16" style="273" customWidth="1"/>
    <col min="26" max="26" width="11.44140625" style="54" customWidth="1"/>
    <col min="27" max="27" width="11.44140625" style="2" customWidth="1"/>
    <col min="28" max="28" width="10.6640625" style="64" customWidth="1"/>
    <col min="29" max="29" width="11.44140625" style="54" customWidth="1"/>
    <col min="30" max="30" width="11.6640625" style="2" customWidth="1"/>
    <col min="31" max="31" width="11.44140625" style="64" customWidth="1"/>
    <col min="32" max="32" width="12.33203125" customWidth="1"/>
    <col min="34" max="34" width="13.109375" style="54" customWidth="1"/>
    <col min="36" max="36" width="12.6640625" style="54" customWidth="1"/>
    <col min="37" max="37" width="14.5546875" hidden="1" customWidth="1" outlineLevel="1"/>
    <col min="38" max="38" width="7.33203125" style="2" hidden="1" customWidth="1" outlineLevel="1"/>
    <col min="39" max="39" width="19.88671875" hidden="1" customWidth="1" outlineLevel="1"/>
    <col min="40" max="40" width="20.33203125" style="61" hidden="1" customWidth="1" outlineLevel="1"/>
    <col min="41" max="41" width="8.88671875" style="61" hidden="1" customWidth="1" outlineLevel="1"/>
    <col min="42" max="42" width="41.5546875" style="54" hidden="1" customWidth="1" outlineLevel="1"/>
    <col min="43" max="43" width="13.109375" style="54" hidden="1" customWidth="1" outlineLevel="1"/>
    <col min="44" max="44" width="11.6640625" style="61" hidden="1" customWidth="1" outlineLevel="1"/>
    <col min="45" max="45" width="23.6640625" style="61" hidden="1" customWidth="1" outlineLevel="1"/>
    <col min="46" max="46" width="12.5546875" style="14" hidden="1" customWidth="1" outlineLevel="1"/>
    <col min="47" max="47" width="13.109375" style="90" hidden="1" customWidth="1" outlineLevel="1"/>
    <col min="48" max="49" width="14.33203125" style="14" hidden="1" customWidth="1" outlineLevel="1"/>
    <col min="50" max="50" width="12.6640625" style="14" hidden="1" customWidth="1" outlineLevel="1"/>
    <col min="51" max="51" width="13.6640625" style="90" hidden="1" customWidth="1" outlineLevel="1"/>
    <col min="52" max="52" width="14.6640625" style="14" hidden="1" customWidth="1" outlineLevel="1"/>
    <col min="53" max="53" width="14" style="5" hidden="1" customWidth="1" outlineLevel="1"/>
    <col min="54" max="55" width="17.5546875" hidden="1" customWidth="1" outlineLevel="1"/>
    <col min="56" max="57" width="13.6640625" hidden="1" customWidth="1" outlineLevel="1"/>
    <col min="58" max="60" width="14.33203125" hidden="1" customWidth="1" outlineLevel="1"/>
    <col min="61" max="61" width="14.33203125" customWidth="1" collapsed="1"/>
    <col min="62" max="64" width="12.6640625" style="537" customWidth="1"/>
  </cols>
  <sheetData>
    <row r="1" spans="1:64" s="53" customFormat="1" ht="21" x14ac:dyDescent="0.4">
      <c r="A1" s="113" t="s">
        <v>19</v>
      </c>
      <c r="E1" s="206" t="s">
        <v>159</v>
      </c>
      <c r="F1" s="194"/>
      <c r="G1" s="394"/>
      <c r="H1" s="395"/>
      <c r="I1" s="395"/>
      <c r="K1" s="350"/>
      <c r="L1" s="350"/>
      <c r="M1" s="196"/>
      <c r="N1" s="197"/>
      <c r="O1" s="197"/>
      <c r="Q1" s="36"/>
      <c r="W1" s="198" t="s">
        <v>264</v>
      </c>
      <c r="X1" s="199"/>
      <c r="Y1" s="272"/>
      <c r="Z1" s="201"/>
      <c r="AA1" s="195"/>
      <c r="AB1" s="200"/>
      <c r="AC1" s="201"/>
      <c r="AD1" s="195"/>
      <c r="AE1" s="200"/>
      <c r="AH1" s="201"/>
      <c r="AJ1" s="201"/>
      <c r="AL1" s="195"/>
      <c r="AN1" s="202"/>
      <c r="AO1" s="202"/>
      <c r="AP1" s="201"/>
      <c r="AQ1" s="201"/>
      <c r="AR1" s="202"/>
      <c r="AS1" s="202"/>
      <c r="AT1" s="14"/>
      <c r="AU1" s="90"/>
      <c r="AV1" s="14"/>
      <c r="AW1" s="14"/>
      <c r="AX1" s="14"/>
      <c r="AY1" s="90"/>
      <c r="AZ1" s="14"/>
      <c r="BA1" s="197"/>
      <c r="BJ1" s="537"/>
      <c r="BK1" s="537"/>
      <c r="BL1" s="537"/>
    </row>
    <row r="2" spans="1:64" x14ac:dyDescent="0.3">
      <c r="A2" s="213" t="str">
        <f>_xlfn.CONCAT("Project Name: ",IF(LEN(Contacts!B3)=0,"",Contacts!B3))</f>
        <v xml:space="preserve">Project Name: </v>
      </c>
      <c r="B2" s="213"/>
      <c r="C2" s="213"/>
      <c r="G2"/>
      <c r="H2"/>
      <c r="I2"/>
      <c r="M2"/>
      <c r="N2"/>
      <c r="O2"/>
      <c r="Q2"/>
      <c r="W2"/>
      <c r="X2"/>
      <c r="Y2"/>
      <c r="Z2"/>
      <c r="AA2"/>
      <c r="AB2"/>
      <c r="AC2"/>
      <c r="AD2"/>
      <c r="AE2"/>
      <c r="AH2"/>
      <c r="AJ2"/>
      <c r="AL2"/>
      <c r="AO2"/>
      <c r="AP2"/>
      <c r="AQ2"/>
    </row>
    <row r="3" spans="1:64" x14ac:dyDescent="0.3">
      <c r="A3" s="69" t="s">
        <v>265</v>
      </c>
      <c r="B3" s="261"/>
      <c r="C3" s="309" t="s">
        <v>266</v>
      </c>
      <c r="D3" s="72" t="s">
        <v>267</v>
      </c>
      <c r="E3" s="351"/>
      <c r="F3" s="351"/>
      <c r="G3" s="73"/>
      <c r="H3" s="74"/>
      <c r="I3" s="257"/>
      <c r="J3" s="75" t="s">
        <v>268</v>
      </c>
      <c r="K3" s="351"/>
      <c r="L3" s="351"/>
      <c r="M3" s="73"/>
      <c r="N3" s="74"/>
      <c r="O3" s="74"/>
      <c r="P3" s="70"/>
      <c r="Q3" s="252"/>
      <c r="R3" s="77" t="s">
        <v>112</v>
      </c>
      <c r="S3" s="70"/>
      <c r="T3" s="70"/>
      <c r="U3" s="70"/>
      <c r="V3" s="309" t="s">
        <v>269</v>
      </c>
      <c r="W3" s="555" t="s">
        <v>270</v>
      </c>
      <c r="X3" s="582"/>
      <c r="Y3" s="130"/>
      <c r="Z3" s="247" t="s">
        <v>271</v>
      </c>
      <c r="AA3" s="76"/>
      <c r="AB3" s="244"/>
      <c r="AC3" s="78" t="s">
        <v>272</v>
      </c>
      <c r="AD3" s="71"/>
      <c r="AE3" s="239"/>
      <c r="AF3" s="340" t="s">
        <v>273</v>
      </c>
      <c r="AG3" s="72" t="s">
        <v>274</v>
      </c>
      <c r="AH3" s="230"/>
      <c r="AI3" s="75" t="s">
        <v>275</v>
      </c>
      <c r="AJ3" s="230"/>
      <c r="AK3" s="486" t="s">
        <v>276</v>
      </c>
      <c r="AL3" s="487"/>
      <c r="AM3" s="516" t="s">
        <v>277</v>
      </c>
      <c r="AN3" s="488" t="s">
        <v>278</v>
      </c>
      <c r="AO3" s="489"/>
      <c r="AP3" s="483"/>
      <c r="AQ3" s="513"/>
      <c r="AR3" s="490" t="s">
        <v>279</v>
      </c>
      <c r="AS3" s="506"/>
      <c r="AT3" s="491" t="s">
        <v>280</v>
      </c>
      <c r="AU3" s="492"/>
      <c r="AV3" s="573"/>
      <c r="AW3" s="503"/>
      <c r="AX3" s="494" t="s">
        <v>281</v>
      </c>
      <c r="AY3" s="492"/>
      <c r="AZ3" s="493"/>
      <c r="BA3" s="495"/>
      <c r="BB3" s="496" t="s">
        <v>282</v>
      </c>
      <c r="BC3" s="497"/>
      <c r="BD3" s="496"/>
      <c r="BE3" s="498"/>
      <c r="BF3" s="554" t="s">
        <v>283</v>
      </c>
      <c r="BG3" s="481"/>
      <c r="BH3" s="481"/>
      <c r="BI3" s="533"/>
      <c r="BJ3" s="540" t="s">
        <v>284</v>
      </c>
      <c r="BK3" s="541"/>
      <c r="BL3" s="544"/>
    </row>
    <row r="4" spans="1:64" ht="3" customHeight="1" x14ac:dyDescent="0.3">
      <c r="A4" s="316"/>
      <c r="B4" s="262"/>
      <c r="C4" s="310"/>
      <c r="D4" s="26"/>
      <c r="E4" s="352"/>
      <c r="F4" s="352"/>
      <c r="G4" s="28"/>
      <c r="H4" s="29"/>
      <c r="I4" s="258"/>
      <c r="J4" s="30"/>
      <c r="K4" s="354"/>
      <c r="L4" s="354"/>
      <c r="M4" s="32"/>
      <c r="N4" s="33"/>
      <c r="O4" s="33"/>
      <c r="P4" s="31"/>
      <c r="Q4" s="253"/>
      <c r="R4" s="34"/>
      <c r="S4" s="35"/>
      <c r="T4" s="35"/>
      <c r="U4" s="35"/>
      <c r="V4" s="310"/>
      <c r="W4" s="556"/>
      <c r="X4" s="583"/>
      <c r="Y4" s="129"/>
      <c r="Z4" s="248"/>
      <c r="AA4" s="63"/>
      <c r="AB4" s="245"/>
      <c r="AC4" s="56"/>
      <c r="AD4" s="65"/>
      <c r="AE4" s="240"/>
      <c r="AF4" s="341"/>
      <c r="AG4" s="27"/>
      <c r="AH4" s="235"/>
      <c r="AI4" s="31"/>
      <c r="AJ4" s="231"/>
      <c r="AK4" s="25"/>
      <c r="AL4" s="236"/>
      <c r="AM4" s="265"/>
      <c r="AN4" s="62"/>
      <c r="AO4" s="26"/>
      <c r="AP4" s="55"/>
      <c r="AQ4" s="235"/>
      <c r="AR4" s="31"/>
      <c r="AS4" s="507"/>
      <c r="AT4" s="221"/>
      <c r="AU4" s="222"/>
      <c r="AV4" s="222"/>
      <c r="AW4" s="504"/>
      <c r="AX4" s="223"/>
      <c r="AY4" s="223"/>
      <c r="AZ4" s="223"/>
      <c r="BA4" s="463"/>
      <c r="BB4" s="57"/>
      <c r="BC4" s="57"/>
      <c r="BD4" s="57"/>
      <c r="BE4" s="268"/>
      <c r="BF4" s="542"/>
      <c r="BG4" s="543"/>
      <c r="BH4" s="545"/>
      <c r="BI4" s="534"/>
      <c r="BJ4" s="542"/>
      <c r="BK4" s="543"/>
      <c r="BL4" s="545"/>
    </row>
    <row r="5" spans="1:64" s="128" customFormat="1" ht="43.2" x14ac:dyDescent="0.3">
      <c r="A5" s="124" t="s">
        <v>200</v>
      </c>
      <c r="B5" s="254" t="s">
        <v>265</v>
      </c>
      <c r="C5" s="311" t="s">
        <v>285</v>
      </c>
      <c r="D5" s="124" t="s">
        <v>286</v>
      </c>
      <c r="E5" s="124" t="s">
        <v>287</v>
      </c>
      <c r="F5" s="124" t="s">
        <v>288</v>
      </c>
      <c r="G5" s="502" t="s">
        <v>289</v>
      </c>
      <c r="H5" s="126" t="s">
        <v>290</v>
      </c>
      <c r="I5" s="259" t="s">
        <v>291</v>
      </c>
      <c r="J5" s="124" t="s">
        <v>286</v>
      </c>
      <c r="K5" s="124" t="s">
        <v>287</v>
      </c>
      <c r="L5" s="124" t="s">
        <v>288</v>
      </c>
      <c r="M5" s="125" t="s">
        <v>292</v>
      </c>
      <c r="N5" s="126" t="s">
        <v>293</v>
      </c>
      <c r="O5" s="126" t="s">
        <v>291</v>
      </c>
      <c r="P5" s="124" t="s">
        <v>294</v>
      </c>
      <c r="Q5" s="254" t="s">
        <v>295</v>
      </c>
      <c r="R5" s="124" t="s">
        <v>296</v>
      </c>
      <c r="S5" s="124" t="s">
        <v>297</v>
      </c>
      <c r="T5" s="124" t="s">
        <v>298</v>
      </c>
      <c r="U5" s="124" t="s">
        <v>299</v>
      </c>
      <c r="V5" s="266" t="s">
        <v>300</v>
      </c>
      <c r="W5" s="270" t="s">
        <v>301</v>
      </c>
      <c r="X5" s="584" t="s">
        <v>302</v>
      </c>
      <c r="Y5" s="225" t="s">
        <v>303</v>
      </c>
      <c r="Z5" s="249" t="s">
        <v>304</v>
      </c>
      <c r="AA5" s="224" t="s">
        <v>305</v>
      </c>
      <c r="AB5" s="246" t="s">
        <v>306</v>
      </c>
      <c r="AC5" s="127" t="s">
        <v>307</v>
      </c>
      <c r="AD5" s="226" t="s">
        <v>308</v>
      </c>
      <c r="AE5" s="241" t="s">
        <v>309</v>
      </c>
      <c r="AF5" s="311" t="s">
        <v>214</v>
      </c>
      <c r="AG5" s="124" t="s">
        <v>310</v>
      </c>
      <c r="AH5" s="232" t="s">
        <v>311</v>
      </c>
      <c r="AI5" s="124" t="s">
        <v>310</v>
      </c>
      <c r="AJ5" s="232" t="s">
        <v>311</v>
      </c>
      <c r="AK5" s="81" t="s">
        <v>312</v>
      </c>
      <c r="AL5" s="348" t="s">
        <v>216</v>
      </c>
      <c r="AM5" s="517" t="s">
        <v>313</v>
      </c>
      <c r="AN5" s="81" t="s">
        <v>314</v>
      </c>
      <c r="AO5" s="81" t="s">
        <v>315</v>
      </c>
      <c r="AP5" s="500" t="s">
        <v>316</v>
      </c>
      <c r="AQ5" s="514" t="s">
        <v>317</v>
      </c>
      <c r="AR5" s="123" t="s">
        <v>318</v>
      </c>
      <c r="AS5" s="508" t="s">
        <v>319</v>
      </c>
      <c r="AT5" s="227" t="s">
        <v>320</v>
      </c>
      <c r="AU5" s="228" t="s">
        <v>321</v>
      </c>
      <c r="AV5" s="575" t="s">
        <v>322</v>
      </c>
      <c r="AW5" s="505" t="s">
        <v>323</v>
      </c>
      <c r="AX5" s="227" t="s">
        <v>320</v>
      </c>
      <c r="AY5" s="228" t="s">
        <v>321</v>
      </c>
      <c r="AZ5" s="228" t="s">
        <v>322</v>
      </c>
      <c r="BA5" s="464" t="s">
        <v>324</v>
      </c>
      <c r="BB5" s="82" t="s">
        <v>325</v>
      </c>
      <c r="BC5" s="82" t="s">
        <v>326</v>
      </c>
      <c r="BD5" s="338" t="s">
        <v>327</v>
      </c>
      <c r="BE5" s="339" t="s">
        <v>328</v>
      </c>
      <c r="BF5" s="227" t="s">
        <v>329</v>
      </c>
      <c r="BG5" s="227" t="s">
        <v>330</v>
      </c>
      <c r="BH5" s="227" t="s">
        <v>331</v>
      </c>
      <c r="BI5" s="535" t="s">
        <v>332</v>
      </c>
      <c r="BJ5" s="536" t="s">
        <v>267</v>
      </c>
      <c r="BK5" s="536" t="s">
        <v>268</v>
      </c>
      <c r="BL5" s="546" t="s">
        <v>112</v>
      </c>
    </row>
    <row r="6" spans="1:64" ht="15" thickBot="1" x14ac:dyDescent="0.35">
      <c r="A6" s="83"/>
      <c r="B6" s="263" t="s">
        <v>333</v>
      </c>
      <c r="C6" s="312"/>
      <c r="D6" s="84"/>
      <c r="E6" s="353"/>
      <c r="F6" s="353"/>
      <c r="G6" s="85"/>
      <c r="H6" s="86"/>
      <c r="I6" s="260"/>
      <c r="J6" s="84"/>
      <c r="K6" s="353"/>
      <c r="L6" s="353"/>
      <c r="M6" s="85"/>
      <c r="N6" s="86"/>
      <c r="O6" s="86"/>
      <c r="P6" s="84"/>
      <c r="Q6" s="255"/>
      <c r="R6" s="84"/>
      <c r="S6" s="84"/>
      <c r="T6" s="84"/>
      <c r="U6" s="84"/>
      <c r="V6" s="267"/>
      <c r="W6" s="271">
        <f>ROUND(SUM(W8:W507),0)</f>
        <v>0</v>
      </c>
      <c r="X6" s="585">
        <f>IFERROR(ROUND(W6/AH6,2),0)</f>
        <v>0</v>
      </c>
      <c r="Y6" s="579"/>
      <c r="Z6" s="250">
        <f>ROUND(SUM(Z8:Z507),0)</f>
        <v>0</v>
      </c>
      <c r="AA6" s="89">
        <f>IFERROR(ROUND(Z6/AH6,2),0)</f>
        <v>0</v>
      </c>
      <c r="AB6" s="242"/>
      <c r="AC6" s="88">
        <f>ROUND(SUM(AC8:AC507),0)</f>
        <v>0</v>
      </c>
      <c r="AD6" s="89">
        <f>IFERROR(ROUND(AC6/AH6,2),0)</f>
        <v>0</v>
      </c>
      <c r="AE6" s="242"/>
      <c r="AF6" s="312"/>
      <c r="AG6" s="84"/>
      <c r="AH6" s="233">
        <f>ROUND(SUM(AH8:AH507),0)</f>
        <v>0</v>
      </c>
      <c r="AI6" s="84"/>
      <c r="AJ6" s="233">
        <f>ROUND(SUM(AJ8:AJ507),0)</f>
        <v>0</v>
      </c>
      <c r="AK6" s="87"/>
      <c r="AL6" s="237"/>
      <c r="AM6" s="518"/>
      <c r="AN6" s="87"/>
      <c r="AO6" s="87"/>
      <c r="AP6" s="88"/>
      <c r="AQ6" s="233"/>
      <c r="AR6" s="87"/>
      <c r="AS6" s="509"/>
      <c r="AT6" s="84"/>
      <c r="AU6" s="84"/>
      <c r="AV6" s="84"/>
      <c r="AW6" s="263"/>
      <c r="AX6" s="84"/>
      <c r="AY6" s="84"/>
      <c r="AZ6" s="84"/>
      <c r="BA6" s="260"/>
      <c r="BB6" s="84"/>
      <c r="BC6" s="84"/>
      <c r="BD6" s="84"/>
      <c r="BE6" s="263"/>
      <c r="BF6" s="548">
        <f>COUNTA(D5:I5)</f>
        <v>6</v>
      </c>
      <c r="BG6" s="549">
        <f>COUNTA(J5:Q5)</f>
        <v>8</v>
      </c>
      <c r="BH6" s="550">
        <f>COUNTA(R5:T5)</f>
        <v>3</v>
      </c>
      <c r="BI6" s="533"/>
      <c r="BJ6" s="551" t="str">
        <f t="shared" ref="BJ6:BK6" si="0">_xlfn.CONCAT(COUNTIF(BJ8:BJ507,"Missing info"),IF(COUNTIF(BJ8:BJ507,"Missing info")=1," row"," rows"))</f>
        <v>0 rows</v>
      </c>
      <c r="BK6" s="552" t="str">
        <f t="shared" si="0"/>
        <v>0 rows</v>
      </c>
      <c r="BL6" s="553" t="str">
        <f>_xlfn.CONCAT(COUNTIF(BL8:BL507,"Missing info"),IF(COUNTIF(BL8:BL507,"Missing info")=1," row"," rows"))</f>
        <v>0 rows</v>
      </c>
    </row>
    <row r="7" spans="1:64" s="373" customFormat="1" hidden="1" outlineLevel="1" x14ac:dyDescent="0.3">
      <c r="A7" s="355" t="s">
        <v>334</v>
      </c>
      <c r="B7" s="356" t="s">
        <v>335</v>
      </c>
      <c r="C7" s="357" t="s">
        <v>336</v>
      </c>
      <c r="D7" s="358" t="s">
        <v>337</v>
      </c>
      <c r="E7" s="358" t="s">
        <v>338</v>
      </c>
      <c r="F7" s="358" t="s">
        <v>339</v>
      </c>
      <c r="G7" s="359" t="s">
        <v>340</v>
      </c>
      <c r="H7" s="360" t="s">
        <v>341</v>
      </c>
      <c r="I7" s="361" t="s">
        <v>342</v>
      </c>
      <c r="J7" s="358" t="s">
        <v>343</v>
      </c>
      <c r="K7" s="358" t="s">
        <v>344</v>
      </c>
      <c r="L7" s="358" t="s">
        <v>345</v>
      </c>
      <c r="M7" s="359" t="s">
        <v>346</v>
      </c>
      <c r="N7" s="360" t="s">
        <v>347</v>
      </c>
      <c r="O7" s="360" t="s">
        <v>348</v>
      </c>
      <c r="P7" s="355" t="s">
        <v>349</v>
      </c>
      <c r="Q7" s="256" t="s">
        <v>350</v>
      </c>
      <c r="R7" s="355" t="s">
        <v>351</v>
      </c>
      <c r="S7" s="358" t="s">
        <v>352</v>
      </c>
      <c r="T7" s="355" t="s">
        <v>353</v>
      </c>
      <c r="U7" s="355" t="s">
        <v>354</v>
      </c>
      <c r="V7" s="362" t="s">
        <v>355</v>
      </c>
      <c r="W7" s="363" t="s">
        <v>356</v>
      </c>
      <c r="X7" s="586" t="s">
        <v>357</v>
      </c>
      <c r="Y7" s="364" t="s">
        <v>358</v>
      </c>
      <c r="Z7" s="366" t="s">
        <v>359</v>
      </c>
      <c r="AA7" s="367" t="s">
        <v>360</v>
      </c>
      <c r="AB7" s="368" t="s">
        <v>361</v>
      </c>
      <c r="AC7" s="369" t="s">
        <v>362</v>
      </c>
      <c r="AD7" s="367" t="s">
        <v>363</v>
      </c>
      <c r="AE7" s="368" t="s">
        <v>364</v>
      </c>
      <c r="AF7" s="357" t="s">
        <v>236</v>
      </c>
      <c r="AG7" s="355" t="s">
        <v>365</v>
      </c>
      <c r="AH7" s="370" t="s">
        <v>366</v>
      </c>
      <c r="AI7" s="355" t="s">
        <v>367</v>
      </c>
      <c r="AJ7" s="370" t="s">
        <v>368</v>
      </c>
      <c r="AK7" s="371" t="s">
        <v>222</v>
      </c>
      <c r="AL7" s="372" t="s">
        <v>238</v>
      </c>
      <c r="AM7" s="519" t="s">
        <v>369</v>
      </c>
      <c r="AN7" s="371" t="s">
        <v>370</v>
      </c>
      <c r="AO7" s="371" t="s">
        <v>371</v>
      </c>
      <c r="AP7" s="369" t="s">
        <v>372</v>
      </c>
      <c r="AQ7" s="370" t="s">
        <v>373</v>
      </c>
      <c r="AR7" s="371" t="s">
        <v>374</v>
      </c>
      <c r="AS7" s="510" t="s">
        <v>375</v>
      </c>
      <c r="AT7" s="369" t="s">
        <v>376</v>
      </c>
      <c r="AU7" s="369" t="s">
        <v>377</v>
      </c>
      <c r="AV7" s="576" t="s">
        <v>378</v>
      </c>
      <c r="AW7" s="370" t="s">
        <v>379</v>
      </c>
      <c r="AX7" s="369" t="s">
        <v>380</v>
      </c>
      <c r="AY7" s="369" t="s">
        <v>381</v>
      </c>
      <c r="AZ7" s="369" t="s">
        <v>382</v>
      </c>
      <c r="BA7" s="361" t="s">
        <v>1252</v>
      </c>
      <c r="BB7" s="355" t="s">
        <v>383</v>
      </c>
      <c r="BC7" s="355" t="s">
        <v>384</v>
      </c>
      <c r="BD7" s="355" t="s">
        <v>385</v>
      </c>
      <c r="BE7" s="356" t="s">
        <v>386</v>
      </c>
      <c r="BF7" s="358" t="s">
        <v>387</v>
      </c>
      <c r="BG7" s="373" t="s">
        <v>388</v>
      </c>
      <c r="BH7" s="373" t="s">
        <v>389</v>
      </c>
      <c r="BI7" s="365" t="s">
        <v>390</v>
      </c>
      <c r="BJ7" s="600" t="s">
        <v>391</v>
      </c>
      <c r="BK7" s="600" t="s">
        <v>392</v>
      </c>
      <c r="BL7" s="256" t="s">
        <v>393</v>
      </c>
    </row>
    <row r="8" spans="1:64" collapsed="1" x14ac:dyDescent="0.3">
      <c r="A8" s="133">
        <v>1</v>
      </c>
      <c r="B8" s="294"/>
      <c r="C8" s="313"/>
      <c r="D8" s="292"/>
      <c r="E8" s="284"/>
      <c r="F8" s="284"/>
      <c r="G8" s="295"/>
      <c r="H8" s="296"/>
      <c r="I8" s="297"/>
      <c r="J8" s="292"/>
      <c r="K8" s="284"/>
      <c r="L8" s="284"/>
      <c r="M8" s="295"/>
      <c r="N8" s="296"/>
      <c r="O8" s="296"/>
      <c r="P8" s="284"/>
      <c r="Q8" s="298"/>
      <c r="R8" s="292"/>
      <c r="S8" s="299"/>
      <c r="T8" s="300"/>
      <c r="U8" s="317" t="str">
        <f t="shared" ref="U8:U71" si="1">IF(OR(ISBLANK(R8),R8="No Controls"),"",IF(R8="Networked Controls",CtrlPctHrsReductionNetworked,CtrlPctHrsReductionNonNetworked))</f>
        <v/>
      </c>
      <c r="V8" s="301"/>
      <c r="W8" s="136" t="str">
        <f t="shared" ref="W8:W71" si="2">IF(AM8="Row Not Used","",IF(OR(AM8="Fixtures Only",AM8="decommissioning"),Z8,IF(AM8="Controls Only",AC8,Z8+AC8)))</f>
        <v/>
      </c>
      <c r="X8" s="587" t="str">
        <f>IF(AM8="Row Not Used","",IFERROR(ROUND(W8/AH8,2),""))</f>
        <v/>
      </c>
      <c r="Y8" s="580"/>
      <c r="Z8" s="251" t="str">
        <f t="shared" ref="Z8:Z71" si="3">IF(OR(AM8="Row Not Used",AM8="Controls Only"),"",IF(AM8="Decommissioning",AH8,AH8-AJ8))</f>
        <v/>
      </c>
      <c r="AA8" s="138" t="str">
        <f>IF(OR(AM8="Row Not Used",AM8="Controls Only"),"",IFERROR(ROUND(Z8/AH8,2),0))</f>
        <v/>
      </c>
      <c r="AB8" s="243" t="str">
        <f>IF(AV8="None","",AW8)</f>
        <v/>
      </c>
      <c r="AC8" s="141" t="str">
        <f t="shared" ref="AC8:AC71" si="4">IF(OR(AM8="Row Not Used",AM8="Fixtures Only",AM8="Decommissioning"),"",BA8)</f>
        <v/>
      </c>
      <c r="AD8" s="138" t="str">
        <f>IF(OR(AM8="Row Not Used",AM8="Fixtures Only",AM8="Decommissioning"),"",IFERROR(ROUND(AC8/AH8,2),0))</f>
        <v/>
      </c>
      <c r="AE8" s="243" t="str">
        <f t="shared" ref="AE8:AE71" si="5">IF(AZ8="None","",IF(AC8&lt;0,0,ROUND(AY8*AC8,2)))</f>
        <v/>
      </c>
      <c r="AF8" s="342" t="str">
        <f>IF(AM8="Row Not Used","",INDEX(SpaceTable[Annual Hours],(MATCH(B8,SpaceTable[Space Name Concatenated Helper],0))))</f>
        <v/>
      </c>
      <c r="AG8" s="205" t="str">
        <f t="shared" ref="AG8:AG71" si="6">IF(AM8="Row Not Used","",G8*H8*AO8)</f>
        <v/>
      </c>
      <c r="AH8" s="234" t="str">
        <f t="shared" ref="AH8:AH71" si="7">IF(AM8="Row Not Used","",(AG8*I8*AF8*AL8)/kWhConversion)</f>
        <v/>
      </c>
      <c r="AI8" s="205" t="str">
        <f t="shared" ref="AI8:AI71" si="8">IF(OR(AM8="Row Not Used",AM8="Controls Only",AM8="Decommissioning"),"",M8*N8)</f>
        <v/>
      </c>
      <c r="AJ8" s="234" t="str">
        <f t="shared" ref="AJ8:AJ71" si="9">IF(OR(AM8="Row Not Used",AM8="Controls Only",AM8="Decommissioning"),"",(AI8*O8*AF8*AL8)/kWhConversion)</f>
        <v/>
      </c>
      <c r="AK8" s="144" t="str">
        <f>IF(AM8="Row Not Used","",INDEX(SpaceTable[Row],(MATCH(B8,SpaceTable[Space Name Concatenated Helper],0))))</f>
        <v/>
      </c>
      <c r="AL8" s="238" t="str">
        <f>IF(AM8="Row Not Used","",INDEX(SpaceTable[HVAC Factor],(MATCH(B8,SpaceTable[Space Name Concatenated Helper],0))))</f>
        <v/>
      </c>
      <c r="AM8" s="520" t="str">
        <f t="shared" ref="AM8:AM71" si="10">IF(OR(ISBLANK(C8),ISBLANK(B8)),"Row Not Used",IF(C8="Controls Only","Controls Only",IF(C8="Decommissioning","Decommissioning",IF(AND(C8="Fixtures",OR(R8="No Controls",ISBLANK(R8))),"Fixtures Only","Fixtures with Controls"))))</f>
        <v>Row Not Used</v>
      </c>
      <c r="AN8" s="512" t="e" cm="1">
        <f t="array" ref="AN8">INDEX(BallastFactorTable[Ballast Factor],MATCH(1,(BallastFactorTable[Fixture Class]=D8)*(BallastFactorTable[Fixture Category]=E8)*(BallastFactorTable[Fixture Sub-category]=F8),0))</f>
        <v>#N/A</v>
      </c>
      <c r="AO8" s="143" t="str">
        <f>IF(AM8="Row Not Used","",IFERROR(AN8,0))</f>
        <v/>
      </c>
      <c r="AP8" s="501" t="e" cm="1">
        <f t="array" ref="AP8">INDEX(BallastFactorTable[Wattage Range Name],MATCH(1,(BallastFactorTable[Fixture Class]=D8)*(BallastFactorTable[Fixture Category]=E8)*(BallastFactorTable[Fixture Sub-category]=F8),0))</f>
        <v>#N/A</v>
      </c>
      <c r="AQ8" s="515" t="str">
        <f t="shared" ref="AQ8:AQ71" ca="1" si="11">IF(G8="Type in the wattage.","Invalid",IF(OR(AM8="Row Not Used",D8="LED",ISBLANK(G8)),"Okay",IFERROR(_xlfn.XMATCH(G8,INDIRECT(AP8),0),"Invalid")))</f>
        <v>Okay</v>
      </c>
      <c r="AR8" s="512">
        <f t="shared" ref="AR8:AR71" si="12">IF(AM8="Row Not Used",0,IF(AM8="Decommissioning",I8,IF(AT8="LED Tube",N8*O8,O8)))</f>
        <v>0</v>
      </c>
      <c r="AS8" s="511" t="str">
        <f>IF(OR(Measures!AM8="Row Not Used",Measures!C8="Controls Only",Measures!C8="Decommissioning"),"",_xlfn.CONCAT(P8," ",Q8))</f>
        <v/>
      </c>
      <c r="AT8" s="264" t="str">
        <f t="shared" ref="AT8:AT71" si="13">IF(OR(AM8="Row Not Used",AM8="Controls Only"),"None",IF(K8="Tube","LED Tube",IF(K8="Exit Sign","LED Exit Sign",IF(RateClassField="Small General (B)","Standard B",IF(RateClassField="General (G)","Standard G",IF(RateClassField="High Voltage (HVG)","Standard HVG","Error"))))))</f>
        <v>None</v>
      </c>
      <c r="AU8" s="229">
        <f>IF(OR(AM8="Row Not Used",AM8="Controls Only"),0,INDEX(IncentiveRateTable[Incentive Rate],MATCH(AT8,IncentiveRateTable[Incentive Name],0)))</f>
        <v>0</v>
      </c>
      <c r="AV8" s="133" t="str">
        <f>IF(OR(AM8="Row Not Used",AM8="Controls Only"),"None",INDEX(IncentiveRateTable[Incentive Unit],MATCH(AT8,IncentiveRateTable[Incentive Name],0)))</f>
        <v>None</v>
      </c>
      <c r="AW8" s="578">
        <f>IF(AV8="None",0,IF(AND(OR(AV8="Per Tube",AV8="Per Fixture"),Z8=0),0,IF(AV8="Per kWh Saved",ROUND(AU8*Z8,2),IF(AND(AV8="Per Tube",Z8&lt;0),-ROUND(AU8*N8*O8,2),IF(AV8="Per Tube",ROUND(AU8*N8*O8,2),IF(AND(AV8="Per Fixture",Z8&lt;0),-ROUND(AU8*O8,2),IF(AV8="Per Fixture",ROUND(AU8*O8,2),0)))))))</f>
        <v>0</v>
      </c>
      <c r="AX8" s="264" t="str">
        <f t="shared" ref="AX8:AX71" si="14">IF(OR(AM8="Row Not Used",AM8="Fixtures Only",AM8="Decommissioning"),"None",IF(RateClassField="Small General (B)","Standard B",IF(RateClassField="General (G)","Standard G",IF(RateClassField="High Voltage (HVG)","Standard HVG","Error"))))</f>
        <v>None</v>
      </c>
      <c r="AY8" s="229">
        <f>IF(OR(AM8="Row Not Used",AM8="Fixtures Only",AM8="Decommissioning"),0,INDEX(IncentiveRateTable[Incentive Rate],MATCH(AX8,IncentiveRateTable[Incentive Name],0)))</f>
        <v>0</v>
      </c>
      <c r="AZ8" s="133" t="str">
        <f>IF(OR(AM8="Row Not Used",AM8="Fixtures Only",AM8="Decommissioning"),"None",INDEX(IncentiveRateTable[Incentive Unit],MATCH(AX8,IncentiveRateTable[Incentive Name],0)))</f>
        <v>None</v>
      </c>
      <c r="BA8" s="465">
        <f t="shared" ref="BA8:BA71" si="15">IF(OR(AM8="Row Not Used",AM8="Decommissioning",AM8="Fixtures Only"),0,IF(AM8="Controls Only",IF(R8="Multi-function",AH8*U8*T8,AH8*U8),IF(R8="Multi-function",AJ8*U8*T8,AJ8*U8)))</f>
        <v>0</v>
      </c>
      <c r="BB8" s="264" t="e" cm="1">
        <f t="array" ref="BB8">INDEX(BallastFactorTable[Commercial BPA Reference Number],MATCH(1,(BallastFactorTable[Fixture Class]=J8)*(BallastFactorTable[Fixture Category]=K8)*(BallastFactorTable[Fixture Sub-category]=L8),0))</f>
        <v>#N/A</v>
      </c>
      <c r="BC8" s="133" t="e" cm="1">
        <f t="array" ref="BC8">INDEX(BallastFactorTable[Industrial BPA Reference Number],MATCH(1,(BallastFactorTable[Fixture Class]=J8)*(BallastFactorTable[Fixture Category]=K8)*(BallastFactorTable[Fixture Sub-category]=L8),0))</f>
        <v>#N/A</v>
      </c>
      <c r="BD8" s="264" t="str">
        <f t="shared" ref="BD8:BD71" si="16">IF(ISBLANK(SectorField),"Sector is blank",IF(OR(AM8="Row Not Used",AM8="Controls Only"),"",IF(AM8="Decommissioning","Not Reported to BPA",IF(SectorField="Commercial",BB8,IF(SectorField="Industrial",BC8,"Unknown")))))</f>
        <v>Sector is blank</v>
      </c>
      <c r="BE8" s="269" t="str">
        <f>IF(ISBLANK(SectorField),"Sector is blank",IF(AM8="Row Not Used","",IF(OR(R8="No Controls",ISBLANK(R8)),"",INDEX(ControlsBPARefNoTable[Reference Number],MATCH(SectorField,ControlsBPARefNoTable[Sector],0)))))</f>
        <v>Sector is blank</v>
      </c>
      <c r="BF8" s="530" t="str">
        <f t="shared" ref="BF8:BF71" si="17">IF(AM8="Row Not Used","",COUNTA(D8:I8)=$BF$6)</f>
        <v/>
      </c>
      <c r="BG8" s="132" t="str">
        <f t="shared" ref="BG8:BG71" si="18">IF(AM8="Row Not Used","",IF(OR(AM8="Controls Only",AM8="Decommissioning"),TRUE,COUNTA(J8:Q8)=$BG$6))</f>
        <v/>
      </c>
      <c r="BH8" s="531" t="str">
        <f t="shared" ref="BH8:BH71" si="19">IF(AM8="Row Not Used","",IF(OR(AM8="Fixtures Only",AM8="Decommissioning"),TRUE,IF(R8="Multi-function",COUNTA(R8:T8)=$BH$6,COUNTA(R8:T8)=$BH$6-1)))</f>
        <v/>
      </c>
      <c r="BI8" s="532"/>
      <c r="BJ8" s="538" t="str">
        <f>IF(LEN(BF8)=0,"",IF(BF8=FALSE,"Missing info","Okay"))</f>
        <v/>
      </c>
      <c r="BK8" s="539" t="str">
        <f>IF(LEN(BG8)=0,"",IF(BG8=FALSE,"Missing info","Okay"))</f>
        <v/>
      </c>
      <c r="BL8" s="547" t="str">
        <f>IF(LEN(BH8)=0,"",IF(BH8=FALSE,"Missing info","Okay"))</f>
        <v/>
      </c>
    </row>
    <row r="9" spans="1:64" x14ac:dyDescent="0.3">
      <c r="A9" s="133">
        <v>2</v>
      </c>
      <c r="B9" s="294"/>
      <c r="C9" s="313"/>
      <c r="D9" s="292"/>
      <c r="E9" s="284"/>
      <c r="F9" s="284"/>
      <c r="G9" s="295"/>
      <c r="H9" s="296"/>
      <c r="I9" s="297"/>
      <c r="J9" s="292"/>
      <c r="K9" s="284"/>
      <c r="L9" s="284"/>
      <c r="M9" s="295"/>
      <c r="N9" s="296"/>
      <c r="O9" s="296"/>
      <c r="P9" s="284"/>
      <c r="Q9" s="298"/>
      <c r="R9" s="292"/>
      <c r="S9" s="299"/>
      <c r="T9" s="300"/>
      <c r="U9" s="317" t="str">
        <f t="shared" si="1"/>
        <v/>
      </c>
      <c r="V9" s="301"/>
      <c r="W9" s="136" t="str">
        <f t="shared" si="2"/>
        <v/>
      </c>
      <c r="X9" s="587" t="str">
        <f t="shared" ref="X9:X72" si="20">IF(AM9="Row Not Used","",IFERROR(ROUND(W9/AH9,2),0))</f>
        <v/>
      </c>
      <c r="Y9" s="580"/>
      <c r="Z9" s="251" t="str">
        <f t="shared" si="3"/>
        <v/>
      </c>
      <c r="AA9" s="138" t="str">
        <f>IF(OR(AM9="Row Not Used",AM9="Controls Only"),"",IFERROR(ROUND(Z9/AH9,2),0))</f>
        <v/>
      </c>
      <c r="AB9" s="243" t="str">
        <f t="shared" ref="AB9:AB72" si="21">IF(AV9="None","",AW9)</f>
        <v/>
      </c>
      <c r="AC9" s="141" t="str">
        <f t="shared" si="4"/>
        <v/>
      </c>
      <c r="AD9" s="138" t="str">
        <f t="shared" ref="AD9:AD72" si="22">IF(OR(AM9="Row Not Used",AM9="Fixtures Only",AM9="Decommissioning"),"",IFERROR(ROUND(AC9/AH9,2),0))</f>
        <v/>
      </c>
      <c r="AE9" s="243" t="str">
        <f t="shared" si="5"/>
        <v/>
      </c>
      <c r="AF9" s="342" t="str">
        <f>IF(AM9="Row Not Used","",INDEX(SpaceTable[Annual Hours],(MATCH(B9,SpaceTable[Space Name Concatenated Helper],0))))</f>
        <v/>
      </c>
      <c r="AG9" s="205" t="str">
        <f t="shared" si="6"/>
        <v/>
      </c>
      <c r="AH9" s="234" t="str">
        <f t="shared" si="7"/>
        <v/>
      </c>
      <c r="AI9" s="205" t="str">
        <f t="shared" si="8"/>
        <v/>
      </c>
      <c r="AJ9" s="234" t="str">
        <f t="shared" si="9"/>
        <v/>
      </c>
      <c r="AK9" s="144" t="str">
        <f>IF(AM9="Row Not Used","",INDEX(SpaceTable[Row],(MATCH(B9,SpaceTable[Space Name Concatenated Helper],0))))</f>
        <v/>
      </c>
      <c r="AL9" s="238" t="str">
        <f>IF(AM9="Row Not Used","",INDEX(SpaceTable[HVAC Factor],(MATCH(B9,SpaceTable[Space Name Concatenated Helper],0))))</f>
        <v/>
      </c>
      <c r="AM9" s="520" t="str">
        <f t="shared" si="10"/>
        <v>Row Not Used</v>
      </c>
      <c r="AN9" s="512" t="e" cm="1">
        <f t="array" ref="AN9">INDEX(BallastFactorTable[Ballast Factor],MATCH(1,(BallastFactorTable[Fixture Class]=D9)*(BallastFactorTable[Fixture Category]=E9)*(BallastFactorTable[Fixture Sub-category]=F9),0))</f>
        <v>#N/A</v>
      </c>
      <c r="AO9" s="143" t="str">
        <f t="shared" ref="AO9:AO72" si="23">IF(AM9="Row Not Used","",IFERROR(AN9,0))</f>
        <v/>
      </c>
      <c r="AP9" s="501" t="e" cm="1">
        <f t="array" ref="AP9">INDEX(BallastFactorTable[Wattage Range Name],MATCH(1,(BallastFactorTable[Fixture Class]=D9)*(BallastFactorTable[Fixture Category]=E9)*(BallastFactorTable[Fixture Sub-category]=F9),0))</f>
        <v>#N/A</v>
      </c>
      <c r="AQ9" s="515" t="str">
        <f t="shared" ca="1" si="11"/>
        <v>Okay</v>
      </c>
      <c r="AR9" s="512">
        <f t="shared" si="12"/>
        <v>0</v>
      </c>
      <c r="AS9" s="511" t="str">
        <f>IF(OR(Measures!AM9="Row Not Used",Measures!C9="Controls Only",Measures!C9="Decommissioning"),"",_xlfn.CONCAT(P9," ",Q9))</f>
        <v/>
      </c>
      <c r="AT9" s="264" t="str">
        <f t="shared" si="13"/>
        <v>None</v>
      </c>
      <c r="AU9" s="229">
        <f>IF(OR(AM9="Row Not Used",AM9="Controls Only"),0,INDEX(IncentiveRateTable[Incentive Rate],MATCH(AT9,IncentiveRateTable[Incentive Name],0)))</f>
        <v>0</v>
      </c>
      <c r="AV9" s="133" t="str">
        <f>IF(OR(AM9="Row Not Used",AM9="Controls Only"),"None",INDEX(IncentiveRateTable[Incentive Unit],MATCH(AT9,IncentiveRateTable[Incentive Name],0)))</f>
        <v>None</v>
      </c>
      <c r="AW9" s="578">
        <f t="shared" ref="AW9:AW72" si="24">IF(AV9="None",0,IF(AND(OR(AV9="Per Tube",AV9="Per Fixture"),Z9=0),0,IF(AV9="Per kWh Saved",ROUND(AU9*Z9,2),IF(AND(AV9="Per Tube",Z9&lt;0),-ROUND(AU9*N9*O9,2),IF(AV9="Per Tube",ROUND(AU9*N9*O9,2),IF(AND(AV9="Per Fixture",Z9&lt;0),-ROUND(AU9*O9,2),IF(AV9="Per Fixture",ROUND(AU9*O9,2),0)))))))</f>
        <v>0</v>
      </c>
      <c r="AX9" s="264" t="str">
        <f t="shared" si="14"/>
        <v>None</v>
      </c>
      <c r="AY9" s="229">
        <f>IF(OR(AM9="Row Not Used",AM9="Fixtures Only",AM9="Decommissioning"),0,INDEX(IncentiveRateTable[Incentive Rate],MATCH(AX9,IncentiveRateTable[Incentive Name],0)))</f>
        <v>0</v>
      </c>
      <c r="AZ9" s="133" t="str">
        <f>IF(OR(AM9="Row Not Used",AM9="Fixtures Only",AM9="Decommissioning"),"None",INDEX(IncentiveRateTable[Incentive Unit],MATCH(AX9,IncentiveRateTable[Incentive Name],0)))</f>
        <v>None</v>
      </c>
      <c r="BA9" s="465">
        <f t="shared" si="15"/>
        <v>0</v>
      </c>
      <c r="BB9" s="264" t="e" cm="1">
        <f t="array" ref="BB9">INDEX(BallastFactorTable[Commercial BPA Reference Number],MATCH(1,(BallastFactorTable[Fixture Class]=J9)*(BallastFactorTable[Fixture Category]=K9)*(BallastFactorTable[Fixture Sub-category]=L9),0))</f>
        <v>#N/A</v>
      </c>
      <c r="BC9" s="133" t="e" cm="1">
        <f t="array" ref="BC9">INDEX(BallastFactorTable[Industrial BPA Reference Number],MATCH(1,(BallastFactorTable[Fixture Class]=J9)*(BallastFactorTable[Fixture Category]=K9)*(BallastFactorTable[Fixture Sub-category]=L9),0))</f>
        <v>#N/A</v>
      </c>
      <c r="BD9" s="264" t="str">
        <f t="shared" si="16"/>
        <v>Sector is blank</v>
      </c>
      <c r="BE9" s="269" t="str">
        <f>IF(ISBLANK(SectorField),"Sector is blank",IF(AM9="Row Not Used","",IF(OR(R9="No Controls",ISBLANK(R9)),"",INDEX(ControlsBPARefNoTable[Reference Number],MATCH(SectorField,ControlsBPARefNoTable[Sector],0)))))</f>
        <v>Sector is blank</v>
      </c>
      <c r="BF9" s="530" t="str">
        <f t="shared" si="17"/>
        <v/>
      </c>
      <c r="BG9" s="132" t="str">
        <f t="shared" si="18"/>
        <v/>
      </c>
      <c r="BH9" s="531" t="str">
        <f t="shared" si="19"/>
        <v/>
      </c>
      <c r="BI9" s="532"/>
      <c r="BJ9" s="538" t="str">
        <f t="shared" ref="BJ9:BJ72" si="25">IF(LEN(BF9)=0,"",IF(BF9=FALSE,"Missing info","Okay"))</f>
        <v/>
      </c>
      <c r="BK9" s="539" t="str">
        <f t="shared" ref="BK9:BK72" si="26">IF(LEN(BG9)=0,"",IF(BG9=FALSE,"Missing info","Okay"))</f>
        <v/>
      </c>
      <c r="BL9" s="547" t="str">
        <f t="shared" ref="BL9:BL72" si="27">IF(LEN(BH9)=0,"",IF(BH9=FALSE,"Missing info","Okay"))</f>
        <v/>
      </c>
    </row>
    <row r="10" spans="1:64" x14ac:dyDescent="0.3">
      <c r="A10" s="133">
        <v>3</v>
      </c>
      <c r="B10" s="294"/>
      <c r="C10" s="313"/>
      <c r="D10" s="292"/>
      <c r="E10" s="284"/>
      <c r="F10" s="284"/>
      <c r="G10" s="295"/>
      <c r="H10" s="296"/>
      <c r="I10" s="297"/>
      <c r="J10" s="292"/>
      <c r="K10" s="284"/>
      <c r="L10" s="284"/>
      <c r="M10" s="295"/>
      <c r="N10" s="296"/>
      <c r="O10" s="296"/>
      <c r="P10" s="284"/>
      <c r="Q10" s="298"/>
      <c r="R10" s="292"/>
      <c r="S10" s="299"/>
      <c r="T10" s="300"/>
      <c r="U10" s="317" t="str">
        <f t="shared" si="1"/>
        <v/>
      </c>
      <c r="V10" s="301"/>
      <c r="W10" s="136" t="str">
        <f t="shared" si="2"/>
        <v/>
      </c>
      <c r="X10" s="587" t="str">
        <f t="shared" si="20"/>
        <v/>
      </c>
      <c r="Y10" s="580"/>
      <c r="Z10" s="251" t="str">
        <f t="shared" si="3"/>
        <v/>
      </c>
      <c r="AA10" s="138" t="str">
        <f t="shared" ref="AA10:AA73" si="28">IF(OR(AM10="Row Not Used",AM10="Controls Only"),"",IFERROR(ROUND(Z10/AH10,2),0))</f>
        <v/>
      </c>
      <c r="AB10" s="243" t="str">
        <f t="shared" si="21"/>
        <v/>
      </c>
      <c r="AC10" s="141" t="str">
        <f t="shared" si="4"/>
        <v/>
      </c>
      <c r="AD10" s="138" t="str">
        <f t="shared" si="22"/>
        <v/>
      </c>
      <c r="AE10" s="243" t="str">
        <f t="shared" si="5"/>
        <v/>
      </c>
      <c r="AF10" s="342" t="str">
        <f>IF(AM10="Row Not Used","",INDEX(SpaceTable[Annual Hours],(MATCH(B10,SpaceTable[Space Name Concatenated Helper],0))))</f>
        <v/>
      </c>
      <c r="AG10" s="205" t="str">
        <f t="shared" si="6"/>
        <v/>
      </c>
      <c r="AH10" s="234" t="str">
        <f t="shared" si="7"/>
        <v/>
      </c>
      <c r="AI10" s="205" t="str">
        <f t="shared" si="8"/>
        <v/>
      </c>
      <c r="AJ10" s="234" t="str">
        <f t="shared" si="9"/>
        <v/>
      </c>
      <c r="AK10" s="144" t="str">
        <f>IF(AM10="Row Not Used","",INDEX(SpaceTable[Row],(MATCH(B10,SpaceTable[Space Name Concatenated Helper],0))))</f>
        <v/>
      </c>
      <c r="AL10" s="238" t="str">
        <f>IF(AM10="Row Not Used","",INDEX(SpaceTable[HVAC Factor],(MATCH(B10,SpaceTable[Space Name Concatenated Helper],0))))</f>
        <v/>
      </c>
      <c r="AM10" s="520" t="str">
        <f t="shared" si="10"/>
        <v>Row Not Used</v>
      </c>
      <c r="AN10" s="512" t="e" cm="1">
        <f t="array" ref="AN10">INDEX(BallastFactorTable[Ballast Factor],MATCH(1,(BallastFactorTable[Fixture Class]=D10)*(BallastFactorTable[Fixture Category]=E10)*(BallastFactorTable[Fixture Sub-category]=F10),0))</f>
        <v>#N/A</v>
      </c>
      <c r="AO10" s="143" t="str">
        <f t="shared" si="23"/>
        <v/>
      </c>
      <c r="AP10" s="501" t="e" cm="1">
        <f t="array" ref="AP10">INDEX(BallastFactorTable[Wattage Range Name],MATCH(1,(BallastFactorTable[Fixture Class]=D10)*(BallastFactorTable[Fixture Category]=E10)*(BallastFactorTable[Fixture Sub-category]=F10),0))</f>
        <v>#N/A</v>
      </c>
      <c r="AQ10" s="515" t="str">
        <f t="shared" ca="1" si="11"/>
        <v>Okay</v>
      </c>
      <c r="AR10" s="512">
        <f t="shared" si="12"/>
        <v>0</v>
      </c>
      <c r="AS10" s="511" t="str">
        <f>IF(OR(Measures!AM10="Row Not Used",Measures!C10="Controls Only",Measures!C10="Decommissioning"),"",_xlfn.CONCAT(P10," ",Q10))</f>
        <v/>
      </c>
      <c r="AT10" s="264" t="str">
        <f t="shared" si="13"/>
        <v>None</v>
      </c>
      <c r="AU10" s="229">
        <f>IF(OR(AM10="Row Not Used",AM10="Controls Only"),0,INDEX(IncentiveRateTable[Incentive Rate],MATCH(AT10,IncentiveRateTable[Incentive Name],0)))</f>
        <v>0</v>
      </c>
      <c r="AV10" s="133" t="str">
        <f>IF(OR(AM10="Row Not Used",AM10="Controls Only"),"None",INDEX(IncentiveRateTable[Incentive Unit],MATCH(AT10,IncentiveRateTable[Incentive Name],0)))</f>
        <v>None</v>
      </c>
      <c r="AW10" s="578">
        <f t="shared" si="24"/>
        <v>0</v>
      </c>
      <c r="AX10" s="264" t="str">
        <f t="shared" si="14"/>
        <v>None</v>
      </c>
      <c r="AY10" s="229">
        <f>IF(OR(AM10="Row Not Used",AM10="Fixtures Only",AM10="Decommissioning"),0,INDEX(IncentiveRateTable[Incentive Rate],MATCH(AX10,IncentiveRateTable[Incentive Name],0)))</f>
        <v>0</v>
      </c>
      <c r="AZ10" s="133" t="str">
        <f>IF(OR(AM10="Row Not Used",AM10="Fixtures Only",AM10="Decommissioning"),"None",INDEX(IncentiveRateTable[Incentive Unit],MATCH(AX10,IncentiveRateTable[Incentive Name],0)))</f>
        <v>None</v>
      </c>
      <c r="BA10" s="465">
        <f t="shared" si="15"/>
        <v>0</v>
      </c>
      <c r="BB10" s="264" t="e" cm="1">
        <f t="array" ref="BB10">INDEX(BallastFactorTable[Commercial BPA Reference Number],MATCH(1,(BallastFactorTable[Fixture Class]=J10)*(BallastFactorTable[Fixture Category]=K10)*(BallastFactorTable[Fixture Sub-category]=L10),0))</f>
        <v>#N/A</v>
      </c>
      <c r="BC10" s="133" t="e" cm="1">
        <f t="array" ref="BC10">INDEX(BallastFactorTable[Industrial BPA Reference Number],MATCH(1,(BallastFactorTable[Fixture Class]=J10)*(BallastFactorTable[Fixture Category]=K10)*(BallastFactorTable[Fixture Sub-category]=L10),0))</f>
        <v>#N/A</v>
      </c>
      <c r="BD10" s="264" t="str">
        <f t="shared" si="16"/>
        <v>Sector is blank</v>
      </c>
      <c r="BE10" s="269" t="str">
        <f>IF(ISBLANK(SectorField),"Sector is blank",IF(AM10="Row Not Used","",IF(OR(R10="No Controls",ISBLANK(R10)),"",INDEX(ControlsBPARefNoTable[Reference Number],MATCH(SectorField,ControlsBPARefNoTable[Sector],0)))))</f>
        <v>Sector is blank</v>
      </c>
      <c r="BF10" s="530" t="str">
        <f t="shared" si="17"/>
        <v/>
      </c>
      <c r="BG10" s="132" t="str">
        <f t="shared" si="18"/>
        <v/>
      </c>
      <c r="BH10" s="531" t="str">
        <f t="shared" si="19"/>
        <v/>
      </c>
      <c r="BI10" s="532"/>
      <c r="BJ10" s="538" t="str">
        <f t="shared" si="25"/>
        <v/>
      </c>
      <c r="BK10" s="539" t="str">
        <f t="shared" si="26"/>
        <v/>
      </c>
      <c r="BL10" s="547" t="str">
        <f t="shared" si="27"/>
        <v/>
      </c>
    </row>
    <row r="11" spans="1:64" x14ac:dyDescent="0.3">
      <c r="A11" s="133">
        <v>4</v>
      </c>
      <c r="B11" s="294"/>
      <c r="C11" s="313"/>
      <c r="D11" s="292"/>
      <c r="E11" s="284"/>
      <c r="F11" s="284"/>
      <c r="G11" s="295"/>
      <c r="H11" s="296"/>
      <c r="I11" s="297"/>
      <c r="J11" s="292"/>
      <c r="K11" s="284"/>
      <c r="L11" s="284"/>
      <c r="M11" s="295"/>
      <c r="N11" s="296"/>
      <c r="O11" s="296"/>
      <c r="P11" s="284"/>
      <c r="Q11" s="298"/>
      <c r="R11" s="292"/>
      <c r="S11" s="299"/>
      <c r="T11" s="300"/>
      <c r="U11" s="317" t="str">
        <f t="shared" si="1"/>
        <v/>
      </c>
      <c r="V11" s="301"/>
      <c r="W11" s="136" t="str">
        <f t="shared" si="2"/>
        <v/>
      </c>
      <c r="X11" s="587" t="str">
        <f t="shared" si="20"/>
        <v/>
      </c>
      <c r="Y11" s="580"/>
      <c r="Z11" s="251" t="str">
        <f t="shared" si="3"/>
        <v/>
      </c>
      <c r="AA11" s="138" t="str">
        <f t="shared" si="28"/>
        <v/>
      </c>
      <c r="AB11" s="243" t="str">
        <f t="shared" si="21"/>
        <v/>
      </c>
      <c r="AC11" s="141" t="str">
        <f t="shared" si="4"/>
        <v/>
      </c>
      <c r="AD11" s="138" t="str">
        <f t="shared" si="22"/>
        <v/>
      </c>
      <c r="AE11" s="243" t="str">
        <f t="shared" si="5"/>
        <v/>
      </c>
      <c r="AF11" s="342" t="str">
        <f>IF(AM11="Row Not Used","",INDEX(SpaceTable[Annual Hours],(MATCH(B11,SpaceTable[Space Name Concatenated Helper],0))))</f>
        <v/>
      </c>
      <c r="AG11" s="205" t="str">
        <f t="shared" si="6"/>
        <v/>
      </c>
      <c r="AH11" s="234" t="str">
        <f t="shared" si="7"/>
        <v/>
      </c>
      <c r="AI11" s="205" t="str">
        <f t="shared" si="8"/>
        <v/>
      </c>
      <c r="AJ11" s="234" t="str">
        <f t="shared" si="9"/>
        <v/>
      </c>
      <c r="AK11" s="144" t="str">
        <f>IF(AM11="Row Not Used","",INDEX(SpaceTable[Row],(MATCH(B11,SpaceTable[Space Name Concatenated Helper],0))))</f>
        <v/>
      </c>
      <c r="AL11" s="238" t="str">
        <f>IF(AM11="Row Not Used","",INDEX(SpaceTable[HVAC Factor],(MATCH(B11,SpaceTable[Space Name Concatenated Helper],0))))</f>
        <v/>
      </c>
      <c r="AM11" s="520" t="str">
        <f t="shared" si="10"/>
        <v>Row Not Used</v>
      </c>
      <c r="AN11" s="512" t="e" cm="1">
        <f t="array" ref="AN11">INDEX(BallastFactorTable[Ballast Factor],MATCH(1,(BallastFactorTable[Fixture Class]=D11)*(BallastFactorTable[Fixture Category]=E11)*(BallastFactorTable[Fixture Sub-category]=F11),0))</f>
        <v>#N/A</v>
      </c>
      <c r="AO11" s="143" t="str">
        <f t="shared" si="23"/>
        <v/>
      </c>
      <c r="AP11" s="501" t="e" cm="1">
        <f t="array" ref="AP11">INDEX(BallastFactorTable[Wattage Range Name],MATCH(1,(BallastFactorTable[Fixture Class]=D11)*(BallastFactorTable[Fixture Category]=E11)*(BallastFactorTable[Fixture Sub-category]=F11),0))</f>
        <v>#N/A</v>
      </c>
      <c r="AQ11" s="515" t="str">
        <f t="shared" ca="1" si="11"/>
        <v>Okay</v>
      </c>
      <c r="AR11" s="512">
        <f t="shared" si="12"/>
        <v>0</v>
      </c>
      <c r="AS11" s="511" t="str">
        <f>IF(OR(Measures!AM11="Row Not Used",Measures!C11="Controls Only",Measures!C11="Decommissioning"),"",_xlfn.CONCAT(P11," ",Q11))</f>
        <v/>
      </c>
      <c r="AT11" s="264" t="str">
        <f t="shared" si="13"/>
        <v>None</v>
      </c>
      <c r="AU11" s="229">
        <f>IF(OR(AM11="Row Not Used",AM11="Controls Only"),0,INDEX(IncentiveRateTable[Incentive Rate],MATCH(AT11,IncentiveRateTable[Incentive Name],0)))</f>
        <v>0</v>
      </c>
      <c r="AV11" s="133" t="str">
        <f>IF(OR(AM11="Row Not Used",AM11="Controls Only"),"None",INDEX(IncentiveRateTable[Incentive Unit],MATCH(AT11,IncentiveRateTable[Incentive Name],0)))</f>
        <v>None</v>
      </c>
      <c r="AW11" s="578">
        <f t="shared" si="24"/>
        <v>0</v>
      </c>
      <c r="AX11" s="264" t="str">
        <f t="shared" si="14"/>
        <v>None</v>
      </c>
      <c r="AY11" s="229">
        <f>IF(OR(AM11="Row Not Used",AM11="Fixtures Only",AM11="Decommissioning"),0,INDEX(IncentiveRateTable[Incentive Rate],MATCH(AX11,IncentiveRateTable[Incentive Name],0)))</f>
        <v>0</v>
      </c>
      <c r="AZ11" s="133" t="str">
        <f>IF(OR(AM11="Row Not Used",AM11="Fixtures Only",AM11="Decommissioning"),"None",INDEX(IncentiveRateTable[Incentive Unit],MATCH(AX11,IncentiveRateTable[Incentive Name],0)))</f>
        <v>None</v>
      </c>
      <c r="BA11" s="465">
        <f t="shared" si="15"/>
        <v>0</v>
      </c>
      <c r="BB11" s="264" t="e" cm="1">
        <f t="array" ref="BB11">INDEX(BallastFactorTable[Commercial BPA Reference Number],MATCH(1,(BallastFactorTable[Fixture Class]=J11)*(BallastFactorTable[Fixture Category]=K11)*(BallastFactorTable[Fixture Sub-category]=L11),0))</f>
        <v>#N/A</v>
      </c>
      <c r="BC11" s="133" t="e" cm="1">
        <f t="array" ref="BC11">INDEX(BallastFactorTable[Industrial BPA Reference Number],MATCH(1,(BallastFactorTable[Fixture Class]=J11)*(BallastFactorTable[Fixture Category]=K11)*(BallastFactorTable[Fixture Sub-category]=L11),0))</f>
        <v>#N/A</v>
      </c>
      <c r="BD11" s="264" t="str">
        <f t="shared" si="16"/>
        <v>Sector is blank</v>
      </c>
      <c r="BE11" s="269" t="str">
        <f>IF(ISBLANK(SectorField),"Sector is blank",IF(AM11="Row Not Used","",IF(OR(R11="No Controls",ISBLANK(R11)),"",INDEX(ControlsBPARefNoTable[Reference Number],MATCH(SectorField,ControlsBPARefNoTable[Sector],0)))))</f>
        <v>Sector is blank</v>
      </c>
      <c r="BF11" s="530" t="str">
        <f t="shared" si="17"/>
        <v/>
      </c>
      <c r="BG11" s="132" t="str">
        <f t="shared" si="18"/>
        <v/>
      </c>
      <c r="BH11" s="531" t="str">
        <f t="shared" si="19"/>
        <v/>
      </c>
      <c r="BI11" s="532"/>
      <c r="BJ11" s="538" t="str">
        <f t="shared" si="25"/>
        <v/>
      </c>
      <c r="BK11" s="539" t="str">
        <f t="shared" si="26"/>
        <v/>
      </c>
      <c r="BL11" s="547" t="str">
        <f t="shared" si="27"/>
        <v/>
      </c>
    </row>
    <row r="12" spans="1:64" x14ac:dyDescent="0.3">
      <c r="A12" s="133">
        <v>5</v>
      </c>
      <c r="B12" s="294"/>
      <c r="C12" s="313"/>
      <c r="D12" s="292"/>
      <c r="E12" s="284"/>
      <c r="F12" s="284"/>
      <c r="G12" s="295"/>
      <c r="H12" s="296"/>
      <c r="I12" s="297"/>
      <c r="J12" s="292"/>
      <c r="K12" s="284"/>
      <c r="L12" s="284"/>
      <c r="M12" s="295"/>
      <c r="N12" s="296"/>
      <c r="O12" s="296"/>
      <c r="P12" s="284"/>
      <c r="Q12" s="298"/>
      <c r="R12" s="292"/>
      <c r="S12" s="299"/>
      <c r="T12" s="300"/>
      <c r="U12" s="317" t="str">
        <f t="shared" si="1"/>
        <v/>
      </c>
      <c r="V12" s="301"/>
      <c r="W12" s="136" t="str">
        <f t="shared" si="2"/>
        <v/>
      </c>
      <c r="X12" s="587" t="str">
        <f t="shared" si="20"/>
        <v/>
      </c>
      <c r="Y12" s="580"/>
      <c r="Z12" s="251" t="str">
        <f t="shared" si="3"/>
        <v/>
      </c>
      <c r="AA12" s="138" t="str">
        <f t="shared" si="28"/>
        <v/>
      </c>
      <c r="AB12" s="243" t="str">
        <f t="shared" si="21"/>
        <v/>
      </c>
      <c r="AC12" s="141" t="str">
        <f t="shared" si="4"/>
        <v/>
      </c>
      <c r="AD12" s="138" t="str">
        <f t="shared" si="22"/>
        <v/>
      </c>
      <c r="AE12" s="243" t="str">
        <f t="shared" si="5"/>
        <v/>
      </c>
      <c r="AF12" s="342" t="str">
        <f>IF(AM12="Row Not Used","",INDEX(SpaceTable[Annual Hours],(MATCH(B12,SpaceTable[Space Name Concatenated Helper],0))))</f>
        <v/>
      </c>
      <c r="AG12" s="205" t="str">
        <f t="shared" si="6"/>
        <v/>
      </c>
      <c r="AH12" s="234" t="str">
        <f t="shared" si="7"/>
        <v/>
      </c>
      <c r="AI12" s="205" t="str">
        <f t="shared" si="8"/>
        <v/>
      </c>
      <c r="AJ12" s="234" t="str">
        <f t="shared" si="9"/>
        <v/>
      </c>
      <c r="AK12" s="144" t="str">
        <f>IF(AM12="Row Not Used","",INDEX(SpaceTable[Row],(MATCH(B12,SpaceTable[Space Name Concatenated Helper],0))))</f>
        <v/>
      </c>
      <c r="AL12" s="238" t="str">
        <f>IF(AM12="Row Not Used","",INDEX(SpaceTable[HVAC Factor],(MATCH(B12,SpaceTable[Space Name Concatenated Helper],0))))</f>
        <v/>
      </c>
      <c r="AM12" s="520" t="str">
        <f t="shared" si="10"/>
        <v>Row Not Used</v>
      </c>
      <c r="AN12" s="512" t="e" cm="1">
        <f t="array" ref="AN12">INDEX(BallastFactorTable[Ballast Factor],MATCH(1,(BallastFactorTable[Fixture Class]=D12)*(BallastFactorTable[Fixture Category]=E12)*(BallastFactorTable[Fixture Sub-category]=F12),0))</f>
        <v>#N/A</v>
      </c>
      <c r="AO12" s="143" t="str">
        <f t="shared" si="23"/>
        <v/>
      </c>
      <c r="AP12" s="501" t="e" cm="1">
        <f t="array" ref="AP12">INDEX(BallastFactorTable[Wattage Range Name],MATCH(1,(BallastFactorTable[Fixture Class]=D12)*(BallastFactorTable[Fixture Category]=E12)*(BallastFactorTable[Fixture Sub-category]=F12),0))</f>
        <v>#N/A</v>
      </c>
      <c r="AQ12" s="515" t="str">
        <f t="shared" ca="1" si="11"/>
        <v>Okay</v>
      </c>
      <c r="AR12" s="512">
        <f t="shared" si="12"/>
        <v>0</v>
      </c>
      <c r="AS12" s="511" t="str">
        <f>IF(OR(Measures!AM12="Row Not Used",Measures!C12="Controls Only",Measures!C12="Decommissioning"),"",_xlfn.CONCAT(P12," ",Q12))</f>
        <v/>
      </c>
      <c r="AT12" s="264" t="str">
        <f t="shared" si="13"/>
        <v>None</v>
      </c>
      <c r="AU12" s="229">
        <f>IF(OR(AM12="Row Not Used",AM12="Controls Only"),0,INDEX(IncentiveRateTable[Incentive Rate],MATCH(AT12,IncentiveRateTable[Incentive Name],0)))</f>
        <v>0</v>
      </c>
      <c r="AV12" s="133" t="str">
        <f>IF(OR(AM12="Row Not Used",AM12="Controls Only"),"None",INDEX(IncentiveRateTable[Incentive Unit],MATCH(AT12,IncentiveRateTable[Incentive Name],0)))</f>
        <v>None</v>
      </c>
      <c r="AW12" s="578">
        <f t="shared" si="24"/>
        <v>0</v>
      </c>
      <c r="AX12" s="264" t="str">
        <f t="shared" si="14"/>
        <v>None</v>
      </c>
      <c r="AY12" s="229">
        <f>IF(OR(AM12="Row Not Used",AM12="Fixtures Only",AM12="Decommissioning"),0,INDEX(IncentiveRateTable[Incentive Rate],MATCH(AX12,IncentiveRateTable[Incentive Name],0)))</f>
        <v>0</v>
      </c>
      <c r="AZ12" s="133" t="str">
        <f>IF(OR(AM12="Row Not Used",AM12="Fixtures Only",AM12="Decommissioning"),"None",INDEX(IncentiveRateTable[Incentive Unit],MATCH(AX12,IncentiveRateTable[Incentive Name],0)))</f>
        <v>None</v>
      </c>
      <c r="BA12" s="465">
        <f t="shared" si="15"/>
        <v>0</v>
      </c>
      <c r="BB12" s="264" t="e" cm="1">
        <f t="array" ref="BB12">INDEX(BallastFactorTable[Commercial BPA Reference Number],MATCH(1,(BallastFactorTable[Fixture Class]=J12)*(BallastFactorTable[Fixture Category]=K12)*(BallastFactorTable[Fixture Sub-category]=L12),0))</f>
        <v>#N/A</v>
      </c>
      <c r="BC12" s="133" t="e" cm="1">
        <f t="array" ref="BC12">INDEX(BallastFactorTable[Industrial BPA Reference Number],MATCH(1,(BallastFactorTable[Fixture Class]=J12)*(BallastFactorTable[Fixture Category]=K12)*(BallastFactorTable[Fixture Sub-category]=L12),0))</f>
        <v>#N/A</v>
      </c>
      <c r="BD12" s="264" t="str">
        <f t="shared" si="16"/>
        <v>Sector is blank</v>
      </c>
      <c r="BE12" s="269" t="str">
        <f>IF(ISBLANK(SectorField),"Sector is blank",IF(AM12="Row Not Used","",IF(OR(R12="No Controls",ISBLANK(R12)),"",INDEX(ControlsBPARefNoTable[Reference Number],MATCH(SectorField,ControlsBPARefNoTable[Sector],0)))))</f>
        <v>Sector is blank</v>
      </c>
      <c r="BF12" s="530" t="str">
        <f t="shared" si="17"/>
        <v/>
      </c>
      <c r="BG12" s="132" t="str">
        <f t="shared" si="18"/>
        <v/>
      </c>
      <c r="BH12" s="531" t="str">
        <f t="shared" si="19"/>
        <v/>
      </c>
      <c r="BI12" s="532"/>
      <c r="BJ12" s="538" t="str">
        <f t="shared" si="25"/>
        <v/>
      </c>
      <c r="BK12" s="539" t="str">
        <f t="shared" si="26"/>
        <v/>
      </c>
      <c r="BL12" s="547" t="str">
        <f t="shared" si="27"/>
        <v/>
      </c>
    </row>
    <row r="13" spans="1:64" x14ac:dyDescent="0.3">
      <c r="A13" s="133">
        <v>6</v>
      </c>
      <c r="B13" s="294"/>
      <c r="C13" s="313"/>
      <c r="D13" s="292"/>
      <c r="E13" s="284"/>
      <c r="F13" s="284"/>
      <c r="G13" s="295"/>
      <c r="H13" s="296"/>
      <c r="I13" s="297"/>
      <c r="J13" s="292"/>
      <c r="K13" s="284"/>
      <c r="L13" s="284"/>
      <c r="M13" s="295"/>
      <c r="N13" s="296"/>
      <c r="O13" s="296"/>
      <c r="P13" s="284"/>
      <c r="Q13" s="298"/>
      <c r="R13" s="292"/>
      <c r="S13" s="299"/>
      <c r="T13" s="300"/>
      <c r="U13" s="317" t="str">
        <f t="shared" si="1"/>
        <v/>
      </c>
      <c r="V13" s="301"/>
      <c r="W13" s="136" t="str">
        <f t="shared" si="2"/>
        <v/>
      </c>
      <c r="X13" s="587" t="str">
        <f t="shared" si="20"/>
        <v/>
      </c>
      <c r="Y13" s="580"/>
      <c r="Z13" s="251" t="str">
        <f t="shared" si="3"/>
        <v/>
      </c>
      <c r="AA13" s="138" t="str">
        <f t="shared" si="28"/>
        <v/>
      </c>
      <c r="AB13" s="243" t="str">
        <f t="shared" si="21"/>
        <v/>
      </c>
      <c r="AC13" s="141" t="str">
        <f t="shared" si="4"/>
        <v/>
      </c>
      <c r="AD13" s="138" t="str">
        <f t="shared" si="22"/>
        <v/>
      </c>
      <c r="AE13" s="243" t="str">
        <f t="shared" si="5"/>
        <v/>
      </c>
      <c r="AF13" s="342" t="str">
        <f>IF(AM13="Row Not Used","",INDEX(SpaceTable[Annual Hours],(MATCH(B13,SpaceTable[Space Name Concatenated Helper],0))))</f>
        <v/>
      </c>
      <c r="AG13" s="205" t="str">
        <f t="shared" si="6"/>
        <v/>
      </c>
      <c r="AH13" s="234" t="str">
        <f t="shared" si="7"/>
        <v/>
      </c>
      <c r="AI13" s="205" t="str">
        <f t="shared" si="8"/>
        <v/>
      </c>
      <c r="AJ13" s="234" t="str">
        <f t="shared" si="9"/>
        <v/>
      </c>
      <c r="AK13" s="144" t="str">
        <f>IF(AM13="Row Not Used","",INDEX(SpaceTable[Row],(MATCH(B13,SpaceTable[Space Name Concatenated Helper],0))))</f>
        <v/>
      </c>
      <c r="AL13" s="238" t="str">
        <f>IF(AM13="Row Not Used","",INDEX(SpaceTable[HVAC Factor],(MATCH(B13,SpaceTable[Space Name Concatenated Helper],0))))</f>
        <v/>
      </c>
      <c r="AM13" s="520" t="str">
        <f t="shared" si="10"/>
        <v>Row Not Used</v>
      </c>
      <c r="AN13" s="512" t="e" cm="1">
        <f t="array" ref="AN13">INDEX(BallastFactorTable[Ballast Factor],MATCH(1,(BallastFactorTable[Fixture Class]=D13)*(BallastFactorTable[Fixture Category]=E13)*(BallastFactorTable[Fixture Sub-category]=F13),0))</f>
        <v>#N/A</v>
      </c>
      <c r="AO13" s="143" t="str">
        <f t="shared" si="23"/>
        <v/>
      </c>
      <c r="AP13" s="501" t="e" cm="1">
        <f t="array" ref="AP13">INDEX(BallastFactorTable[Wattage Range Name],MATCH(1,(BallastFactorTable[Fixture Class]=D13)*(BallastFactorTable[Fixture Category]=E13)*(BallastFactorTable[Fixture Sub-category]=F13),0))</f>
        <v>#N/A</v>
      </c>
      <c r="AQ13" s="515" t="str">
        <f t="shared" ca="1" si="11"/>
        <v>Okay</v>
      </c>
      <c r="AR13" s="512">
        <f t="shared" si="12"/>
        <v>0</v>
      </c>
      <c r="AS13" s="511" t="str">
        <f>IF(OR(Measures!AM13="Row Not Used",Measures!C13="Controls Only",Measures!C13="Decommissioning"),"",_xlfn.CONCAT(P13," ",Q13))</f>
        <v/>
      </c>
      <c r="AT13" s="264" t="str">
        <f t="shared" si="13"/>
        <v>None</v>
      </c>
      <c r="AU13" s="229">
        <f>IF(OR(AM13="Row Not Used",AM13="Controls Only"),0,INDEX(IncentiveRateTable[Incentive Rate],MATCH(AT13,IncentiveRateTable[Incentive Name],0)))</f>
        <v>0</v>
      </c>
      <c r="AV13" s="133" t="str">
        <f>IF(OR(AM13="Row Not Used",AM13="Controls Only"),"None",INDEX(IncentiveRateTable[Incentive Unit],MATCH(AT13,IncentiveRateTable[Incentive Name],0)))</f>
        <v>None</v>
      </c>
      <c r="AW13" s="578">
        <f t="shared" si="24"/>
        <v>0</v>
      </c>
      <c r="AX13" s="264" t="str">
        <f t="shared" si="14"/>
        <v>None</v>
      </c>
      <c r="AY13" s="229">
        <f>IF(OR(AM13="Row Not Used",AM13="Fixtures Only",AM13="Decommissioning"),0,INDEX(IncentiveRateTable[Incentive Rate],MATCH(AX13,IncentiveRateTable[Incentive Name],0)))</f>
        <v>0</v>
      </c>
      <c r="AZ13" s="133" t="str">
        <f>IF(OR(AM13="Row Not Used",AM13="Fixtures Only",AM13="Decommissioning"),"None",INDEX(IncentiveRateTable[Incentive Unit],MATCH(AX13,IncentiveRateTable[Incentive Name],0)))</f>
        <v>None</v>
      </c>
      <c r="BA13" s="465">
        <f t="shared" si="15"/>
        <v>0</v>
      </c>
      <c r="BB13" s="264" t="e" cm="1">
        <f t="array" ref="BB13">INDEX(BallastFactorTable[Commercial BPA Reference Number],MATCH(1,(BallastFactorTable[Fixture Class]=J13)*(BallastFactorTable[Fixture Category]=K13)*(BallastFactorTable[Fixture Sub-category]=L13),0))</f>
        <v>#N/A</v>
      </c>
      <c r="BC13" s="133" t="e" cm="1">
        <f t="array" ref="BC13">INDEX(BallastFactorTable[Industrial BPA Reference Number],MATCH(1,(BallastFactorTable[Fixture Class]=J13)*(BallastFactorTable[Fixture Category]=K13)*(BallastFactorTable[Fixture Sub-category]=L13),0))</f>
        <v>#N/A</v>
      </c>
      <c r="BD13" s="264" t="str">
        <f t="shared" si="16"/>
        <v>Sector is blank</v>
      </c>
      <c r="BE13" s="269" t="str">
        <f>IF(ISBLANK(SectorField),"Sector is blank",IF(AM13="Row Not Used","",IF(OR(R13="No Controls",ISBLANK(R13)),"",INDEX(ControlsBPARefNoTable[Reference Number],MATCH(SectorField,ControlsBPARefNoTable[Sector],0)))))</f>
        <v>Sector is blank</v>
      </c>
      <c r="BF13" s="530" t="str">
        <f t="shared" si="17"/>
        <v/>
      </c>
      <c r="BG13" s="132" t="str">
        <f t="shared" si="18"/>
        <v/>
      </c>
      <c r="BH13" s="531" t="str">
        <f t="shared" si="19"/>
        <v/>
      </c>
      <c r="BI13" s="532"/>
      <c r="BJ13" s="538" t="str">
        <f t="shared" si="25"/>
        <v/>
      </c>
      <c r="BK13" s="539" t="str">
        <f t="shared" si="26"/>
        <v/>
      </c>
      <c r="BL13" s="547" t="str">
        <f t="shared" si="27"/>
        <v/>
      </c>
    </row>
    <row r="14" spans="1:64" x14ac:dyDescent="0.3">
      <c r="A14" s="133">
        <v>7</v>
      </c>
      <c r="B14" s="294"/>
      <c r="C14" s="313"/>
      <c r="D14" s="292"/>
      <c r="E14" s="284"/>
      <c r="F14" s="284"/>
      <c r="G14" s="295"/>
      <c r="H14" s="296"/>
      <c r="I14" s="297"/>
      <c r="J14" s="292"/>
      <c r="K14" s="284"/>
      <c r="L14" s="284"/>
      <c r="M14" s="295"/>
      <c r="N14" s="296"/>
      <c r="O14" s="296"/>
      <c r="P14" s="284"/>
      <c r="Q14" s="298"/>
      <c r="R14" s="292"/>
      <c r="S14" s="299"/>
      <c r="T14" s="300"/>
      <c r="U14" s="317" t="str">
        <f t="shared" si="1"/>
        <v/>
      </c>
      <c r="V14" s="301"/>
      <c r="W14" s="136" t="str">
        <f t="shared" si="2"/>
        <v/>
      </c>
      <c r="X14" s="587" t="str">
        <f t="shared" si="20"/>
        <v/>
      </c>
      <c r="Y14" s="580"/>
      <c r="Z14" s="251" t="str">
        <f t="shared" si="3"/>
        <v/>
      </c>
      <c r="AA14" s="138" t="str">
        <f t="shared" si="28"/>
        <v/>
      </c>
      <c r="AB14" s="243" t="str">
        <f t="shared" si="21"/>
        <v/>
      </c>
      <c r="AC14" s="141" t="str">
        <f t="shared" si="4"/>
        <v/>
      </c>
      <c r="AD14" s="138" t="str">
        <f t="shared" si="22"/>
        <v/>
      </c>
      <c r="AE14" s="243" t="str">
        <f t="shared" si="5"/>
        <v/>
      </c>
      <c r="AF14" s="342" t="str">
        <f>IF(AM14="Row Not Used","",INDEX(SpaceTable[Annual Hours],(MATCH(B14,SpaceTable[Space Name Concatenated Helper],0))))</f>
        <v/>
      </c>
      <c r="AG14" s="205" t="str">
        <f t="shared" si="6"/>
        <v/>
      </c>
      <c r="AH14" s="234" t="str">
        <f t="shared" si="7"/>
        <v/>
      </c>
      <c r="AI14" s="205" t="str">
        <f t="shared" si="8"/>
        <v/>
      </c>
      <c r="AJ14" s="234" t="str">
        <f t="shared" si="9"/>
        <v/>
      </c>
      <c r="AK14" s="144" t="str">
        <f>IF(AM14="Row Not Used","",INDEX(SpaceTable[Row],(MATCH(B14,SpaceTable[Space Name Concatenated Helper],0))))</f>
        <v/>
      </c>
      <c r="AL14" s="238" t="str">
        <f>IF(AM14="Row Not Used","",INDEX(SpaceTable[HVAC Factor],(MATCH(B14,SpaceTable[Space Name Concatenated Helper],0))))</f>
        <v/>
      </c>
      <c r="AM14" s="520" t="str">
        <f t="shared" si="10"/>
        <v>Row Not Used</v>
      </c>
      <c r="AN14" s="512" t="e" cm="1">
        <f t="array" ref="AN14">INDEX(BallastFactorTable[Ballast Factor],MATCH(1,(BallastFactorTable[Fixture Class]=D14)*(BallastFactorTable[Fixture Category]=E14)*(BallastFactorTable[Fixture Sub-category]=F14),0))</f>
        <v>#N/A</v>
      </c>
      <c r="AO14" s="143" t="str">
        <f t="shared" si="23"/>
        <v/>
      </c>
      <c r="AP14" s="501" t="e" cm="1">
        <f t="array" ref="AP14">INDEX(BallastFactorTable[Wattage Range Name],MATCH(1,(BallastFactorTable[Fixture Class]=D14)*(BallastFactorTable[Fixture Category]=E14)*(BallastFactorTable[Fixture Sub-category]=F14),0))</f>
        <v>#N/A</v>
      </c>
      <c r="AQ14" s="515" t="str">
        <f t="shared" ca="1" si="11"/>
        <v>Okay</v>
      </c>
      <c r="AR14" s="512">
        <f t="shared" si="12"/>
        <v>0</v>
      </c>
      <c r="AS14" s="511" t="str">
        <f>IF(OR(Measures!AM14="Row Not Used",Measures!C14="Controls Only",Measures!C14="Decommissioning"),"",_xlfn.CONCAT(P14," ",Q14))</f>
        <v/>
      </c>
      <c r="AT14" s="264" t="str">
        <f t="shared" si="13"/>
        <v>None</v>
      </c>
      <c r="AU14" s="229">
        <f>IF(OR(AM14="Row Not Used",AM14="Controls Only"),0,INDEX(IncentiveRateTable[Incentive Rate],MATCH(AT14,IncentiveRateTable[Incentive Name],0)))</f>
        <v>0</v>
      </c>
      <c r="AV14" s="133" t="str">
        <f>IF(OR(AM14="Row Not Used",AM14="Controls Only"),"None",INDEX(IncentiveRateTable[Incentive Unit],MATCH(AT14,IncentiveRateTable[Incentive Name],0)))</f>
        <v>None</v>
      </c>
      <c r="AW14" s="578">
        <f t="shared" si="24"/>
        <v>0</v>
      </c>
      <c r="AX14" s="264" t="str">
        <f t="shared" si="14"/>
        <v>None</v>
      </c>
      <c r="AY14" s="229">
        <f>IF(OR(AM14="Row Not Used",AM14="Fixtures Only",AM14="Decommissioning"),0,INDEX(IncentiveRateTable[Incentive Rate],MATCH(AX14,IncentiveRateTable[Incentive Name],0)))</f>
        <v>0</v>
      </c>
      <c r="AZ14" s="133" t="str">
        <f>IF(OR(AM14="Row Not Used",AM14="Fixtures Only",AM14="Decommissioning"),"None",INDEX(IncentiveRateTable[Incentive Unit],MATCH(AX14,IncentiveRateTable[Incentive Name],0)))</f>
        <v>None</v>
      </c>
      <c r="BA14" s="465">
        <f t="shared" si="15"/>
        <v>0</v>
      </c>
      <c r="BB14" s="264" t="e" cm="1">
        <f t="array" ref="BB14">INDEX(BallastFactorTable[Commercial BPA Reference Number],MATCH(1,(BallastFactorTable[Fixture Class]=J14)*(BallastFactorTable[Fixture Category]=K14)*(BallastFactorTable[Fixture Sub-category]=L14),0))</f>
        <v>#N/A</v>
      </c>
      <c r="BC14" s="133" t="e" cm="1">
        <f t="array" ref="BC14">INDEX(BallastFactorTable[Industrial BPA Reference Number],MATCH(1,(BallastFactorTable[Fixture Class]=J14)*(BallastFactorTable[Fixture Category]=K14)*(BallastFactorTable[Fixture Sub-category]=L14),0))</f>
        <v>#N/A</v>
      </c>
      <c r="BD14" s="264" t="str">
        <f t="shared" si="16"/>
        <v>Sector is blank</v>
      </c>
      <c r="BE14" s="269" t="str">
        <f>IF(ISBLANK(SectorField),"Sector is blank",IF(AM14="Row Not Used","",IF(OR(R14="No Controls",ISBLANK(R14)),"",INDEX(ControlsBPARefNoTable[Reference Number],MATCH(SectorField,ControlsBPARefNoTable[Sector],0)))))</f>
        <v>Sector is blank</v>
      </c>
      <c r="BF14" s="530" t="str">
        <f t="shared" si="17"/>
        <v/>
      </c>
      <c r="BG14" s="132" t="str">
        <f t="shared" si="18"/>
        <v/>
      </c>
      <c r="BH14" s="531" t="str">
        <f t="shared" si="19"/>
        <v/>
      </c>
      <c r="BI14" s="532"/>
      <c r="BJ14" s="538" t="str">
        <f t="shared" si="25"/>
        <v/>
      </c>
      <c r="BK14" s="539" t="str">
        <f t="shared" si="26"/>
        <v/>
      </c>
      <c r="BL14" s="547" t="str">
        <f t="shared" si="27"/>
        <v/>
      </c>
    </row>
    <row r="15" spans="1:64" x14ac:dyDescent="0.3">
      <c r="A15" s="133">
        <v>8</v>
      </c>
      <c r="B15" s="294"/>
      <c r="C15" s="313"/>
      <c r="D15" s="292"/>
      <c r="E15" s="284"/>
      <c r="F15" s="284"/>
      <c r="G15" s="295"/>
      <c r="H15" s="296"/>
      <c r="I15" s="297"/>
      <c r="J15" s="292"/>
      <c r="K15" s="284"/>
      <c r="L15" s="284"/>
      <c r="M15" s="295"/>
      <c r="N15" s="296"/>
      <c r="O15" s="296"/>
      <c r="P15" s="284"/>
      <c r="Q15" s="298"/>
      <c r="R15" s="292"/>
      <c r="S15" s="299"/>
      <c r="T15" s="300"/>
      <c r="U15" s="317" t="str">
        <f t="shared" si="1"/>
        <v/>
      </c>
      <c r="V15" s="301"/>
      <c r="W15" s="136" t="str">
        <f t="shared" si="2"/>
        <v/>
      </c>
      <c r="X15" s="587" t="str">
        <f t="shared" si="20"/>
        <v/>
      </c>
      <c r="Y15" s="580"/>
      <c r="Z15" s="251" t="str">
        <f t="shared" si="3"/>
        <v/>
      </c>
      <c r="AA15" s="138" t="str">
        <f t="shared" si="28"/>
        <v/>
      </c>
      <c r="AB15" s="243" t="str">
        <f t="shared" si="21"/>
        <v/>
      </c>
      <c r="AC15" s="141" t="str">
        <f t="shared" si="4"/>
        <v/>
      </c>
      <c r="AD15" s="138" t="str">
        <f t="shared" si="22"/>
        <v/>
      </c>
      <c r="AE15" s="243" t="str">
        <f t="shared" si="5"/>
        <v/>
      </c>
      <c r="AF15" s="342" t="str">
        <f>IF(AM15="Row Not Used","",INDEX(SpaceTable[Annual Hours],(MATCH(B15,SpaceTable[Space Name Concatenated Helper],0))))</f>
        <v/>
      </c>
      <c r="AG15" s="205" t="str">
        <f t="shared" si="6"/>
        <v/>
      </c>
      <c r="AH15" s="234" t="str">
        <f t="shared" si="7"/>
        <v/>
      </c>
      <c r="AI15" s="205" t="str">
        <f t="shared" si="8"/>
        <v/>
      </c>
      <c r="AJ15" s="234" t="str">
        <f t="shared" si="9"/>
        <v/>
      </c>
      <c r="AK15" s="144" t="str">
        <f>IF(AM15="Row Not Used","",INDEX(SpaceTable[Row],(MATCH(B15,SpaceTable[Space Name Concatenated Helper],0))))</f>
        <v/>
      </c>
      <c r="AL15" s="238" t="str">
        <f>IF(AM15="Row Not Used","",INDEX(SpaceTable[HVAC Factor],(MATCH(B15,SpaceTable[Space Name Concatenated Helper],0))))</f>
        <v/>
      </c>
      <c r="AM15" s="520" t="str">
        <f t="shared" si="10"/>
        <v>Row Not Used</v>
      </c>
      <c r="AN15" s="512" t="e" cm="1">
        <f t="array" ref="AN15">INDEX(BallastFactorTable[Ballast Factor],MATCH(1,(BallastFactorTable[Fixture Class]=D15)*(BallastFactorTable[Fixture Category]=E15)*(BallastFactorTable[Fixture Sub-category]=F15),0))</f>
        <v>#N/A</v>
      </c>
      <c r="AO15" s="143" t="str">
        <f t="shared" si="23"/>
        <v/>
      </c>
      <c r="AP15" s="501" t="e" cm="1">
        <f t="array" ref="AP15">INDEX(BallastFactorTable[Wattage Range Name],MATCH(1,(BallastFactorTable[Fixture Class]=D15)*(BallastFactorTable[Fixture Category]=E15)*(BallastFactorTable[Fixture Sub-category]=F15),0))</f>
        <v>#N/A</v>
      </c>
      <c r="AQ15" s="515" t="str">
        <f t="shared" ca="1" si="11"/>
        <v>Okay</v>
      </c>
      <c r="AR15" s="512">
        <f t="shared" si="12"/>
        <v>0</v>
      </c>
      <c r="AS15" s="511" t="str">
        <f>IF(OR(Measures!AM15="Row Not Used",Measures!C15="Controls Only",Measures!C15="Decommissioning"),"",_xlfn.CONCAT(P15," ",Q15))</f>
        <v/>
      </c>
      <c r="AT15" s="264" t="str">
        <f t="shared" si="13"/>
        <v>None</v>
      </c>
      <c r="AU15" s="229">
        <f>IF(OR(AM15="Row Not Used",AM15="Controls Only"),0,INDEX(IncentiveRateTable[Incentive Rate],MATCH(AT15,IncentiveRateTable[Incentive Name],0)))</f>
        <v>0</v>
      </c>
      <c r="AV15" s="133" t="str">
        <f>IF(OR(AM15="Row Not Used",AM15="Controls Only"),"None",INDEX(IncentiveRateTable[Incentive Unit],MATCH(AT15,IncentiveRateTable[Incentive Name],0)))</f>
        <v>None</v>
      </c>
      <c r="AW15" s="578">
        <f t="shared" si="24"/>
        <v>0</v>
      </c>
      <c r="AX15" s="264" t="str">
        <f t="shared" si="14"/>
        <v>None</v>
      </c>
      <c r="AY15" s="229">
        <f>IF(OR(AM15="Row Not Used",AM15="Fixtures Only",AM15="Decommissioning"),0,INDEX(IncentiveRateTable[Incentive Rate],MATCH(AX15,IncentiveRateTable[Incentive Name],0)))</f>
        <v>0</v>
      </c>
      <c r="AZ15" s="133" t="str">
        <f>IF(OR(AM15="Row Not Used",AM15="Fixtures Only",AM15="Decommissioning"),"None",INDEX(IncentiveRateTable[Incentive Unit],MATCH(AX15,IncentiveRateTable[Incentive Name],0)))</f>
        <v>None</v>
      </c>
      <c r="BA15" s="465">
        <f t="shared" si="15"/>
        <v>0</v>
      </c>
      <c r="BB15" s="264" t="e" cm="1">
        <f t="array" ref="BB15">INDEX(BallastFactorTable[Commercial BPA Reference Number],MATCH(1,(BallastFactorTable[Fixture Class]=J15)*(BallastFactorTable[Fixture Category]=K15)*(BallastFactorTable[Fixture Sub-category]=L15),0))</f>
        <v>#N/A</v>
      </c>
      <c r="BC15" s="133" t="e" cm="1">
        <f t="array" ref="BC15">INDEX(BallastFactorTable[Industrial BPA Reference Number],MATCH(1,(BallastFactorTable[Fixture Class]=J15)*(BallastFactorTable[Fixture Category]=K15)*(BallastFactorTable[Fixture Sub-category]=L15),0))</f>
        <v>#N/A</v>
      </c>
      <c r="BD15" s="264" t="str">
        <f t="shared" si="16"/>
        <v>Sector is blank</v>
      </c>
      <c r="BE15" s="269" t="str">
        <f>IF(ISBLANK(SectorField),"Sector is blank",IF(AM15="Row Not Used","",IF(OR(R15="No Controls",ISBLANK(R15)),"",INDEX(ControlsBPARefNoTable[Reference Number],MATCH(SectorField,ControlsBPARefNoTable[Sector],0)))))</f>
        <v>Sector is blank</v>
      </c>
      <c r="BF15" s="530" t="str">
        <f t="shared" si="17"/>
        <v/>
      </c>
      <c r="BG15" s="132" t="str">
        <f t="shared" si="18"/>
        <v/>
      </c>
      <c r="BH15" s="531" t="str">
        <f t="shared" si="19"/>
        <v/>
      </c>
      <c r="BI15" s="532"/>
      <c r="BJ15" s="538" t="str">
        <f>IF(LEN(BF15)=0,"",IF(BF15=FALSE,"Missing info","Okay"))</f>
        <v/>
      </c>
      <c r="BK15" s="539" t="str">
        <f t="shared" si="26"/>
        <v/>
      </c>
      <c r="BL15" s="547" t="str">
        <f t="shared" si="27"/>
        <v/>
      </c>
    </row>
    <row r="16" spans="1:64" x14ac:dyDescent="0.3">
      <c r="A16" s="133">
        <v>9</v>
      </c>
      <c r="B16" s="294"/>
      <c r="C16" s="313"/>
      <c r="D16" s="292"/>
      <c r="E16" s="284"/>
      <c r="F16" s="284"/>
      <c r="G16" s="295"/>
      <c r="H16" s="296"/>
      <c r="I16" s="297"/>
      <c r="J16" s="292"/>
      <c r="K16" s="284"/>
      <c r="L16" s="284"/>
      <c r="M16" s="295"/>
      <c r="N16" s="296"/>
      <c r="O16" s="296"/>
      <c r="P16" s="284"/>
      <c r="Q16" s="298"/>
      <c r="R16" s="292"/>
      <c r="S16" s="299"/>
      <c r="T16" s="300"/>
      <c r="U16" s="317" t="str">
        <f t="shared" si="1"/>
        <v/>
      </c>
      <c r="V16" s="301"/>
      <c r="W16" s="136" t="str">
        <f t="shared" si="2"/>
        <v/>
      </c>
      <c r="X16" s="587" t="str">
        <f t="shared" si="20"/>
        <v/>
      </c>
      <c r="Y16" s="580"/>
      <c r="Z16" s="251" t="str">
        <f t="shared" si="3"/>
        <v/>
      </c>
      <c r="AA16" s="138" t="str">
        <f t="shared" si="28"/>
        <v/>
      </c>
      <c r="AB16" s="243" t="str">
        <f t="shared" si="21"/>
        <v/>
      </c>
      <c r="AC16" s="141" t="str">
        <f t="shared" si="4"/>
        <v/>
      </c>
      <c r="AD16" s="138" t="str">
        <f t="shared" si="22"/>
        <v/>
      </c>
      <c r="AE16" s="243" t="str">
        <f t="shared" si="5"/>
        <v/>
      </c>
      <c r="AF16" s="342" t="str">
        <f>IF(AM16="Row Not Used","",INDEX(SpaceTable[Annual Hours],(MATCH(B16,SpaceTable[Space Name Concatenated Helper],0))))</f>
        <v/>
      </c>
      <c r="AG16" s="205" t="str">
        <f t="shared" si="6"/>
        <v/>
      </c>
      <c r="AH16" s="234" t="str">
        <f t="shared" si="7"/>
        <v/>
      </c>
      <c r="AI16" s="205" t="str">
        <f t="shared" si="8"/>
        <v/>
      </c>
      <c r="AJ16" s="234" t="str">
        <f t="shared" si="9"/>
        <v/>
      </c>
      <c r="AK16" s="144" t="str">
        <f>IF(AM16="Row Not Used","",INDEX(SpaceTable[Row],(MATCH(B16,SpaceTable[Space Name Concatenated Helper],0))))</f>
        <v/>
      </c>
      <c r="AL16" s="238" t="str">
        <f>IF(AM16="Row Not Used","",INDEX(SpaceTable[HVAC Factor],(MATCH(B16,SpaceTable[Space Name Concatenated Helper],0))))</f>
        <v/>
      </c>
      <c r="AM16" s="520" t="str">
        <f t="shared" si="10"/>
        <v>Row Not Used</v>
      </c>
      <c r="AN16" s="512" t="e" cm="1">
        <f t="array" ref="AN16">INDEX(BallastFactorTable[Ballast Factor],MATCH(1,(BallastFactorTable[Fixture Class]=D16)*(BallastFactorTable[Fixture Category]=E16)*(BallastFactorTable[Fixture Sub-category]=F16),0))</f>
        <v>#N/A</v>
      </c>
      <c r="AO16" s="143" t="str">
        <f t="shared" si="23"/>
        <v/>
      </c>
      <c r="AP16" s="501" t="e" cm="1">
        <f t="array" ref="AP16">INDEX(BallastFactorTable[Wattage Range Name],MATCH(1,(BallastFactorTable[Fixture Class]=D16)*(BallastFactorTable[Fixture Category]=E16)*(BallastFactorTable[Fixture Sub-category]=F16),0))</f>
        <v>#N/A</v>
      </c>
      <c r="AQ16" s="515" t="str">
        <f t="shared" ca="1" si="11"/>
        <v>Okay</v>
      </c>
      <c r="AR16" s="512">
        <f t="shared" si="12"/>
        <v>0</v>
      </c>
      <c r="AS16" s="511" t="str">
        <f>IF(OR(Measures!AM16="Row Not Used",Measures!C16="Controls Only",Measures!C16="Decommissioning"),"",_xlfn.CONCAT(P16," ",Q16))</f>
        <v/>
      </c>
      <c r="AT16" s="264" t="str">
        <f t="shared" si="13"/>
        <v>None</v>
      </c>
      <c r="AU16" s="229">
        <f>IF(OR(AM16="Row Not Used",AM16="Controls Only"),0,INDEX(IncentiveRateTable[Incentive Rate],MATCH(AT16,IncentiveRateTable[Incentive Name],0)))</f>
        <v>0</v>
      </c>
      <c r="AV16" s="133" t="str">
        <f>IF(OR(AM16="Row Not Used",AM16="Controls Only"),"None",INDEX(IncentiveRateTable[Incentive Unit],MATCH(AT16,IncentiveRateTable[Incentive Name],0)))</f>
        <v>None</v>
      </c>
      <c r="AW16" s="578">
        <f t="shared" si="24"/>
        <v>0</v>
      </c>
      <c r="AX16" s="264" t="str">
        <f t="shared" si="14"/>
        <v>None</v>
      </c>
      <c r="AY16" s="229">
        <f>IF(OR(AM16="Row Not Used",AM16="Fixtures Only",AM16="Decommissioning"),0,INDEX(IncentiveRateTable[Incentive Rate],MATCH(AX16,IncentiveRateTable[Incentive Name],0)))</f>
        <v>0</v>
      </c>
      <c r="AZ16" s="133" t="str">
        <f>IF(OR(AM16="Row Not Used",AM16="Fixtures Only",AM16="Decommissioning"),"None",INDEX(IncentiveRateTable[Incentive Unit],MATCH(AX16,IncentiveRateTable[Incentive Name],0)))</f>
        <v>None</v>
      </c>
      <c r="BA16" s="465">
        <f t="shared" si="15"/>
        <v>0</v>
      </c>
      <c r="BB16" s="264" t="e" cm="1">
        <f t="array" ref="BB16">INDEX(BallastFactorTable[Commercial BPA Reference Number],MATCH(1,(BallastFactorTable[Fixture Class]=J16)*(BallastFactorTable[Fixture Category]=K16)*(BallastFactorTable[Fixture Sub-category]=L16),0))</f>
        <v>#N/A</v>
      </c>
      <c r="BC16" s="133" t="e" cm="1">
        <f t="array" ref="BC16">INDEX(BallastFactorTable[Industrial BPA Reference Number],MATCH(1,(BallastFactorTable[Fixture Class]=J16)*(BallastFactorTable[Fixture Category]=K16)*(BallastFactorTable[Fixture Sub-category]=L16),0))</f>
        <v>#N/A</v>
      </c>
      <c r="BD16" s="264" t="str">
        <f t="shared" si="16"/>
        <v>Sector is blank</v>
      </c>
      <c r="BE16" s="269" t="str">
        <f>IF(ISBLANK(SectorField),"Sector is blank",IF(AM16="Row Not Used","",IF(OR(R16="No Controls",ISBLANK(R16)),"",INDEX(ControlsBPARefNoTable[Reference Number],MATCH(SectorField,ControlsBPARefNoTable[Sector],0)))))</f>
        <v>Sector is blank</v>
      </c>
      <c r="BF16" s="530" t="str">
        <f t="shared" si="17"/>
        <v/>
      </c>
      <c r="BG16" s="132" t="str">
        <f t="shared" si="18"/>
        <v/>
      </c>
      <c r="BH16" s="531" t="str">
        <f t="shared" si="19"/>
        <v/>
      </c>
      <c r="BI16" s="532"/>
      <c r="BJ16" s="538" t="str">
        <f t="shared" si="25"/>
        <v/>
      </c>
      <c r="BK16" s="539" t="str">
        <f t="shared" si="26"/>
        <v/>
      </c>
      <c r="BL16" s="547" t="str">
        <f t="shared" si="27"/>
        <v/>
      </c>
    </row>
    <row r="17" spans="1:64" x14ac:dyDescent="0.3">
      <c r="A17" s="133">
        <v>10</v>
      </c>
      <c r="B17" s="294"/>
      <c r="C17" s="313"/>
      <c r="D17" s="292"/>
      <c r="E17" s="284"/>
      <c r="F17" s="284"/>
      <c r="G17" s="295"/>
      <c r="H17" s="296"/>
      <c r="I17" s="297"/>
      <c r="J17" s="292"/>
      <c r="K17" s="284"/>
      <c r="L17" s="284"/>
      <c r="M17" s="295"/>
      <c r="N17" s="296"/>
      <c r="O17" s="296"/>
      <c r="P17" s="284"/>
      <c r="Q17" s="298"/>
      <c r="R17" s="292"/>
      <c r="S17" s="299"/>
      <c r="T17" s="300"/>
      <c r="U17" s="317" t="str">
        <f t="shared" si="1"/>
        <v/>
      </c>
      <c r="V17" s="301"/>
      <c r="W17" s="136" t="str">
        <f t="shared" si="2"/>
        <v/>
      </c>
      <c r="X17" s="587" t="str">
        <f t="shared" si="20"/>
        <v/>
      </c>
      <c r="Y17" s="580"/>
      <c r="Z17" s="251" t="str">
        <f t="shared" si="3"/>
        <v/>
      </c>
      <c r="AA17" s="138" t="str">
        <f t="shared" si="28"/>
        <v/>
      </c>
      <c r="AB17" s="243" t="str">
        <f t="shared" si="21"/>
        <v/>
      </c>
      <c r="AC17" s="141" t="str">
        <f t="shared" si="4"/>
        <v/>
      </c>
      <c r="AD17" s="138" t="str">
        <f t="shared" si="22"/>
        <v/>
      </c>
      <c r="AE17" s="243" t="str">
        <f t="shared" si="5"/>
        <v/>
      </c>
      <c r="AF17" s="342" t="str">
        <f>IF(AM17="Row Not Used","",INDEX(SpaceTable[Annual Hours],(MATCH(B17,SpaceTable[Space Name Concatenated Helper],0))))</f>
        <v/>
      </c>
      <c r="AG17" s="205" t="str">
        <f t="shared" si="6"/>
        <v/>
      </c>
      <c r="AH17" s="234" t="str">
        <f t="shared" si="7"/>
        <v/>
      </c>
      <c r="AI17" s="205" t="str">
        <f t="shared" si="8"/>
        <v/>
      </c>
      <c r="AJ17" s="234" t="str">
        <f t="shared" si="9"/>
        <v/>
      </c>
      <c r="AK17" s="144" t="str">
        <f>IF(AM17="Row Not Used","",INDEX(SpaceTable[Row],(MATCH(B17,SpaceTable[Space Name Concatenated Helper],0))))</f>
        <v/>
      </c>
      <c r="AL17" s="238" t="str">
        <f>IF(AM17="Row Not Used","",INDEX(SpaceTable[HVAC Factor],(MATCH(B17,SpaceTable[Space Name Concatenated Helper],0))))</f>
        <v/>
      </c>
      <c r="AM17" s="520" t="str">
        <f t="shared" si="10"/>
        <v>Row Not Used</v>
      </c>
      <c r="AN17" s="512" t="e" cm="1">
        <f t="array" ref="AN17">INDEX(BallastFactorTable[Ballast Factor],MATCH(1,(BallastFactorTable[Fixture Class]=D17)*(BallastFactorTable[Fixture Category]=E17)*(BallastFactorTable[Fixture Sub-category]=F17),0))</f>
        <v>#N/A</v>
      </c>
      <c r="AO17" s="143" t="str">
        <f t="shared" si="23"/>
        <v/>
      </c>
      <c r="AP17" s="501" t="e" cm="1">
        <f t="array" ref="AP17">INDEX(BallastFactorTable[Wattage Range Name],MATCH(1,(BallastFactorTable[Fixture Class]=D17)*(BallastFactorTable[Fixture Category]=E17)*(BallastFactorTable[Fixture Sub-category]=F17),0))</f>
        <v>#N/A</v>
      </c>
      <c r="AQ17" s="515" t="str">
        <f t="shared" ca="1" si="11"/>
        <v>Okay</v>
      </c>
      <c r="AR17" s="512">
        <f t="shared" si="12"/>
        <v>0</v>
      </c>
      <c r="AS17" s="511" t="str">
        <f>IF(OR(Measures!AM17="Row Not Used",Measures!C17="Controls Only",Measures!C17="Decommissioning"),"",_xlfn.CONCAT(P17," ",Q17))</f>
        <v/>
      </c>
      <c r="AT17" s="264" t="str">
        <f t="shared" si="13"/>
        <v>None</v>
      </c>
      <c r="AU17" s="229">
        <f>IF(OR(AM17="Row Not Used",AM17="Controls Only"),0,INDEX(IncentiveRateTable[Incentive Rate],MATCH(AT17,IncentiveRateTable[Incentive Name],0)))</f>
        <v>0</v>
      </c>
      <c r="AV17" s="133" t="str">
        <f>IF(OR(AM17="Row Not Used",AM17="Controls Only"),"None",INDEX(IncentiveRateTable[Incentive Unit],MATCH(AT17,IncentiveRateTable[Incentive Name],0)))</f>
        <v>None</v>
      </c>
      <c r="AW17" s="578">
        <f t="shared" si="24"/>
        <v>0</v>
      </c>
      <c r="AX17" s="264" t="str">
        <f t="shared" si="14"/>
        <v>None</v>
      </c>
      <c r="AY17" s="229">
        <f>IF(OR(AM17="Row Not Used",AM17="Fixtures Only",AM17="Decommissioning"),0,INDEX(IncentiveRateTable[Incentive Rate],MATCH(AX17,IncentiveRateTable[Incentive Name],0)))</f>
        <v>0</v>
      </c>
      <c r="AZ17" s="133" t="str">
        <f>IF(OR(AM17="Row Not Used",AM17="Fixtures Only",AM17="Decommissioning"),"None",INDEX(IncentiveRateTable[Incentive Unit],MATCH(AX17,IncentiveRateTable[Incentive Name],0)))</f>
        <v>None</v>
      </c>
      <c r="BA17" s="465">
        <f t="shared" si="15"/>
        <v>0</v>
      </c>
      <c r="BB17" s="264" t="e" cm="1">
        <f t="array" ref="BB17">INDEX(BallastFactorTable[Commercial BPA Reference Number],MATCH(1,(BallastFactorTable[Fixture Class]=J17)*(BallastFactorTable[Fixture Category]=K17)*(BallastFactorTable[Fixture Sub-category]=L17),0))</f>
        <v>#N/A</v>
      </c>
      <c r="BC17" s="133" t="e" cm="1">
        <f t="array" ref="BC17">INDEX(BallastFactorTable[Industrial BPA Reference Number],MATCH(1,(BallastFactorTable[Fixture Class]=J17)*(BallastFactorTable[Fixture Category]=K17)*(BallastFactorTable[Fixture Sub-category]=L17),0))</f>
        <v>#N/A</v>
      </c>
      <c r="BD17" s="264" t="str">
        <f t="shared" si="16"/>
        <v>Sector is blank</v>
      </c>
      <c r="BE17" s="269" t="str">
        <f>IF(ISBLANK(SectorField),"Sector is blank",IF(AM17="Row Not Used","",IF(OR(R17="No Controls",ISBLANK(R17)),"",INDEX(ControlsBPARefNoTable[Reference Number],MATCH(SectorField,ControlsBPARefNoTable[Sector],0)))))</f>
        <v>Sector is blank</v>
      </c>
      <c r="BF17" s="530" t="str">
        <f t="shared" si="17"/>
        <v/>
      </c>
      <c r="BG17" s="132" t="str">
        <f t="shared" si="18"/>
        <v/>
      </c>
      <c r="BH17" s="531" t="str">
        <f t="shared" si="19"/>
        <v/>
      </c>
      <c r="BI17" s="532"/>
      <c r="BJ17" s="538" t="str">
        <f t="shared" si="25"/>
        <v/>
      </c>
      <c r="BK17" s="539" t="str">
        <f t="shared" si="26"/>
        <v/>
      </c>
      <c r="BL17" s="547" t="str">
        <f t="shared" si="27"/>
        <v/>
      </c>
    </row>
    <row r="18" spans="1:64" x14ac:dyDescent="0.3">
      <c r="A18" s="133">
        <v>11</v>
      </c>
      <c r="B18" s="294"/>
      <c r="C18" s="313"/>
      <c r="D18" s="292"/>
      <c r="E18" s="284"/>
      <c r="F18" s="284"/>
      <c r="G18" s="295"/>
      <c r="H18" s="296"/>
      <c r="I18" s="297"/>
      <c r="J18" s="292"/>
      <c r="K18" s="284"/>
      <c r="L18" s="284"/>
      <c r="M18" s="295"/>
      <c r="N18" s="296"/>
      <c r="O18" s="296"/>
      <c r="P18" s="284"/>
      <c r="Q18" s="298"/>
      <c r="R18" s="292"/>
      <c r="S18" s="299"/>
      <c r="T18" s="300"/>
      <c r="U18" s="317" t="str">
        <f t="shared" si="1"/>
        <v/>
      </c>
      <c r="V18" s="301"/>
      <c r="W18" s="136" t="str">
        <f t="shared" si="2"/>
        <v/>
      </c>
      <c r="X18" s="587" t="str">
        <f t="shared" si="20"/>
        <v/>
      </c>
      <c r="Y18" s="580"/>
      <c r="Z18" s="251" t="str">
        <f t="shared" si="3"/>
        <v/>
      </c>
      <c r="AA18" s="138" t="str">
        <f t="shared" si="28"/>
        <v/>
      </c>
      <c r="AB18" s="243" t="str">
        <f t="shared" si="21"/>
        <v/>
      </c>
      <c r="AC18" s="141" t="str">
        <f t="shared" si="4"/>
        <v/>
      </c>
      <c r="AD18" s="138" t="str">
        <f t="shared" si="22"/>
        <v/>
      </c>
      <c r="AE18" s="243" t="str">
        <f t="shared" si="5"/>
        <v/>
      </c>
      <c r="AF18" s="342" t="str">
        <f>IF(AM18="Row Not Used","",INDEX(SpaceTable[Annual Hours],(MATCH(B18,SpaceTable[Space Name Concatenated Helper],0))))</f>
        <v/>
      </c>
      <c r="AG18" s="205" t="str">
        <f t="shared" si="6"/>
        <v/>
      </c>
      <c r="AH18" s="234" t="str">
        <f t="shared" si="7"/>
        <v/>
      </c>
      <c r="AI18" s="205" t="str">
        <f t="shared" si="8"/>
        <v/>
      </c>
      <c r="AJ18" s="234" t="str">
        <f t="shared" si="9"/>
        <v/>
      </c>
      <c r="AK18" s="144" t="str">
        <f>IF(AM18="Row Not Used","",INDEX(SpaceTable[Row],(MATCH(B18,SpaceTable[Space Name Concatenated Helper],0))))</f>
        <v/>
      </c>
      <c r="AL18" s="238" t="str">
        <f>IF(AM18="Row Not Used","",INDEX(SpaceTable[HVAC Factor],(MATCH(B18,SpaceTable[Space Name Concatenated Helper],0))))</f>
        <v/>
      </c>
      <c r="AM18" s="520" t="str">
        <f t="shared" si="10"/>
        <v>Row Not Used</v>
      </c>
      <c r="AN18" s="512" t="e" cm="1">
        <f t="array" ref="AN18">INDEX(BallastFactorTable[Ballast Factor],MATCH(1,(BallastFactorTable[Fixture Class]=D18)*(BallastFactorTable[Fixture Category]=E18)*(BallastFactorTable[Fixture Sub-category]=F18),0))</f>
        <v>#N/A</v>
      </c>
      <c r="AO18" s="143" t="str">
        <f t="shared" si="23"/>
        <v/>
      </c>
      <c r="AP18" s="501" t="e" cm="1">
        <f t="array" ref="AP18">INDEX(BallastFactorTable[Wattage Range Name],MATCH(1,(BallastFactorTable[Fixture Class]=D18)*(BallastFactorTable[Fixture Category]=E18)*(BallastFactorTable[Fixture Sub-category]=F18),0))</f>
        <v>#N/A</v>
      </c>
      <c r="AQ18" s="515" t="str">
        <f t="shared" ca="1" si="11"/>
        <v>Okay</v>
      </c>
      <c r="AR18" s="512">
        <f t="shared" si="12"/>
        <v>0</v>
      </c>
      <c r="AS18" s="511" t="str">
        <f>IF(OR(Measures!AM18="Row Not Used",Measures!C18="Controls Only",Measures!C18="Decommissioning"),"",_xlfn.CONCAT(P18," ",Q18))</f>
        <v/>
      </c>
      <c r="AT18" s="264" t="str">
        <f t="shared" si="13"/>
        <v>None</v>
      </c>
      <c r="AU18" s="229">
        <f>IF(OR(AM18="Row Not Used",AM18="Controls Only"),0,INDEX(IncentiveRateTable[Incentive Rate],MATCH(AT18,IncentiveRateTable[Incentive Name],0)))</f>
        <v>0</v>
      </c>
      <c r="AV18" s="133" t="str">
        <f>IF(OR(AM18="Row Not Used",AM18="Controls Only"),"None",INDEX(IncentiveRateTable[Incentive Unit],MATCH(AT18,IncentiveRateTable[Incentive Name],0)))</f>
        <v>None</v>
      </c>
      <c r="AW18" s="578">
        <f t="shared" si="24"/>
        <v>0</v>
      </c>
      <c r="AX18" s="264" t="str">
        <f t="shared" si="14"/>
        <v>None</v>
      </c>
      <c r="AY18" s="229">
        <f>IF(OR(AM18="Row Not Used",AM18="Fixtures Only",AM18="Decommissioning"),0,INDEX(IncentiveRateTable[Incentive Rate],MATCH(AX18,IncentiveRateTable[Incentive Name],0)))</f>
        <v>0</v>
      </c>
      <c r="AZ18" s="133" t="str">
        <f>IF(OR(AM18="Row Not Used",AM18="Fixtures Only",AM18="Decommissioning"),"None",INDEX(IncentiveRateTable[Incentive Unit],MATCH(AX18,IncentiveRateTable[Incentive Name],0)))</f>
        <v>None</v>
      </c>
      <c r="BA18" s="465">
        <f t="shared" si="15"/>
        <v>0</v>
      </c>
      <c r="BB18" s="264" t="e" cm="1">
        <f t="array" ref="BB18">INDEX(BallastFactorTable[Commercial BPA Reference Number],MATCH(1,(BallastFactorTable[Fixture Class]=J18)*(BallastFactorTable[Fixture Category]=K18)*(BallastFactorTable[Fixture Sub-category]=L18),0))</f>
        <v>#N/A</v>
      </c>
      <c r="BC18" s="133" t="e" cm="1">
        <f t="array" ref="BC18">INDEX(BallastFactorTable[Industrial BPA Reference Number],MATCH(1,(BallastFactorTable[Fixture Class]=J18)*(BallastFactorTable[Fixture Category]=K18)*(BallastFactorTable[Fixture Sub-category]=L18),0))</f>
        <v>#N/A</v>
      </c>
      <c r="BD18" s="264" t="str">
        <f t="shared" si="16"/>
        <v>Sector is blank</v>
      </c>
      <c r="BE18" s="269" t="str">
        <f>IF(ISBLANK(SectorField),"Sector is blank",IF(AM18="Row Not Used","",IF(OR(R18="No Controls",ISBLANK(R18)),"",INDEX(ControlsBPARefNoTable[Reference Number],MATCH(SectorField,ControlsBPARefNoTable[Sector],0)))))</f>
        <v>Sector is blank</v>
      </c>
      <c r="BF18" s="530" t="str">
        <f t="shared" si="17"/>
        <v/>
      </c>
      <c r="BG18" s="132" t="str">
        <f t="shared" si="18"/>
        <v/>
      </c>
      <c r="BH18" s="531" t="str">
        <f t="shared" si="19"/>
        <v/>
      </c>
      <c r="BI18" s="532"/>
      <c r="BJ18" s="538" t="str">
        <f t="shared" si="25"/>
        <v/>
      </c>
      <c r="BK18" s="539" t="str">
        <f t="shared" si="26"/>
        <v/>
      </c>
      <c r="BL18" s="547" t="str">
        <f t="shared" si="27"/>
        <v/>
      </c>
    </row>
    <row r="19" spans="1:64" x14ac:dyDescent="0.3">
      <c r="A19" s="133">
        <v>12</v>
      </c>
      <c r="B19" s="294"/>
      <c r="C19" s="313"/>
      <c r="D19" s="292"/>
      <c r="E19" s="284"/>
      <c r="F19" s="284"/>
      <c r="G19" s="295"/>
      <c r="H19" s="296"/>
      <c r="I19" s="297"/>
      <c r="J19" s="292"/>
      <c r="K19" s="284"/>
      <c r="L19" s="284"/>
      <c r="M19" s="295"/>
      <c r="N19" s="296"/>
      <c r="O19" s="296"/>
      <c r="P19" s="284"/>
      <c r="Q19" s="298"/>
      <c r="R19" s="292"/>
      <c r="S19" s="299"/>
      <c r="T19" s="300"/>
      <c r="U19" s="317" t="str">
        <f t="shared" si="1"/>
        <v/>
      </c>
      <c r="V19" s="301"/>
      <c r="W19" s="136" t="str">
        <f t="shared" si="2"/>
        <v/>
      </c>
      <c r="X19" s="587" t="str">
        <f t="shared" si="20"/>
        <v/>
      </c>
      <c r="Y19" s="580"/>
      <c r="Z19" s="251" t="str">
        <f t="shared" si="3"/>
        <v/>
      </c>
      <c r="AA19" s="138" t="str">
        <f t="shared" si="28"/>
        <v/>
      </c>
      <c r="AB19" s="243" t="str">
        <f t="shared" si="21"/>
        <v/>
      </c>
      <c r="AC19" s="141" t="str">
        <f t="shared" si="4"/>
        <v/>
      </c>
      <c r="AD19" s="138" t="str">
        <f t="shared" si="22"/>
        <v/>
      </c>
      <c r="AE19" s="243" t="str">
        <f t="shared" si="5"/>
        <v/>
      </c>
      <c r="AF19" s="342" t="str">
        <f>IF(AM19="Row Not Used","",INDEX(SpaceTable[Annual Hours],(MATCH(B19,SpaceTable[Space Name Concatenated Helper],0))))</f>
        <v/>
      </c>
      <c r="AG19" s="205" t="str">
        <f t="shared" si="6"/>
        <v/>
      </c>
      <c r="AH19" s="234" t="str">
        <f t="shared" si="7"/>
        <v/>
      </c>
      <c r="AI19" s="205" t="str">
        <f t="shared" si="8"/>
        <v/>
      </c>
      <c r="AJ19" s="234" t="str">
        <f t="shared" si="9"/>
        <v/>
      </c>
      <c r="AK19" s="144" t="str">
        <f>IF(AM19="Row Not Used","",INDEX(SpaceTable[Row],(MATCH(B19,SpaceTable[Space Name Concatenated Helper],0))))</f>
        <v/>
      </c>
      <c r="AL19" s="238" t="str">
        <f>IF(AM19="Row Not Used","",INDEX(SpaceTable[HVAC Factor],(MATCH(B19,SpaceTable[Space Name Concatenated Helper],0))))</f>
        <v/>
      </c>
      <c r="AM19" s="520" t="str">
        <f t="shared" si="10"/>
        <v>Row Not Used</v>
      </c>
      <c r="AN19" s="512" t="e" cm="1">
        <f t="array" ref="AN19">INDEX(BallastFactorTable[Ballast Factor],MATCH(1,(BallastFactorTable[Fixture Class]=D19)*(BallastFactorTable[Fixture Category]=E19)*(BallastFactorTable[Fixture Sub-category]=F19),0))</f>
        <v>#N/A</v>
      </c>
      <c r="AO19" s="143" t="str">
        <f t="shared" si="23"/>
        <v/>
      </c>
      <c r="AP19" s="501" t="e" cm="1">
        <f t="array" ref="AP19">INDEX(BallastFactorTable[Wattage Range Name],MATCH(1,(BallastFactorTable[Fixture Class]=D19)*(BallastFactorTable[Fixture Category]=E19)*(BallastFactorTable[Fixture Sub-category]=F19),0))</f>
        <v>#N/A</v>
      </c>
      <c r="AQ19" s="515" t="str">
        <f t="shared" ca="1" si="11"/>
        <v>Okay</v>
      </c>
      <c r="AR19" s="512">
        <f t="shared" si="12"/>
        <v>0</v>
      </c>
      <c r="AS19" s="511" t="str">
        <f>IF(OR(Measures!AM19="Row Not Used",Measures!C19="Controls Only",Measures!C19="Decommissioning"),"",_xlfn.CONCAT(P19," ",Q19))</f>
        <v/>
      </c>
      <c r="AT19" s="264" t="str">
        <f t="shared" si="13"/>
        <v>None</v>
      </c>
      <c r="AU19" s="229">
        <f>IF(OR(AM19="Row Not Used",AM19="Controls Only"),0,INDEX(IncentiveRateTable[Incentive Rate],MATCH(AT19,IncentiveRateTable[Incentive Name],0)))</f>
        <v>0</v>
      </c>
      <c r="AV19" s="133" t="str">
        <f>IF(OR(AM19="Row Not Used",AM19="Controls Only"),"None",INDEX(IncentiveRateTable[Incentive Unit],MATCH(AT19,IncentiveRateTable[Incentive Name],0)))</f>
        <v>None</v>
      </c>
      <c r="AW19" s="578">
        <f t="shared" si="24"/>
        <v>0</v>
      </c>
      <c r="AX19" s="264" t="str">
        <f t="shared" si="14"/>
        <v>None</v>
      </c>
      <c r="AY19" s="229">
        <f>IF(OR(AM19="Row Not Used",AM19="Fixtures Only",AM19="Decommissioning"),0,INDEX(IncentiveRateTable[Incentive Rate],MATCH(AX19,IncentiveRateTable[Incentive Name],0)))</f>
        <v>0</v>
      </c>
      <c r="AZ19" s="133" t="str">
        <f>IF(OR(AM19="Row Not Used",AM19="Fixtures Only",AM19="Decommissioning"),"None",INDEX(IncentiveRateTable[Incentive Unit],MATCH(AX19,IncentiveRateTable[Incentive Name],0)))</f>
        <v>None</v>
      </c>
      <c r="BA19" s="465">
        <f t="shared" si="15"/>
        <v>0</v>
      </c>
      <c r="BB19" s="264" t="e" cm="1">
        <f t="array" ref="BB19">INDEX(BallastFactorTable[Commercial BPA Reference Number],MATCH(1,(BallastFactorTable[Fixture Class]=J19)*(BallastFactorTable[Fixture Category]=K19)*(BallastFactorTable[Fixture Sub-category]=L19),0))</f>
        <v>#N/A</v>
      </c>
      <c r="BC19" s="133" t="e" cm="1">
        <f t="array" ref="BC19">INDEX(BallastFactorTable[Industrial BPA Reference Number],MATCH(1,(BallastFactorTable[Fixture Class]=J19)*(BallastFactorTable[Fixture Category]=K19)*(BallastFactorTable[Fixture Sub-category]=L19),0))</f>
        <v>#N/A</v>
      </c>
      <c r="BD19" s="264" t="str">
        <f t="shared" si="16"/>
        <v>Sector is blank</v>
      </c>
      <c r="BE19" s="269" t="str">
        <f>IF(ISBLANK(SectorField),"Sector is blank",IF(AM19="Row Not Used","",IF(OR(R19="No Controls",ISBLANK(R19)),"",INDEX(ControlsBPARefNoTable[Reference Number],MATCH(SectorField,ControlsBPARefNoTable[Sector],0)))))</f>
        <v>Sector is blank</v>
      </c>
      <c r="BF19" s="530" t="str">
        <f t="shared" si="17"/>
        <v/>
      </c>
      <c r="BG19" s="132" t="str">
        <f t="shared" si="18"/>
        <v/>
      </c>
      <c r="BH19" s="531" t="str">
        <f t="shared" si="19"/>
        <v/>
      </c>
      <c r="BI19" s="532"/>
      <c r="BJ19" s="538" t="str">
        <f t="shared" si="25"/>
        <v/>
      </c>
      <c r="BK19" s="539" t="str">
        <f t="shared" si="26"/>
        <v/>
      </c>
      <c r="BL19" s="547" t="str">
        <f t="shared" si="27"/>
        <v/>
      </c>
    </row>
    <row r="20" spans="1:64" x14ac:dyDescent="0.3">
      <c r="A20" s="133">
        <v>13</v>
      </c>
      <c r="B20" s="294"/>
      <c r="C20" s="313"/>
      <c r="D20" s="292"/>
      <c r="E20" s="284"/>
      <c r="F20" s="284"/>
      <c r="G20" s="295"/>
      <c r="H20" s="296"/>
      <c r="I20" s="297"/>
      <c r="J20" s="292"/>
      <c r="K20" s="284"/>
      <c r="L20" s="284"/>
      <c r="M20" s="295"/>
      <c r="N20" s="296"/>
      <c r="O20" s="296"/>
      <c r="P20" s="284"/>
      <c r="Q20" s="298"/>
      <c r="R20" s="292"/>
      <c r="S20" s="299"/>
      <c r="T20" s="300"/>
      <c r="U20" s="317" t="str">
        <f t="shared" si="1"/>
        <v/>
      </c>
      <c r="V20" s="301"/>
      <c r="W20" s="136" t="str">
        <f t="shared" si="2"/>
        <v/>
      </c>
      <c r="X20" s="587" t="str">
        <f t="shared" si="20"/>
        <v/>
      </c>
      <c r="Y20" s="580"/>
      <c r="Z20" s="251" t="str">
        <f t="shared" si="3"/>
        <v/>
      </c>
      <c r="AA20" s="138" t="str">
        <f t="shared" si="28"/>
        <v/>
      </c>
      <c r="AB20" s="243" t="str">
        <f t="shared" si="21"/>
        <v/>
      </c>
      <c r="AC20" s="141" t="str">
        <f t="shared" si="4"/>
        <v/>
      </c>
      <c r="AD20" s="138" t="str">
        <f t="shared" si="22"/>
        <v/>
      </c>
      <c r="AE20" s="243" t="str">
        <f t="shared" si="5"/>
        <v/>
      </c>
      <c r="AF20" s="342" t="str">
        <f>IF(AM20="Row Not Used","",INDEX(SpaceTable[Annual Hours],(MATCH(B20,SpaceTable[Space Name Concatenated Helper],0))))</f>
        <v/>
      </c>
      <c r="AG20" s="205" t="str">
        <f t="shared" si="6"/>
        <v/>
      </c>
      <c r="AH20" s="234" t="str">
        <f t="shared" si="7"/>
        <v/>
      </c>
      <c r="AI20" s="205" t="str">
        <f t="shared" si="8"/>
        <v/>
      </c>
      <c r="AJ20" s="234" t="str">
        <f t="shared" si="9"/>
        <v/>
      </c>
      <c r="AK20" s="144" t="str">
        <f>IF(AM20="Row Not Used","",INDEX(SpaceTable[Row],(MATCH(B20,SpaceTable[Space Name Concatenated Helper],0))))</f>
        <v/>
      </c>
      <c r="AL20" s="238" t="str">
        <f>IF(AM20="Row Not Used","",INDEX(SpaceTable[HVAC Factor],(MATCH(B20,SpaceTable[Space Name Concatenated Helper],0))))</f>
        <v/>
      </c>
      <c r="AM20" s="520" t="str">
        <f t="shared" si="10"/>
        <v>Row Not Used</v>
      </c>
      <c r="AN20" s="512" t="e" cm="1">
        <f t="array" ref="AN20">INDEX(BallastFactorTable[Ballast Factor],MATCH(1,(BallastFactorTable[Fixture Class]=D20)*(BallastFactorTable[Fixture Category]=E20)*(BallastFactorTable[Fixture Sub-category]=F20),0))</f>
        <v>#N/A</v>
      </c>
      <c r="AO20" s="143" t="str">
        <f t="shared" si="23"/>
        <v/>
      </c>
      <c r="AP20" s="501" t="e" cm="1">
        <f t="array" ref="AP20">INDEX(BallastFactorTable[Wattage Range Name],MATCH(1,(BallastFactorTable[Fixture Class]=D20)*(BallastFactorTable[Fixture Category]=E20)*(BallastFactorTable[Fixture Sub-category]=F20),0))</f>
        <v>#N/A</v>
      </c>
      <c r="AQ20" s="515" t="str">
        <f t="shared" ca="1" si="11"/>
        <v>Okay</v>
      </c>
      <c r="AR20" s="512">
        <f t="shared" si="12"/>
        <v>0</v>
      </c>
      <c r="AS20" s="511" t="str">
        <f>IF(OR(Measures!AM20="Row Not Used",Measures!C20="Controls Only",Measures!C20="Decommissioning"),"",_xlfn.CONCAT(P20," ",Q20))</f>
        <v/>
      </c>
      <c r="AT20" s="264" t="str">
        <f t="shared" si="13"/>
        <v>None</v>
      </c>
      <c r="AU20" s="229">
        <f>IF(OR(AM20="Row Not Used",AM20="Controls Only"),0,INDEX(IncentiveRateTable[Incentive Rate],MATCH(AT20,IncentiveRateTable[Incentive Name],0)))</f>
        <v>0</v>
      </c>
      <c r="AV20" s="133" t="str">
        <f>IF(OR(AM20="Row Not Used",AM20="Controls Only"),"None",INDEX(IncentiveRateTable[Incentive Unit],MATCH(AT20,IncentiveRateTable[Incentive Name],0)))</f>
        <v>None</v>
      </c>
      <c r="AW20" s="578">
        <f t="shared" si="24"/>
        <v>0</v>
      </c>
      <c r="AX20" s="264" t="str">
        <f t="shared" si="14"/>
        <v>None</v>
      </c>
      <c r="AY20" s="229">
        <f>IF(OR(AM20="Row Not Used",AM20="Fixtures Only",AM20="Decommissioning"),0,INDEX(IncentiveRateTable[Incentive Rate],MATCH(AX20,IncentiveRateTable[Incentive Name],0)))</f>
        <v>0</v>
      </c>
      <c r="AZ20" s="133" t="str">
        <f>IF(OR(AM20="Row Not Used",AM20="Fixtures Only",AM20="Decommissioning"),"None",INDEX(IncentiveRateTable[Incentive Unit],MATCH(AX20,IncentiveRateTable[Incentive Name],0)))</f>
        <v>None</v>
      </c>
      <c r="BA20" s="465">
        <f t="shared" si="15"/>
        <v>0</v>
      </c>
      <c r="BB20" s="264" t="e" cm="1">
        <f t="array" ref="BB20">INDEX(BallastFactorTable[Commercial BPA Reference Number],MATCH(1,(BallastFactorTable[Fixture Class]=J20)*(BallastFactorTable[Fixture Category]=K20)*(BallastFactorTable[Fixture Sub-category]=L20),0))</f>
        <v>#N/A</v>
      </c>
      <c r="BC20" s="133" t="e" cm="1">
        <f t="array" ref="BC20">INDEX(BallastFactorTable[Industrial BPA Reference Number],MATCH(1,(BallastFactorTable[Fixture Class]=J20)*(BallastFactorTable[Fixture Category]=K20)*(BallastFactorTable[Fixture Sub-category]=L20),0))</f>
        <v>#N/A</v>
      </c>
      <c r="BD20" s="264" t="str">
        <f t="shared" si="16"/>
        <v>Sector is blank</v>
      </c>
      <c r="BE20" s="269" t="str">
        <f>IF(ISBLANK(SectorField),"Sector is blank",IF(AM20="Row Not Used","",IF(OR(R20="No Controls",ISBLANK(R20)),"",INDEX(ControlsBPARefNoTable[Reference Number],MATCH(SectorField,ControlsBPARefNoTable[Sector],0)))))</f>
        <v>Sector is blank</v>
      </c>
      <c r="BF20" s="530" t="str">
        <f t="shared" si="17"/>
        <v/>
      </c>
      <c r="BG20" s="132" t="str">
        <f t="shared" si="18"/>
        <v/>
      </c>
      <c r="BH20" s="531" t="str">
        <f t="shared" si="19"/>
        <v/>
      </c>
      <c r="BI20" s="532"/>
      <c r="BJ20" s="538" t="str">
        <f t="shared" si="25"/>
        <v/>
      </c>
      <c r="BK20" s="539" t="str">
        <f t="shared" si="26"/>
        <v/>
      </c>
      <c r="BL20" s="547" t="str">
        <f t="shared" si="27"/>
        <v/>
      </c>
    </row>
    <row r="21" spans="1:64" x14ac:dyDescent="0.3">
      <c r="A21" s="133">
        <v>14</v>
      </c>
      <c r="B21" s="294"/>
      <c r="C21" s="313"/>
      <c r="D21" s="292"/>
      <c r="E21" s="284"/>
      <c r="F21" s="284"/>
      <c r="G21" s="295"/>
      <c r="H21" s="296"/>
      <c r="I21" s="297"/>
      <c r="J21" s="292"/>
      <c r="K21" s="284"/>
      <c r="L21" s="284"/>
      <c r="M21" s="295"/>
      <c r="N21" s="296"/>
      <c r="O21" s="296"/>
      <c r="P21" s="284"/>
      <c r="Q21" s="298"/>
      <c r="R21" s="292"/>
      <c r="S21" s="299"/>
      <c r="T21" s="300"/>
      <c r="U21" s="317" t="str">
        <f t="shared" si="1"/>
        <v/>
      </c>
      <c r="V21" s="301"/>
      <c r="W21" s="136" t="str">
        <f t="shared" si="2"/>
        <v/>
      </c>
      <c r="X21" s="587" t="str">
        <f t="shared" si="20"/>
        <v/>
      </c>
      <c r="Y21" s="580"/>
      <c r="Z21" s="251" t="str">
        <f t="shared" si="3"/>
        <v/>
      </c>
      <c r="AA21" s="138" t="str">
        <f t="shared" si="28"/>
        <v/>
      </c>
      <c r="AB21" s="243" t="str">
        <f t="shared" si="21"/>
        <v/>
      </c>
      <c r="AC21" s="141" t="str">
        <f t="shared" si="4"/>
        <v/>
      </c>
      <c r="AD21" s="138" t="str">
        <f t="shared" si="22"/>
        <v/>
      </c>
      <c r="AE21" s="243" t="str">
        <f t="shared" si="5"/>
        <v/>
      </c>
      <c r="AF21" s="342" t="str">
        <f>IF(AM21="Row Not Used","",INDEX(SpaceTable[Annual Hours],(MATCH(B21,SpaceTable[Space Name Concatenated Helper],0))))</f>
        <v/>
      </c>
      <c r="AG21" s="205" t="str">
        <f t="shared" si="6"/>
        <v/>
      </c>
      <c r="AH21" s="234" t="str">
        <f t="shared" si="7"/>
        <v/>
      </c>
      <c r="AI21" s="205" t="str">
        <f t="shared" si="8"/>
        <v/>
      </c>
      <c r="AJ21" s="234" t="str">
        <f t="shared" si="9"/>
        <v/>
      </c>
      <c r="AK21" s="144" t="str">
        <f>IF(AM21="Row Not Used","",INDEX(SpaceTable[Row],(MATCH(B21,SpaceTable[Space Name Concatenated Helper],0))))</f>
        <v/>
      </c>
      <c r="AL21" s="238" t="str">
        <f>IF(AM21="Row Not Used","",INDEX(SpaceTable[HVAC Factor],(MATCH(B21,SpaceTable[Space Name Concatenated Helper],0))))</f>
        <v/>
      </c>
      <c r="AM21" s="520" t="str">
        <f t="shared" si="10"/>
        <v>Row Not Used</v>
      </c>
      <c r="AN21" s="512" t="e" cm="1">
        <f t="array" ref="AN21">INDEX(BallastFactorTable[Ballast Factor],MATCH(1,(BallastFactorTable[Fixture Class]=D21)*(BallastFactorTable[Fixture Category]=E21)*(BallastFactorTable[Fixture Sub-category]=F21),0))</f>
        <v>#N/A</v>
      </c>
      <c r="AO21" s="143" t="str">
        <f t="shared" si="23"/>
        <v/>
      </c>
      <c r="AP21" s="501" t="e" cm="1">
        <f t="array" ref="AP21">INDEX(BallastFactorTable[Wattage Range Name],MATCH(1,(BallastFactorTable[Fixture Class]=D21)*(BallastFactorTable[Fixture Category]=E21)*(BallastFactorTable[Fixture Sub-category]=F21),0))</f>
        <v>#N/A</v>
      </c>
      <c r="AQ21" s="515" t="str">
        <f t="shared" ca="1" si="11"/>
        <v>Okay</v>
      </c>
      <c r="AR21" s="512">
        <f t="shared" si="12"/>
        <v>0</v>
      </c>
      <c r="AS21" s="511" t="str">
        <f>IF(OR(Measures!AM21="Row Not Used",Measures!C21="Controls Only",Measures!C21="Decommissioning"),"",_xlfn.CONCAT(P21," ",Q21))</f>
        <v/>
      </c>
      <c r="AT21" s="264" t="str">
        <f t="shared" si="13"/>
        <v>None</v>
      </c>
      <c r="AU21" s="229">
        <f>IF(OR(AM21="Row Not Used",AM21="Controls Only"),0,INDEX(IncentiveRateTable[Incentive Rate],MATCH(AT21,IncentiveRateTable[Incentive Name],0)))</f>
        <v>0</v>
      </c>
      <c r="AV21" s="133" t="str">
        <f>IF(OR(AM21="Row Not Used",AM21="Controls Only"),"None",INDEX(IncentiveRateTable[Incentive Unit],MATCH(AT21,IncentiveRateTable[Incentive Name],0)))</f>
        <v>None</v>
      </c>
      <c r="AW21" s="578">
        <f t="shared" si="24"/>
        <v>0</v>
      </c>
      <c r="AX21" s="264" t="str">
        <f t="shared" si="14"/>
        <v>None</v>
      </c>
      <c r="AY21" s="229">
        <f>IF(OR(AM21="Row Not Used",AM21="Fixtures Only",AM21="Decommissioning"),0,INDEX(IncentiveRateTable[Incentive Rate],MATCH(AX21,IncentiveRateTable[Incentive Name],0)))</f>
        <v>0</v>
      </c>
      <c r="AZ21" s="133" t="str">
        <f>IF(OR(AM21="Row Not Used",AM21="Fixtures Only",AM21="Decommissioning"),"None",INDEX(IncentiveRateTable[Incentive Unit],MATCH(AX21,IncentiveRateTable[Incentive Name],0)))</f>
        <v>None</v>
      </c>
      <c r="BA21" s="465">
        <f t="shared" si="15"/>
        <v>0</v>
      </c>
      <c r="BB21" s="264" t="e" cm="1">
        <f t="array" ref="BB21">INDEX(BallastFactorTable[Commercial BPA Reference Number],MATCH(1,(BallastFactorTable[Fixture Class]=J21)*(BallastFactorTable[Fixture Category]=K21)*(BallastFactorTable[Fixture Sub-category]=L21),0))</f>
        <v>#N/A</v>
      </c>
      <c r="BC21" s="133" t="e" cm="1">
        <f t="array" ref="BC21">INDEX(BallastFactorTable[Industrial BPA Reference Number],MATCH(1,(BallastFactorTable[Fixture Class]=J21)*(BallastFactorTable[Fixture Category]=K21)*(BallastFactorTable[Fixture Sub-category]=L21),0))</f>
        <v>#N/A</v>
      </c>
      <c r="BD21" s="264" t="str">
        <f t="shared" si="16"/>
        <v>Sector is blank</v>
      </c>
      <c r="BE21" s="269" t="str">
        <f>IF(ISBLANK(SectorField),"Sector is blank",IF(AM21="Row Not Used","",IF(OR(R21="No Controls",ISBLANK(R21)),"",INDEX(ControlsBPARefNoTable[Reference Number],MATCH(SectorField,ControlsBPARefNoTable[Sector],0)))))</f>
        <v>Sector is blank</v>
      </c>
      <c r="BF21" s="530" t="str">
        <f t="shared" si="17"/>
        <v/>
      </c>
      <c r="BG21" s="132" t="str">
        <f t="shared" si="18"/>
        <v/>
      </c>
      <c r="BH21" s="531" t="str">
        <f t="shared" si="19"/>
        <v/>
      </c>
      <c r="BI21" s="532"/>
      <c r="BJ21" s="538" t="str">
        <f t="shared" si="25"/>
        <v/>
      </c>
      <c r="BK21" s="539" t="str">
        <f t="shared" si="26"/>
        <v/>
      </c>
      <c r="BL21" s="547" t="str">
        <f t="shared" si="27"/>
        <v/>
      </c>
    </row>
    <row r="22" spans="1:64" x14ac:dyDescent="0.3">
      <c r="A22" s="133">
        <v>15</v>
      </c>
      <c r="B22" s="294"/>
      <c r="C22" s="313"/>
      <c r="D22" s="292"/>
      <c r="E22" s="284"/>
      <c r="F22" s="284"/>
      <c r="G22" s="295"/>
      <c r="H22" s="296"/>
      <c r="I22" s="297"/>
      <c r="J22" s="292"/>
      <c r="K22" s="284"/>
      <c r="L22" s="284"/>
      <c r="M22" s="295"/>
      <c r="N22" s="296"/>
      <c r="O22" s="296"/>
      <c r="P22" s="284"/>
      <c r="Q22" s="298"/>
      <c r="R22" s="292"/>
      <c r="S22" s="299"/>
      <c r="T22" s="300"/>
      <c r="U22" s="317" t="str">
        <f t="shared" si="1"/>
        <v/>
      </c>
      <c r="V22" s="301"/>
      <c r="W22" s="136" t="str">
        <f t="shared" si="2"/>
        <v/>
      </c>
      <c r="X22" s="587" t="str">
        <f t="shared" si="20"/>
        <v/>
      </c>
      <c r="Y22" s="580"/>
      <c r="Z22" s="251" t="str">
        <f t="shared" si="3"/>
        <v/>
      </c>
      <c r="AA22" s="138" t="str">
        <f t="shared" si="28"/>
        <v/>
      </c>
      <c r="AB22" s="243" t="str">
        <f t="shared" si="21"/>
        <v/>
      </c>
      <c r="AC22" s="141" t="str">
        <f t="shared" si="4"/>
        <v/>
      </c>
      <c r="AD22" s="138" t="str">
        <f t="shared" si="22"/>
        <v/>
      </c>
      <c r="AE22" s="243" t="str">
        <f t="shared" si="5"/>
        <v/>
      </c>
      <c r="AF22" s="342" t="str">
        <f>IF(AM22="Row Not Used","",INDEX(SpaceTable[Annual Hours],(MATCH(B22,SpaceTable[Space Name Concatenated Helper],0))))</f>
        <v/>
      </c>
      <c r="AG22" s="205" t="str">
        <f t="shared" si="6"/>
        <v/>
      </c>
      <c r="AH22" s="234" t="str">
        <f t="shared" si="7"/>
        <v/>
      </c>
      <c r="AI22" s="205" t="str">
        <f t="shared" si="8"/>
        <v/>
      </c>
      <c r="AJ22" s="234" t="str">
        <f t="shared" si="9"/>
        <v/>
      </c>
      <c r="AK22" s="144" t="str">
        <f>IF(AM22="Row Not Used","",INDEX(SpaceTable[Row],(MATCH(B22,SpaceTable[Space Name Concatenated Helper],0))))</f>
        <v/>
      </c>
      <c r="AL22" s="238" t="str">
        <f>IF(AM22="Row Not Used","",INDEX(SpaceTable[HVAC Factor],(MATCH(B22,SpaceTable[Space Name Concatenated Helper],0))))</f>
        <v/>
      </c>
      <c r="AM22" s="520" t="str">
        <f t="shared" si="10"/>
        <v>Row Not Used</v>
      </c>
      <c r="AN22" s="512" t="e" cm="1">
        <f t="array" ref="AN22">INDEX(BallastFactorTable[Ballast Factor],MATCH(1,(BallastFactorTable[Fixture Class]=D22)*(BallastFactorTable[Fixture Category]=E22)*(BallastFactorTable[Fixture Sub-category]=F22),0))</f>
        <v>#N/A</v>
      </c>
      <c r="AO22" s="143" t="str">
        <f t="shared" si="23"/>
        <v/>
      </c>
      <c r="AP22" s="501" t="e" cm="1">
        <f t="array" ref="AP22">INDEX(BallastFactorTable[Wattage Range Name],MATCH(1,(BallastFactorTable[Fixture Class]=D22)*(BallastFactorTable[Fixture Category]=E22)*(BallastFactorTable[Fixture Sub-category]=F22),0))</f>
        <v>#N/A</v>
      </c>
      <c r="AQ22" s="515" t="str">
        <f t="shared" ca="1" si="11"/>
        <v>Okay</v>
      </c>
      <c r="AR22" s="512">
        <f t="shared" si="12"/>
        <v>0</v>
      </c>
      <c r="AS22" s="511" t="str">
        <f>IF(OR(Measures!AM22="Row Not Used",Measures!C22="Controls Only",Measures!C22="Decommissioning"),"",_xlfn.CONCAT(P22," ",Q22))</f>
        <v/>
      </c>
      <c r="AT22" s="264" t="str">
        <f t="shared" si="13"/>
        <v>None</v>
      </c>
      <c r="AU22" s="229">
        <f>IF(OR(AM22="Row Not Used",AM22="Controls Only"),0,INDEX(IncentiveRateTable[Incentive Rate],MATCH(AT22,IncentiveRateTable[Incentive Name],0)))</f>
        <v>0</v>
      </c>
      <c r="AV22" s="133" t="str">
        <f>IF(OR(AM22="Row Not Used",AM22="Controls Only"),"None",INDEX(IncentiveRateTable[Incentive Unit],MATCH(AT22,IncentiveRateTable[Incentive Name],0)))</f>
        <v>None</v>
      </c>
      <c r="AW22" s="578">
        <f t="shared" si="24"/>
        <v>0</v>
      </c>
      <c r="AX22" s="264" t="str">
        <f t="shared" si="14"/>
        <v>None</v>
      </c>
      <c r="AY22" s="229">
        <f>IF(OR(AM22="Row Not Used",AM22="Fixtures Only",AM22="Decommissioning"),0,INDEX(IncentiveRateTable[Incentive Rate],MATCH(AX22,IncentiveRateTable[Incentive Name],0)))</f>
        <v>0</v>
      </c>
      <c r="AZ22" s="133" t="str">
        <f>IF(OR(AM22="Row Not Used",AM22="Fixtures Only",AM22="Decommissioning"),"None",INDEX(IncentiveRateTable[Incentive Unit],MATCH(AX22,IncentiveRateTable[Incentive Name],0)))</f>
        <v>None</v>
      </c>
      <c r="BA22" s="465">
        <f t="shared" si="15"/>
        <v>0</v>
      </c>
      <c r="BB22" s="264" t="e" cm="1">
        <f t="array" ref="BB22">INDEX(BallastFactorTable[Commercial BPA Reference Number],MATCH(1,(BallastFactorTable[Fixture Class]=J22)*(BallastFactorTable[Fixture Category]=K22)*(BallastFactorTable[Fixture Sub-category]=L22),0))</f>
        <v>#N/A</v>
      </c>
      <c r="BC22" s="133" t="e" cm="1">
        <f t="array" ref="BC22">INDEX(BallastFactorTable[Industrial BPA Reference Number],MATCH(1,(BallastFactorTable[Fixture Class]=J22)*(BallastFactorTable[Fixture Category]=K22)*(BallastFactorTable[Fixture Sub-category]=L22),0))</f>
        <v>#N/A</v>
      </c>
      <c r="BD22" s="264" t="str">
        <f t="shared" si="16"/>
        <v>Sector is blank</v>
      </c>
      <c r="BE22" s="269" t="str">
        <f>IF(ISBLANK(SectorField),"Sector is blank",IF(AM22="Row Not Used","",IF(OR(R22="No Controls",ISBLANK(R22)),"",INDEX(ControlsBPARefNoTable[Reference Number],MATCH(SectorField,ControlsBPARefNoTable[Sector],0)))))</f>
        <v>Sector is blank</v>
      </c>
      <c r="BF22" s="530" t="str">
        <f t="shared" si="17"/>
        <v/>
      </c>
      <c r="BG22" s="132" t="str">
        <f t="shared" si="18"/>
        <v/>
      </c>
      <c r="BH22" s="531" t="str">
        <f t="shared" si="19"/>
        <v/>
      </c>
      <c r="BI22" s="532"/>
      <c r="BJ22" s="538" t="str">
        <f t="shared" si="25"/>
        <v/>
      </c>
      <c r="BK22" s="539" t="str">
        <f t="shared" si="26"/>
        <v/>
      </c>
      <c r="BL22" s="547" t="str">
        <f t="shared" si="27"/>
        <v/>
      </c>
    </row>
    <row r="23" spans="1:64" x14ac:dyDescent="0.3">
      <c r="A23" s="133">
        <v>16</v>
      </c>
      <c r="B23" s="294"/>
      <c r="C23" s="313"/>
      <c r="D23" s="292"/>
      <c r="E23" s="284"/>
      <c r="F23" s="284"/>
      <c r="G23" s="295"/>
      <c r="H23" s="296"/>
      <c r="I23" s="297"/>
      <c r="J23" s="292"/>
      <c r="K23" s="284"/>
      <c r="L23" s="284"/>
      <c r="M23" s="295"/>
      <c r="N23" s="296"/>
      <c r="O23" s="296"/>
      <c r="P23" s="284"/>
      <c r="Q23" s="298"/>
      <c r="R23" s="292"/>
      <c r="S23" s="299"/>
      <c r="T23" s="300"/>
      <c r="U23" s="317" t="str">
        <f t="shared" si="1"/>
        <v/>
      </c>
      <c r="V23" s="301"/>
      <c r="W23" s="136" t="str">
        <f t="shared" si="2"/>
        <v/>
      </c>
      <c r="X23" s="587" t="str">
        <f t="shared" si="20"/>
        <v/>
      </c>
      <c r="Y23" s="580"/>
      <c r="Z23" s="251" t="str">
        <f t="shared" si="3"/>
        <v/>
      </c>
      <c r="AA23" s="138" t="str">
        <f t="shared" si="28"/>
        <v/>
      </c>
      <c r="AB23" s="243" t="str">
        <f t="shared" si="21"/>
        <v/>
      </c>
      <c r="AC23" s="141" t="str">
        <f t="shared" si="4"/>
        <v/>
      </c>
      <c r="AD23" s="138" t="str">
        <f t="shared" si="22"/>
        <v/>
      </c>
      <c r="AE23" s="243" t="str">
        <f t="shared" si="5"/>
        <v/>
      </c>
      <c r="AF23" s="342" t="str">
        <f>IF(AM23="Row Not Used","",INDEX(SpaceTable[Annual Hours],(MATCH(B23,SpaceTable[Space Name Concatenated Helper],0))))</f>
        <v/>
      </c>
      <c r="AG23" s="205" t="str">
        <f t="shared" si="6"/>
        <v/>
      </c>
      <c r="AH23" s="234" t="str">
        <f t="shared" si="7"/>
        <v/>
      </c>
      <c r="AI23" s="205" t="str">
        <f t="shared" si="8"/>
        <v/>
      </c>
      <c r="AJ23" s="234" t="str">
        <f t="shared" si="9"/>
        <v/>
      </c>
      <c r="AK23" s="144" t="str">
        <f>IF(AM23="Row Not Used","",INDEX(SpaceTable[Row],(MATCH(B23,SpaceTable[Space Name Concatenated Helper],0))))</f>
        <v/>
      </c>
      <c r="AL23" s="238" t="str">
        <f>IF(AM23="Row Not Used","",INDEX(SpaceTable[HVAC Factor],(MATCH(B23,SpaceTable[Space Name Concatenated Helper],0))))</f>
        <v/>
      </c>
      <c r="AM23" s="520" t="str">
        <f t="shared" si="10"/>
        <v>Row Not Used</v>
      </c>
      <c r="AN23" s="512" t="e" cm="1">
        <f t="array" ref="AN23">INDEX(BallastFactorTable[Ballast Factor],MATCH(1,(BallastFactorTable[Fixture Class]=D23)*(BallastFactorTable[Fixture Category]=E23)*(BallastFactorTable[Fixture Sub-category]=F23),0))</f>
        <v>#N/A</v>
      </c>
      <c r="AO23" s="143" t="str">
        <f t="shared" si="23"/>
        <v/>
      </c>
      <c r="AP23" s="501" t="e" cm="1">
        <f t="array" ref="AP23">INDEX(BallastFactorTable[Wattage Range Name],MATCH(1,(BallastFactorTable[Fixture Class]=D23)*(BallastFactorTable[Fixture Category]=E23)*(BallastFactorTable[Fixture Sub-category]=F23),0))</f>
        <v>#N/A</v>
      </c>
      <c r="AQ23" s="515" t="str">
        <f t="shared" ca="1" si="11"/>
        <v>Okay</v>
      </c>
      <c r="AR23" s="512">
        <f t="shared" si="12"/>
        <v>0</v>
      </c>
      <c r="AS23" s="511" t="str">
        <f>IF(OR(Measures!AM23="Row Not Used",Measures!C23="Controls Only",Measures!C23="Decommissioning"),"",_xlfn.CONCAT(P23," ",Q23))</f>
        <v/>
      </c>
      <c r="AT23" s="264" t="str">
        <f t="shared" si="13"/>
        <v>None</v>
      </c>
      <c r="AU23" s="229">
        <f>IF(OR(AM23="Row Not Used",AM23="Controls Only"),0,INDEX(IncentiveRateTable[Incentive Rate],MATCH(AT23,IncentiveRateTable[Incentive Name],0)))</f>
        <v>0</v>
      </c>
      <c r="AV23" s="133" t="str">
        <f>IF(OR(AM23="Row Not Used",AM23="Controls Only"),"None",INDEX(IncentiveRateTable[Incentive Unit],MATCH(AT23,IncentiveRateTable[Incentive Name],0)))</f>
        <v>None</v>
      </c>
      <c r="AW23" s="578">
        <f t="shared" si="24"/>
        <v>0</v>
      </c>
      <c r="AX23" s="264" t="str">
        <f t="shared" si="14"/>
        <v>None</v>
      </c>
      <c r="AY23" s="229">
        <f>IF(OR(AM23="Row Not Used",AM23="Fixtures Only",AM23="Decommissioning"),0,INDEX(IncentiveRateTable[Incentive Rate],MATCH(AX23,IncentiveRateTable[Incentive Name],0)))</f>
        <v>0</v>
      </c>
      <c r="AZ23" s="133" t="str">
        <f>IF(OR(AM23="Row Not Used",AM23="Fixtures Only",AM23="Decommissioning"),"None",INDEX(IncentiveRateTable[Incentive Unit],MATCH(AX23,IncentiveRateTable[Incentive Name],0)))</f>
        <v>None</v>
      </c>
      <c r="BA23" s="465">
        <f t="shared" si="15"/>
        <v>0</v>
      </c>
      <c r="BB23" s="264" t="e" cm="1">
        <f t="array" ref="BB23">INDEX(BallastFactorTable[Commercial BPA Reference Number],MATCH(1,(BallastFactorTable[Fixture Class]=J23)*(BallastFactorTable[Fixture Category]=K23)*(BallastFactorTable[Fixture Sub-category]=L23),0))</f>
        <v>#N/A</v>
      </c>
      <c r="BC23" s="133" t="e" cm="1">
        <f t="array" ref="BC23">INDEX(BallastFactorTable[Industrial BPA Reference Number],MATCH(1,(BallastFactorTable[Fixture Class]=J23)*(BallastFactorTable[Fixture Category]=K23)*(BallastFactorTable[Fixture Sub-category]=L23),0))</f>
        <v>#N/A</v>
      </c>
      <c r="BD23" s="264" t="str">
        <f t="shared" si="16"/>
        <v>Sector is blank</v>
      </c>
      <c r="BE23" s="269" t="str">
        <f>IF(ISBLANK(SectorField),"Sector is blank",IF(AM23="Row Not Used","",IF(OR(R23="No Controls",ISBLANK(R23)),"",INDEX(ControlsBPARefNoTable[Reference Number],MATCH(SectorField,ControlsBPARefNoTable[Sector],0)))))</f>
        <v>Sector is blank</v>
      </c>
      <c r="BF23" s="530" t="str">
        <f t="shared" si="17"/>
        <v/>
      </c>
      <c r="BG23" s="132" t="str">
        <f t="shared" si="18"/>
        <v/>
      </c>
      <c r="BH23" s="531" t="str">
        <f t="shared" si="19"/>
        <v/>
      </c>
      <c r="BI23" s="532"/>
      <c r="BJ23" s="538" t="str">
        <f t="shared" si="25"/>
        <v/>
      </c>
      <c r="BK23" s="539" t="str">
        <f t="shared" si="26"/>
        <v/>
      </c>
      <c r="BL23" s="547" t="str">
        <f t="shared" si="27"/>
        <v/>
      </c>
    </row>
    <row r="24" spans="1:64" x14ac:dyDescent="0.3">
      <c r="A24" s="133">
        <v>17</v>
      </c>
      <c r="B24" s="294"/>
      <c r="C24" s="313"/>
      <c r="D24" s="292"/>
      <c r="E24" s="284"/>
      <c r="F24" s="284"/>
      <c r="G24" s="295"/>
      <c r="H24" s="296"/>
      <c r="I24" s="297"/>
      <c r="J24" s="292"/>
      <c r="K24" s="284"/>
      <c r="L24" s="284"/>
      <c r="M24" s="295"/>
      <c r="N24" s="296"/>
      <c r="O24" s="296"/>
      <c r="P24" s="284"/>
      <c r="Q24" s="298"/>
      <c r="R24" s="292"/>
      <c r="S24" s="299"/>
      <c r="T24" s="300"/>
      <c r="U24" s="317" t="str">
        <f t="shared" si="1"/>
        <v/>
      </c>
      <c r="V24" s="301"/>
      <c r="W24" s="136" t="str">
        <f t="shared" si="2"/>
        <v/>
      </c>
      <c r="X24" s="587" t="str">
        <f t="shared" si="20"/>
        <v/>
      </c>
      <c r="Y24" s="580"/>
      <c r="Z24" s="251" t="str">
        <f t="shared" si="3"/>
        <v/>
      </c>
      <c r="AA24" s="138" t="str">
        <f t="shared" si="28"/>
        <v/>
      </c>
      <c r="AB24" s="243" t="str">
        <f t="shared" si="21"/>
        <v/>
      </c>
      <c r="AC24" s="141" t="str">
        <f t="shared" si="4"/>
        <v/>
      </c>
      <c r="AD24" s="138" t="str">
        <f t="shared" si="22"/>
        <v/>
      </c>
      <c r="AE24" s="243" t="str">
        <f t="shared" si="5"/>
        <v/>
      </c>
      <c r="AF24" s="342" t="str">
        <f>IF(AM24="Row Not Used","",INDEX(SpaceTable[Annual Hours],(MATCH(B24,SpaceTable[Space Name Concatenated Helper],0))))</f>
        <v/>
      </c>
      <c r="AG24" s="205" t="str">
        <f t="shared" si="6"/>
        <v/>
      </c>
      <c r="AH24" s="234" t="str">
        <f t="shared" si="7"/>
        <v/>
      </c>
      <c r="AI24" s="205" t="str">
        <f t="shared" si="8"/>
        <v/>
      </c>
      <c r="AJ24" s="234" t="str">
        <f t="shared" si="9"/>
        <v/>
      </c>
      <c r="AK24" s="144" t="str">
        <f>IF(AM24="Row Not Used","",INDEX(SpaceTable[Row],(MATCH(B24,SpaceTable[Space Name Concatenated Helper],0))))</f>
        <v/>
      </c>
      <c r="AL24" s="238" t="str">
        <f>IF(AM24="Row Not Used","",INDEX(SpaceTable[HVAC Factor],(MATCH(B24,SpaceTable[Space Name Concatenated Helper],0))))</f>
        <v/>
      </c>
      <c r="AM24" s="520" t="str">
        <f t="shared" si="10"/>
        <v>Row Not Used</v>
      </c>
      <c r="AN24" s="512" t="e" cm="1">
        <f t="array" ref="AN24">INDEX(BallastFactorTable[Ballast Factor],MATCH(1,(BallastFactorTable[Fixture Class]=D24)*(BallastFactorTable[Fixture Category]=E24)*(BallastFactorTable[Fixture Sub-category]=F24),0))</f>
        <v>#N/A</v>
      </c>
      <c r="AO24" s="143" t="str">
        <f t="shared" si="23"/>
        <v/>
      </c>
      <c r="AP24" s="501" t="e" cm="1">
        <f t="array" ref="AP24">INDEX(BallastFactorTable[Wattage Range Name],MATCH(1,(BallastFactorTable[Fixture Class]=D24)*(BallastFactorTable[Fixture Category]=E24)*(BallastFactorTable[Fixture Sub-category]=F24),0))</f>
        <v>#N/A</v>
      </c>
      <c r="AQ24" s="515" t="str">
        <f t="shared" ca="1" si="11"/>
        <v>Okay</v>
      </c>
      <c r="AR24" s="512">
        <f t="shared" si="12"/>
        <v>0</v>
      </c>
      <c r="AS24" s="511" t="str">
        <f>IF(OR(Measures!AM24="Row Not Used",Measures!C24="Controls Only",Measures!C24="Decommissioning"),"",_xlfn.CONCAT(P24," ",Q24))</f>
        <v/>
      </c>
      <c r="AT24" s="264" t="str">
        <f t="shared" si="13"/>
        <v>None</v>
      </c>
      <c r="AU24" s="229">
        <f>IF(OR(AM24="Row Not Used",AM24="Controls Only"),0,INDEX(IncentiveRateTable[Incentive Rate],MATCH(AT24,IncentiveRateTable[Incentive Name],0)))</f>
        <v>0</v>
      </c>
      <c r="AV24" s="133" t="str">
        <f>IF(OR(AM24="Row Not Used",AM24="Controls Only"),"None",INDEX(IncentiveRateTable[Incentive Unit],MATCH(AT24,IncentiveRateTable[Incentive Name],0)))</f>
        <v>None</v>
      </c>
      <c r="AW24" s="578">
        <f t="shared" si="24"/>
        <v>0</v>
      </c>
      <c r="AX24" s="264" t="str">
        <f t="shared" si="14"/>
        <v>None</v>
      </c>
      <c r="AY24" s="229">
        <f>IF(OR(AM24="Row Not Used",AM24="Fixtures Only",AM24="Decommissioning"),0,INDEX(IncentiveRateTable[Incentive Rate],MATCH(AX24,IncentiveRateTable[Incentive Name],0)))</f>
        <v>0</v>
      </c>
      <c r="AZ24" s="133" t="str">
        <f>IF(OR(AM24="Row Not Used",AM24="Fixtures Only",AM24="Decommissioning"),"None",INDEX(IncentiveRateTable[Incentive Unit],MATCH(AX24,IncentiveRateTable[Incentive Name],0)))</f>
        <v>None</v>
      </c>
      <c r="BA24" s="465">
        <f t="shared" si="15"/>
        <v>0</v>
      </c>
      <c r="BB24" s="264" t="e" cm="1">
        <f t="array" ref="BB24">INDEX(BallastFactorTable[Commercial BPA Reference Number],MATCH(1,(BallastFactorTable[Fixture Class]=J24)*(BallastFactorTable[Fixture Category]=K24)*(BallastFactorTable[Fixture Sub-category]=L24),0))</f>
        <v>#N/A</v>
      </c>
      <c r="BC24" s="133" t="e" cm="1">
        <f t="array" ref="BC24">INDEX(BallastFactorTable[Industrial BPA Reference Number],MATCH(1,(BallastFactorTable[Fixture Class]=J24)*(BallastFactorTable[Fixture Category]=K24)*(BallastFactorTable[Fixture Sub-category]=L24),0))</f>
        <v>#N/A</v>
      </c>
      <c r="BD24" s="264" t="str">
        <f t="shared" si="16"/>
        <v>Sector is blank</v>
      </c>
      <c r="BE24" s="269" t="str">
        <f>IF(ISBLANK(SectorField),"Sector is blank",IF(AM24="Row Not Used","",IF(OR(R24="No Controls",ISBLANK(R24)),"",INDEX(ControlsBPARefNoTable[Reference Number],MATCH(SectorField,ControlsBPARefNoTable[Sector],0)))))</f>
        <v>Sector is blank</v>
      </c>
      <c r="BF24" s="530" t="str">
        <f t="shared" si="17"/>
        <v/>
      </c>
      <c r="BG24" s="132" t="str">
        <f t="shared" si="18"/>
        <v/>
      </c>
      <c r="BH24" s="531" t="str">
        <f t="shared" si="19"/>
        <v/>
      </c>
      <c r="BI24" s="532"/>
      <c r="BJ24" s="538" t="str">
        <f t="shared" si="25"/>
        <v/>
      </c>
      <c r="BK24" s="539" t="str">
        <f t="shared" si="26"/>
        <v/>
      </c>
      <c r="BL24" s="547" t="str">
        <f t="shared" si="27"/>
        <v/>
      </c>
    </row>
    <row r="25" spans="1:64" x14ac:dyDescent="0.3">
      <c r="A25" s="133">
        <v>18</v>
      </c>
      <c r="B25" s="294"/>
      <c r="C25" s="313"/>
      <c r="D25" s="292"/>
      <c r="E25" s="284"/>
      <c r="F25" s="284"/>
      <c r="G25" s="295"/>
      <c r="H25" s="296"/>
      <c r="I25" s="297"/>
      <c r="J25" s="292"/>
      <c r="K25" s="284"/>
      <c r="L25" s="284"/>
      <c r="M25" s="295"/>
      <c r="N25" s="296"/>
      <c r="O25" s="296"/>
      <c r="P25" s="284"/>
      <c r="Q25" s="298"/>
      <c r="R25" s="292"/>
      <c r="S25" s="299"/>
      <c r="T25" s="300"/>
      <c r="U25" s="317" t="str">
        <f t="shared" si="1"/>
        <v/>
      </c>
      <c r="V25" s="301"/>
      <c r="W25" s="136" t="str">
        <f t="shared" si="2"/>
        <v/>
      </c>
      <c r="X25" s="587" t="str">
        <f t="shared" si="20"/>
        <v/>
      </c>
      <c r="Y25" s="580"/>
      <c r="Z25" s="251" t="str">
        <f t="shared" si="3"/>
        <v/>
      </c>
      <c r="AA25" s="138" t="str">
        <f t="shared" si="28"/>
        <v/>
      </c>
      <c r="AB25" s="243" t="str">
        <f t="shared" si="21"/>
        <v/>
      </c>
      <c r="AC25" s="141" t="str">
        <f t="shared" si="4"/>
        <v/>
      </c>
      <c r="AD25" s="138" t="str">
        <f t="shared" si="22"/>
        <v/>
      </c>
      <c r="AE25" s="243" t="str">
        <f t="shared" si="5"/>
        <v/>
      </c>
      <c r="AF25" s="342" t="str">
        <f>IF(AM25="Row Not Used","",INDEX(SpaceTable[Annual Hours],(MATCH(B25,SpaceTable[Space Name Concatenated Helper],0))))</f>
        <v/>
      </c>
      <c r="AG25" s="205" t="str">
        <f t="shared" si="6"/>
        <v/>
      </c>
      <c r="AH25" s="234" t="str">
        <f t="shared" si="7"/>
        <v/>
      </c>
      <c r="AI25" s="205" t="str">
        <f t="shared" si="8"/>
        <v/>
      </c>
      <c r="AJ25" s="234" t="str">
        <f t="shared" si="9"/>
        <v/>
      </c>
      <c r="AK25" s="144" t="str">
        <f>IF(AM25="Row Not Used","",INDEX(SpaceTable[Row],(MATCH(B25,SpaceTable[Space Name Concatenated Helper],0))))</f>
        <v/>
      </c>
      <c r="AL25" s="238" t="str">
        <f>IF(AM25="Row Not Used","",INDEX(SpaceTable[HVAC Factor],(MATCH(B25,SpaceTable[Space Name Concatenated Helper],0))))</f>
        <v/>
      </c>
      <c r="AM25" s="520" t="str">
        <f t="shared" si="10"/>
        <v>Row Not Used</v>
      </c>
      <c r="AN25" s="512" t="e" cm="1">
        <f t="array" ref="AN25">INDEX(BallastFactorTable[Ballast Factor],MATCH(1,(BallastFactorTable[Fixture Class]=D25)*(BallastFactorTable[Fixture Category]=E25)*(BallastFactorTable[Fixture Sub-category]=F25),0))</f>
        <v>#N/A</v>
      </c>
      <c r="AO25" s="143" t="str">
        <f t="shared" si="23"/>
        <v/>
      </c>
      <c r="AP25" s="501" t="e" cm="1">
        <f t="array" ref="AP25">INDEX(BallastFactorTable[Wattage Range Name],MATCH(1,(BallastFactorTable[Fixture Class]=D25)*(BallastFactorTable[Fixture Category]=E25)*(BallastFactorTable[Fixture Sub-category]=F25),0))</f>
        <v>#N/A</v>
      </c>
      <c r="AQ25" s="515" t="str">
        <f t="shared" ca="1" si="11"/>
        <v>Okay</v>
      </c>
      <c r="AR25" s="512">
        <f t="shared" si="12"/>
        <v>0</v>
      </c>
      <c r="AS25" s="511" t="str">
        <f>IF(OR(Measures!AM25="Row Not Used",Measures!C25="Controls Only",Measures!C25="Decommissioning"),"",_xlfn.CONCAT(P25," ",Q25))</f>
        <v/>
      </c>
      <c r="AT25" s="264" t="str">
        <f t="shared" si="13"/>
        <v>None</v>
      </c>
      <c r="AU25" s="229">
        <f>IF(OR(AM25="Row Not Used",AM25="Controls Only"),0,INDEX(IncentiveRateTable[Incentive Rate],MATCH(AT25,IncentiveRateTable[Incentive Name],0)))</f>
        <v>0</v>
      </c>
      <c r="AV25" s="133" t="str">
        <f>IF(OR(AM25="Row Not Used",AM25="Controls Only"),"None",INDEX(IncentiveRateTable[Incentive Unit],MATCH(AT25,IncentiveRateTable[Incentive Name],0)))</f>
        <v>None</v>
      </c>
      <c r="AW25" s="578">
        <f t="shared" si="24"/>
        <v>0</v>
      </c>
      <c r="AX25" s="264" t="str">
        <f t="shared" si="14"/>
        <v>None</v>
      </c>
      <c r="AY25" s="229">
        <f>IF(OR(AM25="Row Not Used",AM25="Fixtures Only",AM25="Decommissioning"),0,INDEX(IncentiveRateTable[Incentive Rate],MATCH(AX25,IncentiveRateTable[Incentive Name],0)))</f>
        <v>0</v>
      </c>
      <c r="AZ25" s="133" t="str">
        <f>IF(OR(AM25="Row Not Used",AM25="Fixtures Only",AM25="Decommissioning"),"None",INDEX(IncentiveRateTable[Incentive Unit],MATCH(AX25,IncentiveRateTable[Incentive Name],0)))</f>
        <v>None</v>
      </c>
      <c r="BA25" s="465">
        <f t="shared" si="15"/>
        <v>0</v>
      </c>
      <c r="BB25" s="264" t="e" cm="1">
        <f t="array" ref="BB25">INDEX(BallastFactorTable[Commercial BPA Reference Number],MATCH(1,(BallastFactorTable[Fixture Class]=J25)*(BallastFactorTable[Fixture Category]=K25)*(BallastFactorTable[Fixture Sub-category]=L25),0))</f>
        <v>#N/A</v>
      </c>
      <c r="BC25" s="133" t="e" cm="1">
        <f t="array" ref="BC25">INDEX(BallastFactorTable[Industrial BPA Reference Number],MATCH(1,(BallastFactorTable[Fixture Class]=J25)*(BallastFactorTable[Fixture Category]=K25)*(BallastFactorTable[Fixture Sub-category]=L25),0))</f>
        <v>#N/A</v>
      </c>
      <c r="BD25" s="264" t="str">
        <f t="shared" si="16"/>
        <v>Sector is blank</v>
      </c>
      <c r="BE25" s="269" t="str">
        <f>IF(ISBLANK(SectorField),"Sector is blank",IF(AM25="Row Not Used","",IF(OR(R25="No Controls",ISBLANK(R25)),"",INDEX(ControlsBPARefNoTable[Reference Number],MATCH(SectorField,ControlsBPARefNoTable[Sector],0)))))</f>
        <v>Sector is blank</v>
      </c>
      <c r="BF25" s="530" t="str">
        <f t="shared" si="17"/>
        <v/>
      </c>
      <c r="BG25" s="132" t="str">
        <f t="shared" si="18"/>
        <v/>
      </c>
      <c r="BH25" s="531" t="str">
        <f t="shared" si="19"/>
        <v/>
      </c>
      <c r="BI25" s="532"/>
      <c r="BJ25" s="538" t="str">
        <f t="shared" si="25"/>
        <v/>
      </c>
      <c r="BK25" s="539" t="str">
        <f t="shared" si="26"/>
        <v/>
      </c>
      <c r="BL25" s="547" t="str">
        <f t="shared" si="27"/>
        <v/>
      </c>
    </row>
    <row r="26" spans="1:64" x14ac:dyDescent="0.3">
      <c r="A26" s="133">
        <v>19</v>
      </c>
      <c r="B26" s="294"/>
      <c r="C26" s="313"/>
      <c r="D26" s="292"/>
      <c r="E26" s="284"/>
      <c r="F26" s="284"/>
      <c r="G26" s="295"/>
      <c r="H26" s="296"/>
      <c r="I26" s="297"/>
      <c r="J26" s="292"/>
      <c r="K26" s="284"/>
      <c r="L26" s="284"/>
      <c r="M26" s="295"/>
      <c r="N26" s="296"/>
      <c r="O26" s="296"/>
      <c r="P26" s="284"/>
      <c r="Q26" s="298"/>
      <c r="R26" s="292"/>
      <c r="S26" s="299"/>
      <c r="T26" s="300"/>
      <c r="U26" s="317" t="str">
        <f t="shared" si="1"/>
        <v/>
      </c>
      <c r="V26" s="301"/>
      <c r="W26" s="136" t="str">
        <f t="shared" si="2"/>
        <v/>
      </c>
      <c r="X26" s="587" t="str">
        <f t="shared" si="20"/>
        <v/>
      </c>
      <c r="Y26" s="580"/>
      <c r="Z26" s="251" t="str">
        <f t="shared" si="3"/>
        <v/>
      </c>
      <c r="AA26" s="138" t="str">
        <f t="shared" si="28"/>
        <v/>
      </c>
      <c r="AB26" s="243" t="str">
        <f t="shared" si="21"/>
        <v/>
      </c>
      <c r="AC26" s="141" t="str">
        <f t="shared" si="4"/>
        <v/>
      </c>
      <c r="AD26" s="138" t="str">
        <f t="shared" si="22"/>
        <v/>
      </c>
      <c r="AE26" s="243" t="str">
        <f t="shared" si="5"/>
        <v/>
      </c>
      <c r="AF26" s="342" t="str">
        <f>IF(AM26="Row Not Used","",INDEX(SpaceTable[Annual Hours],(MATCH(B26,SpaceTable[Space Name Concatenated Helper],0))))</f>
        <v/>
      </c>
      <c r="AG26" s="205" t="str">
        <f t="shared" si="6"/>
        <v/>
      </c>
      <c r="AH26" s="234" t="str">
        <f t="shared" si="7"/>
        <v/>
      </c>
      <c r="AI26" s="205" t="str">
        <f t="shared" si="8"/>
        <v/>
      </c>
      <c r="AJ26" s="234" t="str">
        <f t="shared" si="9"/>
        <v/>
      </c>
      <c r="AK26" s="144" t="str">
        <f>IF(AM26="Row Not Used","",INDEX(SpaceTable[Row],(MATCH(B26,SpaceTable[Space Name Concatenated Helper],0))))</f>
        <v/>
      </c>
      <c r="AL26" s="238" t="str">
        <f>IF(AM26="Row Not Used","",INDEX(SpaceTable[HVAC Factor],(MATCH(B26,SpaceTable[Space Name Concatenated Helper],0))))</f>
        <v/>
      </c>
      <c r="AM26" s="520" t="str">
        <f t="shared" si="10"/>
        <v>Row Not Used</v>
      </c>
      <c r="AN26" s="512" t="e" cm="1">
        <f t="array" ref="AN26">INDEX(BallastFactorTable[Ballast Factor],MATCH(1,(BallastFactorTable[Fixture Class]=D26)*(BallastFactorTable[Fixture Category]=E26)*(BallastFactorTable[Fixture Sub-category]=F26),0))</f>
        <v>#N/A</v>
      </c>
      <c r="AO26" s="143" t="str">
        <f t="shared" si="23"/>
        <v/>
      </c>
      <c r="AP26" s="501" t="e" cm="1">
        <f t="array" ref="AP26">INDEX(BallastFactorTable[Wattage Range Name],MATCH(1,(BallastFactorTable[Fixture Class]=D26)*(BallastFactorTable[Fixture Category]=E26)*(BallastFactorTable[Fixture Sub-category]=F26),0))</f>
        <v>#N/A</v>
      </c>
      <c r="AQ26" s="515" t="str">
        <f t="shared" ca="1" si="11"/>
        <v>Okay</v>
      </c>
      <c r="AR26" s="512">
        <f t="shared" si="12"/>
        <v>0</v>
      </c>
      <c r="AS26" s="511" t="str">
        <f>IF(OR(Measures!AM26="Row Not Used",Measures!C26="Controls Only",Measures!C26="Decommissioning"),"",_xlfn.CONCAT(P26," ",Q26))</f>
        <v/>
      </c>
      <c r="AT26" s="264" t="str">
        <f t="shared" si="13"/>
        <v>None</v>
      </c>
      <c r="AU26" s="229">
        <f>IF(OR(AM26="Row Not Used",AM26="Controls Only"),0,INDEX(IncentiveRateTable[Incentive Rate],MATCH(AT26,IncentiveRateTable[Incentive Name],0)))</f>
        <v>0</v>
      </c>
      <c r="AV26" s="133" t="str">
        <f>IF(OR(AM26="Row Not Used",AM26="Controls Only"),"None",INDEX(IncentiveRateTable[Incentive Unit],MATCH(AT26,IncentiveRateTable[Incentive Name],0)))</f>
        <v>None</v>
      </c>
      <c r="AW26" s="578">
        <f t="shared" si="24"/>
        <v>0</v>
      </c>
      <c r="AX26" s="264" t="str">
        <f t="shared" si="14"/>
        <v>None</v>
      </c>
      <c r="AY26" s="229">
        <f>IF(OR(AM26="Row Not Used",AM26="Fixtures Only",AM26="Decommissioning"),0,INDEX(IncentiveRateTable[Incentive Rate],MATCH(AX26,IncentiveRateTable[Incentive Name],0)))</f>
        <v>0</v>
      </c>
      <c r="AZ26" s="133" t="str">
        <f>IF(OR(AM26="Row Not Used",AM26="Fixtures Only",AM26="Decommissioning"),"None",INDEX(IncentiveRateTable[Incentive Unit],MATCH(AX26,IncentiveRateTable[Incentive Name],0)))</f>
        <v>None</v>
      </c>
      <c r="BA26" s="465">
        <f t="shared" si="15"/>
        <v>0</v>
      </c>
      <c r="BB26" s="264" t="e" cm="1">
        <f t="array" ref="BB26">INDEX(BallastFactorTable[Commercial BPA Reference Number],MATCH(1,(BallastFactorTable[Fixture Class]=J26)*(BallastFactorTable[Fixture Category]=K26)*(BallastFactorTable[Fixture Sub-category]=L26),0))</f>
        <v>#N/A</v>
      </c>
      <c r="BC26" s="133" t="e" cm="1">
        <f t="array" ref="BC26">INDEX(BallastFactorTable[Industrial BPA Reference Number],MATCH(1,(BallastFactorTable[Fixture Class]=J26)*(BallastFactorTable[Fixture Category]=K26)*(BallastFactorTable[Fixture Sub-category]=L26),0))</f>
        <v>#N/A</v>
      </c>
      <c r="BD26" s="264" t="str">
        <f t="shared" si="16"/>
        <v>Sector is blank</v>
      </c>
      <c r="BE26" s="269" t="str">
        <f>IF(ISBLANK(SectorField),"Sector is blank",IF(AM26="Row Not Used","",IF(OR(R26="No Controls",ISBLANK(R26)),"",INDEX(ControlsBPARefNoTable[Reference Number],MATCH(SectorField,ControlsBPARefNoTable[Sector],0)))))</f>
        <v>Sector is blank</v>
      </c>
      <c r="BF26" s="530" t="str">
        <f t="shared" si="17"/>
        <v/>
      </c>
      <c r="BG26" s="132" t="str">
        <f t="shared" si="18"/>
        <v/>
      </c>
      <c r="BH26" s="531" t="str">
        <f t="shared" si="19"/>
        <v/>
      </c>
      <c r="BI26" s="532"/>
      <c r="BJ26" s="538" t="str">
        <f t="shared" si="25"/>
        <v/>
      </c>
      <c r="BK26" s="539" t="str">
        <f t="shared" si="26"/>
        <v/>
      </c>
      <c r="BL26" s="547" t="str">
        <f t="shared" si="27"/>
        <v/>
      </c>
    </row>
    <row r="27" spans="1:64" x14ac:dyDescent="0.3">
      <c r="A27" s="133">
        <v>20</v>
      </c>
      <c r="B27" s="294"/>
      <c r="C27" s="313"/>
      <c r="D27" s="292"/>
      <c r="E27" s="284"/>
      <c r="F27" s="284"/>
      <c r="G27" s="295"/>
      <c r="H27" s="296"/>
      <c r="I27" s="297"/>
      <c r="J27" s="292"/>
      <c r="K27" s="284"/>
      <c r="L27" s="284"/>
      <c r="M27" s="295"/>
      <c r="N27" s="296"/>
      <c r="O27" s="296"/>
      <c r="P27" s="284"/>
      <c r="Q27" s="298"/>
      <c r="R27" s="292"/>
      <c r="S27" s="299"/>
      <c r="T27" s="300"/>
      <c r="U27" s="317" t="str">
        <f t="shared" si="1"/>
        <v/>
      </c>
      <c r="V27" s="301"/>
      <c r="W27" s="136" t="str">
        <f t="shared" si="2"/>
        <v/>
      </c>
      <c r="X27" s="587" t="str">
        <f t="shared" si="20"/>
        <v/>
      </c>
      <c r="Y27" s="580"/>
      <c r="Z27" s="251" t="str">
        <f t="shared" si="3"/>
        <v/>
      </c>
      <c r="AA27" s="138" t="str">
        <f t="shared" si="28"/>
        <v/>
      </c>
      <c r="AB27" s="243" t="str">
        <f t="shared" si="21"/>
        <v/>
      </c>
      <c r="AC27" s="141" t="str">
        <f t="shared" si="4"/>
        <v/>
      </c>
      <c r="AD27" s="138" t="str">
        <f t="shared" si="22"/>
        <v/>
      </c>
      <c r="AE27" s="243" t="str">
        <f t="shared" si="5"/>
        <v/>
      </c>
      <c r="AF27" s="342" t="str">
        <f>IF(AM27="Row Not Used","",INDEX(SpaceTable[Annual Hours],(MATCH(B27,SpaceTable[Space Name Concatenated Helper],0))))</f>
        <v/>
      </c>
      <c r="AG27" s="205" t="str">
        <f t="shared" si="6"/>
        <v/>
      </c>
      <c r="AH27" s="234" t="str">
        <f t="shared" si="7"/>
        <v/>
      </c>
      <c r="AI27" s="205" t="str">
        <f t="shared" si="8"/>
        <v/>
      </c>
      <c r="AJ27" s="234" t="str">
        <f t="shared" si="9"/>
        <v/>
      </c>
      <c r="AK27" s="144" t="str">
        <f>IF(AM27="Row Not Used","",INDEX(SpaceTable[Row],(MATCH(B27,SpaceTable[Space Name Concatenated Helper],0))))</f>
        <v/>
      </c>
      <c r="AL27" s="238" t="str">
        <f>IF(AM27="Row Not Used","",INDEX(SpaceTable[HVAC Factor],(MATCH(B27,SpaceTable[Space Name Concatenated Helper],0))))</f>
        <v/>
      </c>
      <c r="AM27" s="520" t="str">
        <f t="shared" si="10"/>
        <v>Row Not Used</v>
      </c>
      <c r="AN27" s="512" t="e" cm="1">
        <f t="array" ref="AN27">INDEX(BallastFactorTable[Ballast Factor],MATCH(1,(BallastFactorTable[Fixture Class]=D27)*(BallastFactorTable[Fixture Category]=E27)*(BallastFactorTable[Fixture Sub-category]=F27),0))</f>
        <v>#N/A</v>
      </c>
      <c r="AO27" s="143" t="str">
        <f t="shared" si="23"/>
        <v/>
      </c>
      <c r="AP27" s="501" t="e" cm="1">
        <f t="array" ref="AP27">INDEX(BallastFactorTable[Wattage Range Name],MATCH(1,(BallastFactorTable[Fixture Class]=D27)*(BallastFactorTable[Fixture Category]=E27)*(BallastFactorTable[Fixture Sub-category]=F27),0))</f>
        <v>#N/A</v>
      </c>
      <c r="AQ27" s="515" t="str">
        <f t="shared" ca="1" si="11"/>
        <v>Okay</v>
      </c>
      <c r="AR27" s="512">
        <f t="shared" si="12"/>
        <v>0</v>
      </c>
      <c r="AS27" s="511" t="str">
        <f>IF(OR(Measures!AM27="Row Not Used",Measures!C27="Controls Only",Measures!C27="Decommissioning"),"",_xlfn.CONCAT(P27," ",Q27))</f>
        <v/>
      </c>
      <c r="AT27" s="264" t="str">
        <f t="shared" si="13"/>
        <v>None</v>
      </c>
      <c r="AU27" s="229">
        <f>IF(OR(AM27="Row Not Used",AM27="Controls Only"),0,INDEX(IncentiveRateTable[Incentive Rate],MATCH(AT27,IncentiveRateTable[Incentive Name],0)))</f>
        <v>0</v>
      </c>
      <c r="AV27" s="133" t="str">
        <f>IF(OR(AM27="Row Not Used",AM27="Controls Only"),"None",INDEX(IncentiveRateTable[Incentive Unit],MATCH(AT27,IncentiveRateTable[Incentive Name],0)))</f>
        <v>None</v>
      </c>
      <c r="AW27" s="578">
        <f t="shared" si="24"/>
        <v>0</v>
      </c>
      <c r="AX27" s="264" t="str">
        <f t="shared" si="14"/>
        <v>None</v>
      </c>
      <c r="AY27" s="229">
        <f>IF(OR(AM27="Row Not Used",AM27="Fixtures Only",AM27="Decommissioning"),0,INDEX(IncentiveRateTable[Incentive Rate],MATCH(AX27,IncentiveRateTable[Incentive Name],0)))</f>
        <v>0</v>
      </c>
      <c r="AZ27" s="133" t="str">
        <f>IF(OR(AM27="Row Not Used",AM27="Fixtures Only",AM27="Decommissioning"),"None",INDEX(IncentiveRateTable[Incentive Unit],MATCH(AX27,IncentiveRateTable[Incentive Name],0)))</f>
        <v>None</v>
      </c>
      <c r="BA27" s="465">
        <f t="shared" si="15"/>
        <v>0</v>
      </c>
      <c r="BB27" s="264" t="e" cm="1">
        <f t="array" ref="BB27">INDEX(BallastFactorTable[Commercial BPA Reference Number],MATCH(1,(BallastFactorTable[Fixture Class]=J27)*(BallastFactorTable[Fixture Category]=K27)*(BallastFactorTable[Fixture Sub-category]=L27),0))</f>
        <v>#N/A</v>
      </c>
      <c r="BC27" s="133" t="e" cm="1">
        <f t="array" ref="BC27">INDEX(BallastFactorTable[Industrial BPA Reference Number],MATCH(1,(BallastFactorTable[Fixture Class]=J27)*(BallastFactorTable[Fixture Category]=K27)*(BallastFactorTable[Fixture Sub-category]=L27),0))</f>
        <v>#N/A</v>
      </c>
      <c r="BD27" s="264" t="str">
        <f t="shared" si="16"/>
        <v>Sector is blank</v>
      </c>
      <c r="BE27" s="269" t="str">
        <f>IF(ISBLANK(SectorField),"Sector is blank",IF(AM27="Row Not Used","",IF(OR(R27="No Controls",ISBLANK(R27)),"",INDEX(ControlsBPARefNoTable[Reference Number],MATCH(SectorField,ControlsBPARefNoTable[Sector],0)))))</f>
        <v>Sector is blank</v>
      </c>
      <c r="BF27" s="530" t="str">
        <f t="shared" si="17"/>
        <v/>
      </c>
      <c r="BG27" s="132" t="str">
        <f t="shared" si="18"/>
        <v/>
      </c>
      <c r="BH27" s="531" t="str">
        <f t="shared" si="19"/>
        <v/>
      </c>
      <c r="BI27" s="532"/>
      <c r="BJ27" s="538" t="str">
        <f t="shared" si="25"/>
        <v/>
      </c>
      <c r="BK27" s="539" t="str">
        <f t="shared" si="26"/>
        <v/>
      </c>
      <c r="BL27" s="547" t="str">
        <f t="shared" si="27"/>
        <v/>
      </c>
    </row>
    <row r="28" spans="1:64" x14ac:dyDescent="0.3">
      <c r="A28" s="133">
        <v>21</v>
      </c>
      <c r="B28" s="294"/>
      <c r="C28" s="313"/>
      <c r="D28" s="292"/>
      <c r="E28" s="284"/>
      <c r="F28" s="284"/>
      <c r="G28" s="295"/>
      <c r="H28" s="296"/>
      <c r="I28" s="297"/>
      <c r="J28" s="292"/>
      <c r="K28" s="284"/>
      <c r="L28" s="284"/>
      <c r="M28" s="295"/>
      <c r="N28" s="296"/>
      <c r="O28" s="296"/>
      <c r="P28" s="284"/>
      <c r="Q28" s="298"/>
      <c r="R28" s="292"/>
      <c r="S28" s="299"/>
      <c r="T28" s="300"/>
      <c r="U28" s="317" t="str">
        <f t="shared" si="1"/>
        <v/>
      </c>
      <c r="V28" s="301"/>
      <c r="W28" s="136" t="str">
        <f t="shared" si="2"/>
        <v/>
      </c>
      <c r="X28" s="587" t="str">
        <f t="shared" si="20"/>
        <v/>
      </c>
      <c r="Y28" s="580"/>
      <c r="Z28" s="251" t="str">
        <f t="shared" si="3"/>
        <v/>
      </c>
      <c r="AA28" s="138" t="str">
        <f t="shared" si="28"/>
        <v/>
      </c>
      <c r="AB28" s="243" t="str">
        <f t="shared" si="21"/>
        <v/>
      </c>
      <c r="AC28" s="141" t="str">
        <f t="shared" si="4"/>
        <v/>
      </c>
      <c r="AD28" s="138" t="str">
        <f t="shared" si="22"/>
        <v/>
      </c>
      <c r="AE28" s="243" t="str">
        <f t="shared" si="5"/>
        <v/>
      </c>
      <c r="AF28" s="342" t="str">
        <f>IF(AM28="Row Not Used","",INDEX(SpaceTable[Annual Hours],(MATCH(B28,SpaceTable[Space Name Concatenated Helper],0))))</f>
        <v/>
      </c>
      <c r="AG28" s="205" t="str">
        <f t="shared" si="6"/>
        <v/>
      </c>
      <c r="AH28" s="234" t="str">
        <f t="shared" si="7"/>
        <v/>
      </c>
      <c r="AI28" s="205" t="str">
        <f t="shared" si="8"/>
        <v/>
      </c>
      <c r="AJ28" s="234" t="str">
        <f t="shared" si="9"/>
        <v/>
      </c>
      <c r="AK28" s="144" t="str">
        <f>IF(AM28="Row Not Used","",INDEX(SpaceTable[Row],(MATCH(B28,SpaceTable[Space Name Concatenated Helper],0))))</f>
        <v/>
      </c>
      <c r="AL28" s="238" t="str">
        <f>IF(AM28="Row Not Used","",INDEX(SpaceTable[HVAC Factor],(MATCH(B28,SpaceTable[Space Name Concatenated Helper],0))))</f>
        <v/>
      </c>
      <c r="AM28" s="520" t="str">
        <f t="shared" si="10"/>
        <v>Row Not Used</v>
      </c>
      <c r="AN28" s="512" t="e" cm="1">
        <f t="array" ref="AN28">INDEX(BallastFactorTable[Ballast Factor],MATCH(1,(BallastFactorTable[Fixture Class]=D28)*(BallastFactorTable[Fixture Category]=E28)*(BallastFactorTable[Fixture Sub-category]=F28),0))</f>
        <v>#N/A</v>
      </c>
      <c r="AO28" s="143" t="str">
        <f t="shared" si="23"/>
        <v/>
      </c>
      <c r="AP28" s="501" t="e" cm="1">
        <f t="array" ref="AP28">INDEX(BallastFactorTable[Wattage Range Name],MATCH(1,(BallastFactorTable[Fixture Class]=D28)*(BallastFactorTable[Fixture Category]=E28)*(BallastFactorTable[Fixture Sub-category]=F28),0))</f>
        <v>#N/A</v>
      </c>
      <c r="AQ28" s="515" t="str">
        <f t="shared" ca="1" si="11"/>
        <v>Okay</v>
      </c>
      <c r="AR28" s="512">
        <f t="shared" si="12"/>
        <v>0</v>
      </c>
      <c r="AS28" s="511" t="str">
        <f>IF(OR(Measures!AM28="Row Not Used",Measures!C28="Controls Only",Measures!C28="Decommissioning"),"",_xlfn.CONCAT(P28," ",Q28))</f>
        <v/>
      </c>
      <c r="AT28" s="264" t="str">
        <f t="shared" si="13"/>
        <v>None</v>
      </c>
      <c r="AU28" s="229">
        <f>IF(OR(AM28="Row Not Used",AM28="Controls Only"),0,INDEX(IncentiveRateTable[Incentive Rate],MATCH(AT28,IncentiveRateTable[Incentive Name],0)))</f>
        <v>0</v>
      </c>
      <c r="AV28" s="133" t="str">
        <f>IF(OR(AM28="Row Not Used",AM28="Controls Only"),"None",INDEX(IncentiveRateTable[Incentive Unit],MATCH(AT28,IncentiveRateTable[Incentive Name],0)))</f>
        <v>None</v>
      </c>
      <c r="AW28" s="578">
        <f t="shared" si="24"/>
        <v>0</v>
      </c>
      <c r="AX28" s="264" t="str">
        <f t="shared" si="14"/>
        <v>None</v>
      </c>
      <c r="AY28" s="229">
        <f>IF(OR(AM28="Row Not Used",AM28="Fixtures Only",AM28="Decommissioning"),0,INDEX(IncentiveRateTable[Incentive Rate],MATCH(AX28,IncentiveRateTable[Incentive Name],0)))</f>
        <v>0</v>
      </c>
      <c r="AZ28" s="133" t="str">
        <f>IF(OR(AM28="Row Not Used",AM28="Fixtures Only",AM28="Decommissioning"),"None",INDEX(IncentiveRateTable[Incentive Unit],MATCH(AX28,IncentiveRateTable[Incentive Name],0)))</f>
        <v>None</v>
      </c>
      <c r="BA28" s="465">
        <f t="shared" si="15"/>
        <v>0</v>
      </c>
      <c r="BB28" s="264" t="e" cm="1">
        <f t="array" ref="BB28">INDEX(BallastFactorTable[Commercial BPA Reference Number],MATCH(1,(BallastFactorTable[Fixture Class]=J28)*(BallastFactorTable[Fixture Category]=K28)*(BallastFactorTable[Fixture Sub-category]=L28),0))</f>
        <v>#N/A</v>
      </c>
      <c r="BC28" s="133" t="e" cm="1">
        <f t="array" ref="BC28">INDEX(BallastFactorTable[Industrial BPA Reference Number],MATCH(1,(BallastFactorTable[Fixture Class]=J28)*(BallastFactorTable[Fixture Category]=K28)*(BallastFactorTable[Fixture Sub-category]=L28),0))</f>
        <v>#N/A</v>
      </c>
      <c r="BD28" s="264" t="str">
        <f t="shared" si="16"/>
        <v>Sector is blank</v>
      </c>
      <c r="BE28" s="269" t="str">
        <f>IF(ISBLANK(SectorField),"Sector is blank",IF(AM28="Row Not Used","",IF(OR(R28="No Controls",ISBLANK(R28)),"",INDEX(ControlsBPARefNoTable[Reference Number],MATCH(SectorField,ControlsBPARefNoTable[Sector],0)))))</f>
        <v>Sector is blank</v>
      </c>
      <c r="BF28" s="530" t="str">
        <f t="shared" si="17"/>
        <v/>
      </c>
      <c r="BG28" s="132" t="str">
        <f t="shared" si="18"/>
        <v/>
      </c>
      <c r="BH28" s="531" t="str">
        <f t="shared" si="19"/>
        <v/>
      </c>
      <c r="BI28" s="532"/>
      <c r="BJ28" s="538" t="str">
        <f t="shared" si="25"/>
        <v/>
      </c>
      <c r="BK28" s="539" t="str">
        <f t="shared" si="26"/>
        <v/>
      </c>
      <c r="BL28" s="547" t="str">
        <f t="shared" si="27"/>
        <v/>
      </c>
    </row>
    <row r="29" spans="1:64" x14ac:dyDescent="0.3">
      <c r="A29" s="133">
        <v>22</v>
      </c>
      <c r="B29" s="294"/>
      <c r="C29" s="313"/>
      <c r="D29" s="292"/>
      <c r="E29" s="284"/>
      <c r="F29" s="284"/>
      <c r="G29" s="295"/>
      <c r="H29" s="296"/>
      <c r="I29" s="297"/>
      <c r="J29" s="292"/>
      <c r="K29" s="284"/>
      <c r="L29" s="284"/>
      <c r="M29" s="295"/>
      <c r="N29" s="296"/>
      <c r="O29" s="296"/>
      <c r="P29" s="284"/>
      <c r="Q29" s="298"/>
      <c r="R29" s="292"/>
      <c r="S29" s="299"/>
      <c r="T29" s="300"/>
      <c r="U29" s="317" t="str">
        <f t="shared" si="1"/>
        <v/>
      </c>
      <c r="V29" s="301"/>
      <c r="W29" s="136" t="str">
        <f t="shared" si="2"/>
        <v/>
      </c>
      <c r="X29" s="588" t="str">
        <f t="shared" si="20"/>
        <v/>
      </c>
      <c r="Y29" s="580"/>
      <c r="Z29" s="251" t="str">
        <f t="shared" si="3"/>
        <v/>
      </c>
      <c r="AA29" s="138" t="str">
        <f t="shared" si="28"/>
        <v/>
      </c>
      <c r="AB29" s="243" t="str">
        <f t="shared" si="21"/>
        <v/>
      </c>
      <c r="AC29" s="141" t="str">
        <f t="shared" si="4"/>
        <v/>
      </c>
      <c r="AD29" s="138" t="str">
        <f t="shared" si="22"/>
        <v/>
      </c>
      <c r="AE29" s="243" t="str">
        <f t="shared" si="5"/>
        <v/>
      </c>
      <c r="AF29" s="342" t="str">
        <f>IF(AM29="Row Not Used","",INDEX(SpaceTable[Annual Hours],(MATCH(B29,SpaceTable[Space Name Concatenated Helper],0))))</f>
        <v/>
      </c>
      <c r="AG29" s="205" t="str">
        <f t="shared" si="6"/>
        <v/>
      </c>
      <c r="AH29" s="234" t="str">
        <f t="shared" si="7"/>
        <v/>
      </c>
      <c r="AI29" s="205" t="str">
        <f t="shared" si="8"/>
        <v/>
      </c>
      <c r="AJ29" s="234" t="str">
        <f t="shared" si="9"/>
        <v/>
      </c>
      <c r="AK29" s="144" t="str">
        <f>IF(AM29="Row Not Used","",INDEX(SpaceTable[Row],(MATCH(B29,SpaceTable[Space Name Concatenated Helper],0))))</f>
        <v/>
      </c>
      <c r="AL29" s="238" t="str">
        <f>IF(AM29="Row Not Used","",INDEX(SpaceTable[HVAC Factor],(MATCH(B29,SpaceTable[Space Name Concatenated Helper],0))))</f>
        <v/>
      </c>
      <c r="AM29" s="520" t="str">
        <f t="shared" si="10"/>
        <v>Row Not Used</v>
      </c>
      <c r="AN29" s="512" t="e" cm="1">
        <f t="array" ref="AN29">INDEX(BallastFactorTable[Ballast Factor],MATCH(1,(BallastFactorTable[Fixture Class]=D29)*(BallastFactorTable[Fixture Category]=E29)*(BallastFactorTable[Fixture Sub-category]=F29),0))</f>
        <v>#N/A</v>
      </c>
      <c r="AO29" s="143" t="str">
        <f t="shared" si="23"/>
        <v/>
      </c>
      <c r="AP29" s="501" t="e" cm="1">
        <f t="array" ref="AP29">INDEX(BallastFactorTable[Wattage Range Name],MATCH(1,(BallastFactorTable[Fixture Class]=D29)*(BallastFactorTable[Fixture Category]=E29)*(BallastFactorTable[Fixture Sub-category]=F29),0))</f>
        <v>#N/A</v>
      </c>
      <c r="AQ29" s="515" t="str">
        <f t="shared" ca="1" si="11"/>
        <v>Okay</v>
      </c>
      <c r="AR29" s="512">
        <f t="shared" si="12"/>
        <v>0</v>
      </c>
      <c r="AS29" s="511" t="str">
        <f>IF(OR(Measures!AM29="Row Not Used",Measures!C29="Controls Only",Measures!C29="Decommissioning"),"",_xlfn.CONCAT(P29," ",Q29))</f>
        <v/>
      </c>
      <c r="AT29" s="264" t="str">
        <f t="shared" si="13"/>
        <v>None</v>
      </c>
      <c r="AU29" s="229">
        <f>IF(OR(AM29="Row Not Used",AM29="Controls Only"),0,INDEX(IncentiveRateTable[Incentive Rate],MATCH(AT29,IncentiveRateTable[Incentive Name],0)))</f>
        <v>0</v>
      </c>
      <c r="AV29" s="133" t="str">
        <f>IF(OR(AM29="Row Not Used",AM29="Controls Only"),"None",INDEX(IncentiveRateTable[Incentive Unit],MATCH(AT29,IncentiveRateTable[Incentive Name],0)))</f>
        <v>None</v>
      </c>
      <c r="AW29" s="578">
        <f t="shared" si="24"/>
        <v>0</v>
      </c>
      <c r="AX29" s="264" t="str">
        <f t="shared" si="14"/>
        <v>None</v>
      </c>
      <c r="AY29" s="229">
        <f>IF(OR(AM29="Row Not Used",AM29="Fixtures Only",AM29="Decommissioning"),0,INDEX(IncentiveRateTable[Incentive Rate],MATCH(AX29,IncentiveRateTable[Incentive Name],0)))</f>
        <v>0</v>
      </c>
      <c r="AZ29" s="133" t="str">
        <f>IF(OR(AM29="Row Not Used",AM29="Fixtures Only",AM29="Decommissioning"),"None",INDEX(IncentiveRateTable[Incentive Unit],MATCH(AX29,IncentiveRateTable[Incentive Name],0)))</f>
        <v>None</v>
      </c>
      <c r="BA29" s="465">
        <f t="shared" si="15"/>
        <v>0</v>
      </c>
      <c r="BB29" s="264" t="e" cm="1">
        <f t="array" ref="BB29">INDEX(BallastFactorTable[Commercial BPA Reference Number],MATCH(1,(BallastFactorTable[Fixture Class]=J29)*(BallastFactorTable[Fixture Category]=K29)*(BallastFactorTable[Fixture Sub-category]=L29),0))</f>
        <v>#N/A</v>
      </c>
      <c r="BC29" s="133" t="e" cm="1">
        <f t="array" ref="BC29">INDEX(BallastFactorTable[Industrial BPA Reference Number],MATCH(1,(BallastFactorTable[Fixture Class]=J29)*(BallastFactorTable[Fixture Category]=K29)*(BallastFactorTable[Fixture Sub-category]=L29),0))</f>
        <v>#N/A</v>
      </c>
      <c r="BD29" s="264" t="str">
        <f t="shared" si="16"/>
        <v>Sector is blank</v>
      </c>
      <c r="BE29" s="269" t="str">
        <f>IF(ISBLANK(SectorField),"Sector is blank",IF(AM29="Row Not Used","",IF(OR(R29="No Controls",ISBLANK(R29)),"",INDEX(ControlsBPARefNoTable[Reference Number],MATCH(SectorField,ControlsBPARefNoTable[Sector],0)))))</f>
        <v>Sector is blank</v>
      </c>
      <c r="BF29" s="530" t="str">
        <f t="shared" si="17"/>
        <v/>
      </c>
      <c r="BG29" s="132" t="str">
        <f t="shared" si="18"/>
        <v/>
      </c>
      <c r="BH29" s="531" t="str">
        <f t="shared" si="19"/>
        <v/>
      </c>
      <c r="BI29" s="532"/>
      <c r="BJ29" s="538" t="str">
        <f t="shared" si="25"/>
        <v/>
      </c>
      <c r="BK29" s="539" t="str">
        <f t="shared" si="26"/>
        <v/>
      </c>
      <c r="BL29" s="547" t="str">
        <f t="shared" si="27"/>
        <v/>
      </c>
    </row>
    <row r="30" spans="1:64" x14ac:dyDescent="0.3">
      <c r="A30" s="133">
        <v>23</v>
      </c>
      <c r="B30" s="294"/>
      <c r="C30" s="313"/>
      <c r="D30" s="292"/>
      <c r="E30" s="284"/>
      <c r="F30" s="284"/>
      <c r="G30" s="295"/>
      <c r="H30" s="296"/>
      <c r="I30" s="297"/>
      <c r="J30" s="292"/>
      <c r="K30" s="284"/>
      <c r="L30" s="284"/>
      <c r="M30" s="295"/>
      <c r="N30" s="296"/>
      <c r="O30" s="296"/>
      <c r="P30" s="284"/>
      <c r="Q30" s="298"/>
      <c r="R30" s="292"/>
      <c r="S30" s="299"/>
      <c r="T30" s="300"/>
      <c r="U30" s="317" t="str">
        <f t="shared" si="1"/>
        <v/>
      </c>
      <c r="V30" s="301"/>
      <c r="W30" s="136" t="str">
        <f t="shared" si="2"/>
        <v/>
      </c>
      <c r="X30" s="588" t="str">
        <f t="shared" si="20"/>
        <v/>
      </c>
      <c r="Y30" s="580"/>
      <c r="Z30" s="251" t="str">
        <f t="shared" si="3"/>
        <v/>
      </c>
      <c r="AA30" s="138" t="str">
        <f t="shared" si="28"/>
        <v/>
      </c>
      <c r="AB30" s="243" t="str">
        <f t="shared" si="21"/>
        <v/>
      </c>
      <c r="AC30" s="141" t="str">
        <f t="shared" si="4"/>
        <v/>
      </c>
      <c r="AD30" s="138" t="str">
        <f t="shared" si="22"/>
        <v/>
      </c>
      <c r="AE30" s="243" t="str">
        <f t="shared" si="5"/>
        <v/>
      </c>
      <c r="AF30" s="342" t="str">
        <f>IF(AM30="Row Not Used","",INDEX(SpaceTable[Annual Hours],(MATCH(B30,SpaceTable[Space Name Concatenated Helper],0))))</f>
        <v/>
      </c>
      <c r="AG30" s="205" t="str">
        <f t="shared" si="6"/>
        <v/>
      </c>
      <c r="AH30" s="234" t="str">
        <f t="shared" si="7"/>
        <v/>
      </c>
      <c r="AI30" s="205" t="str">
        <f t="shared" si="8"/>
        <v/>
      </c>
      <c r="AJ30" s="234" t="str">
        <f t="shared" si="9"/>
        <v/>
      </c>
      <c r="AK30" s="144" t="str">
        <f>IF(AM30="Row Not Used","",INDEX(SpaceTable[Row],(MATCH(B30,SpaceTable[Space Name Concatenated Helper],0))))</f>
        <v/>
      </c>
      <c r="AL30" s="238" t="str">
        <f>IF(AM30="Row Not Used","",INDEX(SpaceTable[HVAC Factor],(MATCH(B30,SpaceTable[Space Name Concatenated Helper],0))))</f>
        <v/>
      </c>
      <c r="AM30" s="520" t="str">
        <f t="shared" si="10"/>
        <v>Row Not Used</v>
      </c>
      <c r="AN30" s="512" t="e" cm="1">
        <f t="array" ref="AN30">INDEX(BallastFactorTable[Ballast Factor],MATCH(1,(BallastFactorTable[Fixture Class]=D30)*(BallastFactorTable[Fixture Category]=E30)*(BallastFactorTable[Fixture Sub-category]=F30),0))</f>
        <v>#N/A</v>
      </c>
      <c r="AO30" s="143" t="str">
        <f t="shared" si="23"/>
        <v/>
      </c>
      <c r="AP30" s="501" t="e" cm="1">
        <f t="array" ref="AP30">INDEX(BallastFactorTable[Wattage Range Name],MATCH(1,(BallastFactorTable[Fixture Class]=D30)*(BallastFactorTable[Fixture Category]=E30)*(BallastFactorTable[Fixture Sub-category]=F30),0))</f>
        <v>#N/A</v>
      </c>
      <c r="AQ30" s="515" t="str">
        <f t="shared" ca="1" si="11"/>
        <v>Okay</v>
      </c>
      <c r="AR30" s="512">
        <f t="shared" si="12"/>
        <v>0</v>
      </c>
      <c r="AS30" s="511" t="str">
        <f>IF(OR(Measures!AM30="Row Not Used",Measures!C30="Controls Only",Measures!C30="Decommissioning"),"",_xlfn.CONCAT(P30," ",Q30))</f>
        <v/>
      </c>
      <c r="AT30" s="264" t="str">
        <f t="shared" si="13"/>
        <v>None</v>
      </c>
      <c r="AU30" s="229">
        <f>IF(OR(AM30="Row Not Used",AM30="Controls Only"),0,INDEX(IncentiveRateTable[Incentive Rate],MATCH(AT30,IncentiveRateTable[Incentive Name],0)))</f>
        <v>0</v>
      </c>
      <c r="AV30" s="133" t="str">
        <f>IF(OR(AM30="Row Not Used",AM30="Controls Only"),"None",INDEX(IncentiveRateTable[Incentive Unit],MATCH(AT30,IncentiveRateTable[Incentive Name],0)))</f>
        <v>None</v>
      </c>
      <c r="AW30" s="578">
        <f t="shared" si="24"/>
        <v>0</v>
      </c>
      <c r="AX30" s="264" t="str">
        <f t="shared" si="14"/>
        <v>None</v>
      </c>
      <c r="AY30" s="229">
        <f>IF(OR(AM30="Row Not Used",AM30="Fixtures Only",AM30="Decommissioning"),0,INDEX(IncentiveRateTable[Incentive Rate],MATCH(AX30,IncentiveRateTable[Incentive Name],0)))</f>
        <v>0</v>
      </c>
      <c r="AZ30" s="133" t="str">
        <f>IF(OR(AM30="Row Not Used",AM30="Fixtures Only",AM30="Decommissioning"),"None",INDEX(IncentiveRateTable[Incentive Unit],MATCH(AX30,IncentiveRateTable[Incentive Name],0)))</f>
        <v>None</v>
      </c>
      <c r="BA30" s="465">
        <f t="shared" si="15"/>
        <v>0</v>
      </c>
      <c r="BB30" s="264" t="e" cm="1">
        <f t="array" ref="BB30">INDEX(BallastFactorTable[Commercial BPA Reference Number],MATCH(1,(BallastFactorTable[Fixture Class]=J30)*(BallastFactorTable[Fixture Category]=K30)*(BallastFactorTable[Fixture Sub-category]=L30),0))</f>
        <v>#N/A</v>
      </c>
      <c r="BC30" s="133" t="e" cm="1">
        <f t="array" ref="BC30">INDEX(BallastFactorTable[Industrial BPA Reference Number],MATCH(1,(BallastFactorTable[Fixture Class]=J30)*(BallastFactorTable[Fixture Category]=K30)*(BallastFactorTable[Fixture Sub-category]=L30),0))</f>
        <v>#N/A</v>
      </c>
      <c r="BD30" s="264" t="str">
        <f t="shared" si="16"/>
        <v>Sector is blank</v>
      </c>
      <c r="BE30" s="269" t="str">
        <f>IF(ISBLANK(SectorField),"Sector is blank",IF(AM30="Row Not Used","",IF(OR(R30="No Controls",ISBLANK(R30)),"",INDEX(ControlsBPARefNoTable[Reference Number],MATCH(SectorField,ControlsBPARefNoTable[Sector],0)))))</f>
        <v>Sector is blank</v>
      </c>
      <c r="BF30" s="530" t="str">
        <f t="shared" si="17"/>
        <v/>
      </c>
      <c r="BG30" s="132" t="str">
        <f t="shared" si="18"/>
        <v/>
      </c>
      <c r="BH30" s="531" t="str">
        <f t="shared" si="19"/>
        <v/>
      </c>
      <c r="BI30" s="532"/>
      <c r="BJ30" s="538" t="str">
        <f t="shared" si="25"/>
        <v/>
      </c>
      <c r="BK30" s="539" t="str">
        <f t="shared" si="26"/>
        <v/>
      </c>
      <c r="BL30" s="547" t="str">
        <f t="shared" si="27"/>
        <v/>
      </c>
    </row>
    <row r="31" spans="1:64" x14ac:dyDescent="0.3">
      <c r="A31" s="133">
        <v>24</v>
      </c>
      <c r="B31" s="294"/>
      <c r="C31" s="313"/>
      <c r="D31" s="292"/>
      <c r="E31" s="284"/>
      <c r="F31" s="284"/>
      <c r="G31" s="295"/>
      <c r="H31" s="296"/>
      <c r="I31" s="297"/>
      <c r="J31" s="292"/>
      <c r="K31" s="284"/>
      <c r="L31" s="284"/>
      <c r="M31" s="295"/>
      <c r="N31" s="296"/>
      <c r="O31" s="296"/>
      <c r="P31" s="284"/>
      <c r="Q31" s="298"/>
      <c r="R31" s="292"/>
      <c r="S31" s="299"/>
      <c r="T31" s="300"/>
      <c r="U31" s="317" t="str">
        <f t="shared" si="1"/>
        <v/>
      </c>
      <c r="V31" s="301"/>
      <c r="W31" s="136" t="str">
        <f t="shared" si="2"/>
        <v/>
      </c>
      <c r="X31" s="588" t="str">
        <f t="shared" si="20"/>
        <v/>
      </c>
      <c r="Y31" s="580"/>
      <c r="Z31" s="251" t="str">
        <f t="shared" si="3"/>
        <v/>
      </c>
      <c r="AA31" s="138" t="str">
        <f t="shared" si="28"/>
        <v/>
      </c>
      <c r="AB31" s="243" t="str">
        <f t="shared" si="21"/>
        <v/>
      </c>
      <c r="AC31" s="141" t="str">
        <f t="shared" si="4"/>
        <v/>
      </c>
      <c r="AD31" s="138" t="str">
        <f t="shared" si="22"/>
        <v/>
      </c>
      <c r="AE31" s="243" t="str">
        <f t="shared" si="5"/>
        <v/>
      </c>
      <c r="AF31" s="342" t="str">
        <f>IF(AM31="Row Not Used","",INDEX(SpaceTable[Annual Hours],(MATCH(B31,SpaceTable[Space Name Concatenated Helper],0))))</f>
        <v/>
      </c>
      <c r="AG31" s="205" t="str">
        <f t="shared" si="6"/>
        <v/>
      </c>
      <c r="AH31" s="234" t="str">
        <f t="shared" si="7"/>
        <v/>
      </c>
      <c r="AI31" s="205" t="str">
        <f t="shared" si="8"/>
        <v/>
      </c>
      <c r="AJ31" s="234" t="str">
        <f t="shared" si="9"/>
        <v/>
      </c>
      <c r="AK31" s="144" t="str">
        <f>IF(AM31="Row Not Used","",INDEX(SpaceTable[Row],(MATCH(B31,SpaceTable[Space Name Concatenated Helper],0))))</f>
        <v/>
      </c>
      <c r="AL31" s="238" t="str">
        <f>IF(AM31="Row Not Used","",INDEX(SpaceTable[HVAC Factor],(MATCH(B31,SpaceTable[Space Name Concatenated Helper],0))))</f>
        <v/>
      </c>
      <c r="AM31" s="520" t="str">
        <f t="shared" si="10"/>
        <v>Row Not Used</v>
      </c>
      <c r="AN31" s="512" t="e" cm="1">
        <f t="array" ref="AN31">INDEX(BallastFactorTable[Ballast Factor],MATCH(1,(BallastFactorTable[Fixture Class]=D31)*(BallastFactorTable[Fixture Category]=E31)*(BallastFactorTable[Fixture Sub-category]=F31),0))</f>
        <v>#N/A</v>
      </c>
      <c r="AO31" s="143" t="str">
        <f t="shared" si="23"/>
        <v/>
      </c>
      <c r="AP31" s="501" t="e" cm="1">
        <f t="array" ref="AP31">INDEX(BallastFactorTable[Wattage Range Name],MATCH(1,(BallastFactorTable[Fixture Class]=D31)*(BallastFactorTable[Fixture Category]=E31)*(BallastFactorTable[Fixture Sub-category]=F31),0))</f>
        <v>#N/A</v>
      </c>
      <c r="AQ31" s="515" t="str">
        <f t="shared" ca="1" si="11"/>
        <v>Okay</v>
      </c>
      <c r="AR31" s="512">
        <f t="shared" si="12"/>
        <v>0</v>
      </c>
      <c r="AS31" s="511" t="str">
        <f>IF(OR(Measures!AM31="Row Not Used",Measures!C31="Controls Only",Measures!C31="Decommissioning"),"",_xlfn.CONCAT(P31," ",Q31))</f>
        <v/>
      </c>
      <c r="AT31" s="264" t="str">
        <f t="shared" si="13"/>
        <v>None</v>
      </c>
      <c r="AU31" s="229">
        <f>IF(OR(AM31="Row Not Used",AM31="Controls Only"),0,INDEX(IncentiveRateTable[Incentive Rate],MATCH(AT31,IncentiveRateTable[Incentive Name],0)))</f>
        <v>0</v>
      </c>
      <c r="AV31" s="133" t="str">
        <f>IF(OR(AM31="Row Not Used",AM31="Controls Only"),"None",INDEX(IncentiveRateTable[Incentive Unit],MATCH(AT31,IncentiveRateTable[Incentive Name],0)))</f>
        <v>None</v>
      </c>
      <c r="AW31" s="578">
        <f t="shared" si="24"/>
        <v>0</v>
      </c>
      <c r="AX31" s="264" t="str">
        <f t="shared" si="14"/>
        <v>None</v>
      </c>
      <c r="AY31" s="229">
        <f>IF(OR(AM31="Row Not Used",AM31="Fixtures Only",AM31="Decommissioning"),0,INDEX(IncentiveRateTable[Incentive Rate],MATCH(AX31,IncentiveRateTable[Incentive Name],0)))</f>
        <v>0</v>
      </c>
      <c r="AZ31" s="133" t="str">
        <f>IF(OR(AM31="Row Not Used",AM31="Fixtures Only",AM31="Decommissioning"),"None",INDEX(IncentiveRateTable[Incentive Unit],MATCH(AX31,IncentiveRateTable[Incentive Name],0)))</f>
        <v>None</v>
      </c>
      <c r="BA31" s="465">
        <f t="shared" si="15"/>
        <v>0</v>
      </c>
      <c r="BB31" s="264" t="e" cm="1">
        <f t="array" ref="BB31">INDEX(BallastFactorTable[Commercial BPA Reference Number],MATCH(1,(BallastFactorTable[Fixture Class]=J31)*(BallastFactorTable[Fixture Category]=K31)*(BallastFactorTable[Fixture Sub-category]=L31),0))</f>
        <v>#N/A</v>
      </c>
      <c r="BC31" s="133" t="e" cm="1">
        <f t="array" ref="BC31">INDEX(BallastFactorTable[Industrial BPA Reference Number],MATCH(1,(BallastFactorTable[Fixture Class]=J31)*(BallastFactorTable[Fixture Category]=K31)*(BallastFactorTable[Fixture Sub-category]=L31),0))</f>
        <v>#N/A</v>
      </c>
      <c r="BD31" s="264" t="str">
        <f t="shared" si="16"/>
        <v>Sector is blank</v>
      </c>
      <c r="BE31" s="269" t="str">
        <f>IF(ISBLANK(SectorField),"Sector is blank",IF(AM31="Row Not Used","",IF(OR(R31="No Controls",ISBLANK(R31)),"",INDEX(ControlsBPARefNoTable[Reference Number],MATCH(SectorField,ControlsBPARefNoTable[Sector],0)))))</f>
        <v>Sector is blank</v>
      </c>
      <c r="BF31" s="530" t="str">
        <f t="shared" si="17"/>
        <v/>
      </c>
      <c r="BG31" s="132" t="str">
        <f t="shared" si="18"/>
        <v/>
      </c>
      <c r="BH31" s="531" t="str">
        <f t="shared" si="19"/>
        <v/>
      </c>
      <c r="BI31" s="532"/>
      <c r="BJ31" s="538" t="str">
        <f t="shared" si="25"/>
        <v/>
      </c>
      <c r="BK31" s="539" t="str">
        <f t="shared" si="26"/>
        <v/>
      </c>
      <c r="BL31" s="547" t="str">
        <f t="shared" si="27"/>
        <v/>
      </c>
    </row>
    <row r="32" spans="1:64" x14ac:dyDescent="0.3">
      <c r="A32" s="133">
        <v>25</v>
      </c>
      <c r="B32" s="294"/>
      <c r="C32" s="313"/>
      <c r="D32" s="292"/>
      <c r="E32" s="284"/>
      <c r="F32" s="284"/>
      <c r="G32" s="295"/>
      <c r="H32" s="296"/>
      <c r="I32" s="297"/>
      <c r="J32" s="292"/>
      <c r="K32" s="284"/>
      <c r="L32" s="284"/>
      <c r="M32" s="295"/>
      <c r="N32" s="296"/>
      <c r="O32" s="296"/>
      <c r="P32" s="284"/>
      <c r="Q32" s="298"/>
      <c r="R32" s="292"/>
      <c r="S32" s="299"/>
      <c r="T32" s="300"/>
      <c r="U32" s="317" t="str">
        <f t="shared" si="1"/>
        <v/>
      </c>
      <c r="V32" s="301"/>
      <c r="W32" s="136" t="str">
        <f t="shared" si="2"/>
        <v/>
      </c>
      <c r="X32" s="588" t="str">
        <f t="shared" si="20"/>
        <v/>
      </c>
      <c r="Y32" s="580"/>
      <c r="Z32" s="251" t="str">
        <f t="shared" si="3"/>
        <v/>
      </c>
      <c r="AA32" s="138" t="str">
        <f t="shared" si="28"/>
        <v/>
      </c>
      <c r="AB32" s="243" t="str">
        <f t="shared" si="21"/>
        <v/>
      </c>
      <c r="AC32" s="141" t="str">
        <f t="shared" si="4"/>
        <v/>
      </c>
      <c r="AD32" s="138" t="str">
        <f t="shared" si="22"/>
        <v/>
      </c>
      <c r="AE32" s="243" t="str">
        <f t="shared" si="5"/>
        <v/>
      </c>
      <c r="AF32" s="342" t="str">
        <f>IF(AM32="Row Not Used","",INDEX(SpaceTable[Annual Hours],(MATCH(B32,SpaceTable[Space Name Concatenated Helper],0))))</f>
        <v/>
      </c>
      <c r="AG32" s="205" t="str">
        <f t="shared" si="6"/>
        <v/>
      </c>
      <c r="AH32" s="234" t="str">
        <f t="shared" si="7"/>
        <v/>
      </c>
      <c r="AI32" s="205" t="str">
        <f t="shared" si="8"/>
        <v/>
      </c>
      <c r="AJ32" s="234" t="str">
        <f t="shared" si="9"/>
        <v/>
      </c>
      <c r="AK32" s="144" t="str">
        <f>IF(AM32="Row Not Used","",INDEX(SpaceTable[Row],(MATCH(B32,SpaceTable[Space Name Concatenated Helper],0))))</f>
        <v/>
      </c>
      <c r="AL32" s="238" t="str">
        <f>IF(AM32="Row Not Used","",INDEX(SpaceTable[HVAC Factor],(MATCH(B32,SpaceTable[Space Name Concatenated Helper],0))))</f>
        <v/>
      </c>
      <c r="AM32" s="520" t="str">
        <f t="shared" si="10"/>
        <v>Row Not Used</v>
      </c>
      <c r="AN32" s="512" t="e" cm="1">
        <f t="array" ref="AN32">INDEX(BallastFactorTable[Ballast Factor],MATCH(1,(BallastFactorTable[Fixture Class]=D32)*(BallastFactorTable[Fixture Category]=E32)*(BallastFactorTable[Fixture Sub-category]=F32),0))</f>
        <v>#N/A</v>
      </c>
      <c r="AO32" s="143" t="str">
        <f t="shared" si="23"/>
        <v/>
      </c>
      <c r="AP32" s="501" t="e" cm="1">
        <f t="array" ref="AP32">INDEX(BallastFactorTable[Wattage Range Name],MATCH(1,(BallastFactorTable[Fixture Class]=D32)*(BallastFactorTable[Fixture Category]=E32)*(BallastFactorTable[Fixture Sub-category]=F32),0))</f>
        <v>#N/A</v>
      </c>
      <c r="AQ32" s="515" t="str">
        <f t="shared" ca="1" si="11"/>
        <v>Okay</v>
      </c>
      <c r="AR32" s="512">
        <f t="shared" si="12"/>
        <v>0</v>
      </c>
      <c r="AS32" s="511" t="str">
        <f>IF(OR(Measures!AM32="Row Not Used",Measures!C32="Controls Only",Measures!C32="Decommissioning"),"",_xlfn.CONCAT(P32," ",Q32))</f>
        <v/>
      </c>
      <c r="AT32" s="264" t="str">
        <f t="shared" si="13"/>
        <v>None</v>
      </c>
      <c r="AU32" s="229">
        <f>IF(OR(AM32="Row Not Used",AM32="Controls Only"),0,INDEX(IncentiveRateTable[Incentive Rate],MATCH(AT32,IncentiveRateTable[Incentive Name],0)))</f>
        <v>0</v>
      </c>
      <c r="AV32" s="133" t="str">
        <f>IF(OR(AM32="Row Not Used",AM32="Controls Only"),"None",INDEX(IncentiveRateTable[Incentive Unit],MATCH(AT32,IncentiveRateTable[Incentive Name],0)))</f>
        <v>None</v>
      </c>
      <c r="AW32" s="578">
        <f t="shared" si="24"/>
        <v>0</v>
      </c>
      <c r="AX32" s="264" t="str">
        <f t="shared" si="14"/>
        <v>None</v>
      </c>
      <c r="AY32" s="229">
        <f>IF(OR(AM32="Row Not Used",AM32="Fixtures Only",AM32="Decommissioning"),0,INDEX(IncentiveRateTable[Incentive Rate],MATCH(AX32,IncentiveRateTable[Incentive Name],0)))</f>
        <v>0</v>
      </c>
      <c r="AZ32" s="133" t="str">
        <f>IF(OR(AM32="Row Not Used",AM32="Fixtures Only",AM32="Decommissioning"),"None",INDEX(IncentiveRateTable[Incentive Unit],MATCH(AX32,IncentiveRateTable[Incentive Name],0)))</f>
        <v>None</v>
      </c>
      <c r="BA32" s="465">
        <f t="shared" si="15"/>
        <v>0</v>
      </c>
      <c r="BB32" s="264" t="e" cm="1">
        <f t="array" ref="BB32">INDEX(BallastFactorTable[Commercial BPA Reference Number],MATCH(1,(BallastFactorTable[Fixture Class]=J32)*(BallastFactorTable[Fixture Category]=K32)*(BallastFactorTable[Fixture Sub-category]=L32),0))</f>
        <v>#N/A</v>
      </c>
      <c r="BC32" s="133" t="e" cm="1">
        <f t="array" ref="BC32">INDEX(BallastFactorTable[Industrial BPA Reference Number],MATCH(1,(BallastFactorTable[Fixture Class]=J32)*(BallastFactorTable[Fixture Category]=K32)*(BallastFactorTable[Fixture Sub-category]=L32),0))</f>
        <v>#N/A</v>
      </c>
      <c r="BD32" s="264" t="str">
        <f t="shared" si="16"/>
        <v>Sector is blank</v>
      </c>
      <c r="BE32" s="269" t="str">
        <f>IF(ISBLANK(SectorField),"Sector is blank",IF(AM32="Row Not Used","",IF(OR(R32="No Controls",ISBLANK(R32)),"",INDEX(ControlsBPARefNoTable[Reference Number],MATCH(SectorField,ControlsBPARefNoTable[Sector],0)))))</f>
        <v>Sector is blank</v>
      </c>
      <c r="BF32" s="530" t="str">
        <f t="shared" si="17"/>
        <v/>
      </c>
      <c r="BG32" s="132" t="str">
        <f t="shared" si="18"/>
        <v/>
      </c>
      <c r="BH32" s="531" t="str">
        <f t="shared" si="19"/>
        <v/>
      </c>
      <c r="BI32" s="532"/>
      <c r="BJ32" s="538" t="str">
        <f t="shared" si="25"/>
        <v/>
      </c>
      <c r="BK32" s="539" t="str">
        <f t="shared" si="26"/>
        <v/>
      </c>
      <c r="BL32" s="547" t="str">
        <f t="shared" si="27"/>
        <v/>
      </c>
    </row>
    <row r="33" spans="1:64" x14ac:dyDescent="0.3">
      <c r="A33" s="133">
        <v>26</v>
      </c>
      <c r="B33" s="294"/>
      <c r="C33" s="313"/>
      <c r="D33" s="292"/>
      <c r="E33" s="284"/>
      <c r="F33" s="284"/>
      <c r="G33" s="295"/>
      <c r="H33" s="296"/>
      <c r="I33" s="297"/>
      <c r="J33" s="292"/>
      <c r="K33" s="284"/>
      <c r="L33" s="284"/>
      <c r="M33" s="295"/>
      <c r="N33" s="296"/>
      <c r="O33" s="296"/>
      <c r="P33" s="284"/>
      <c r="Q33" s="298"/>
      <c r="R33" s="292"/>
      <c r="S33" s="299"/>
      <c r="T33" s="300"/>
      <c r="U33" s="317" t="str">
        <f t="shared" si="1"/>
        <v/>
      </c>
      <c r="V33" s="301"/>
      <c r="W33" s="136" t="str">
        <f t="shared" si="2"/>
        <v/>
      </c>
      <c r="X33" s="588" t="str">
        <f t="shared" si="20"/>
        <v/>
      </c>
      <c r="Y33" s="580"/>
      <c r="Z33" s="251" t="str">
        <f t="shared" si="3"/>
        <v/>
      </c>
      <c r="AA33" s="138" t="str">
        <f t="shared" si="28"/>
        <v/>
      </c>
      <c r="AB33" s="243" t="str">
        <f t="shared" si="21"/>
        <v/>
      </c>
      <c r="AC33" s="141" t="str">
        <f t="shared" si="4"/>
        <v/>
      </c>
      <c r="AD33" s="138" t="str">
        <f t="shared" si="22"/>
        <v/>
      </c>
      <c r="AE33" s="243" t="str">
        <f t="shared" si="5"/>
        <v/>
      </c>
      <c r="AF33" s="342" t="str">
        <f>IF(AM33="Row Not Used","",INDEX(SpaceTable[Annual Hours],(MATCH(B33,SpaceTable[Space Name Concatenated Helper],0))))</f>
        <v/>
      </c>
      <c r="AG33" s="205" t="str">
        <f t="shared" si="6"/>
        <v/>
      </c>
      <c r="AH33" s="234" t="str">
        <f t="shared" si="7"/>
        <v/>
      </c>
      <c r="AI33" s="205" t="str">
        <f t="shared" si="8"/>
        <v/>
      </c>
      <c r="AJ33" s="234" t="str">
        <f t="shared" si="9"/>
        <v/>
      </c>
      <c r="AK33" s="144" t="str">
        <f>IF(AM33="Row Not Used","",INDEX(SpaceTable[Row],(MATCH(B33,SpaceTable[Space Name Concatenated Helper],0))))</f>
        <v/>
      </c>
      <c r="AL33" s="238" t="str">
        <f>IF(AM33="Row Not Used","",INDEX(SpaceTable[HVAC Factor],(MATCH(B33,SpaceTable[Space Name Concatenated Helper],0))))</f>
        <v/>
      </c>
      <c r="AM33" s="520" t="str">
        <f t="shared" si="10"/>
        <v>Row Not Used</v>
      </c>
      <c r="AN33" s="512" t="e" cm="1">
        <f t="array" ref="AN33">INDEX(BallastFactorTable[Ballast Factor],MATCH(1,(BallastFactorTable[Fixture Class]=D33)*(BallastFactorTable[Fixture Category]=E33)*(BallastFactorTable[Fixture Sub-category]=F33),0))</f>
        <v>#N/A</v>
      </c>
      <c r="AO33" s="143" t="str">
        <f t="shared" si="23"/>
        <v/>
      </c>
      <c r="AP33" s="501" t="e" cm="1">
        <f t="array" ref="AP33">INDEX(BallastFactorTable[Wattage Range Name],MATCH(1,(BallastFactorTable[Fixture Class]=D33)*(BallastFactorTable[Fixture Category]=E33)*(BallastFactorTable[Fixture Sub-category]=F33),0))</f>
        <v>#N/A</v>
      </c>
      <c r="AQ33" s="515" t="str">
        <f t="shared" ca="1" si="11"/>
        <v>Okay</v>
      </c>
      <c r="AR33" s="512">
        <f t="shared" si="12"/>
        <v>0</v>
      </c>
      <c r="AS33" s="511" t="str">
        <f>IF(OR(Measures!AM33="Row Not Used",Measures!C33="Controls Only",Measures!C33="Decommissioning"),"",_xlfn.CONCAT(P33," ",Q33))</f>
        <v/>
      </c>
      <c r="AT33" s="264" t="str">
        <f t="shared" si="13"/>
        <v>None</v>
      </c>
      <c r="AU33" s="229">
        <f>IF(OR(AM33="Row Not Used",AM33="Controls Only"),0,INDEX(IncentiveRateTable[Incentive Rate],MATCH(AT33,IncentiveRateTable[Incentive Name],0)))</f>
        <v>0</v>
      </c>
      <c r="AV33" s="133" t="str">
        <f>IF(OR(AM33="Row Not Used",AM33="Controls Only"),"None",INDEX(IncentiveRateTable[Incentive Unit],MATCH(AT33,IncentiveRateTable[Incentive Name],0)))</f>
        <v>None</v>
      </c>
      <c r="AW33" s="578">
        <f t="shared" si="24"/>
        <v>0</v>
      </c>
      <c r="AX33" s="264" t="str">
        <f t="shared" si="14"/>
        <v>None</v>
      </c>
      <c r="AY33" s="229">
        <f>IF(OR(AM33="Row Not Used",AM33="Fixtures Only",AM33="Decommissioning"),0,INDEX(IncentiveRateTable[Incentive Rate],MATCH(AX33,IncentiveRateTable[Incentive Name],0)))</f>
        <v>0</v>
      </c>
      <c r="AZ33" s="133" t="str">
        <f>IF(OR(AM33="Row Not Used",AM33="Fixtures Only",AM33="Decommissioning"),"None",INDEX(IncentiveRateTable[Incentive Unit],MATCH(AX33,IncentiveRateTable[Incentive Name],0)))</f>
        <v>None</v>
      </c>
      <c r="BA33" s="465">
        <f t="shared" si="15"/>
        <v>0</v>
      </c>
      <c r="BB33" s="264" t="e" cm="1">
        <f t="array" ref="BB33">INDEX(BallastFactorTable[Commercial BPA Reference Number],MATCH(1,(BallastFactorTable[Fixture Class]=J33)*(BallastFactorTable[Fixture Category]=K33)*(BallastFactorTable[Fixture Sub-category]=L33),0))</f>
        <v>#N/A</v>
      </c>
      <c r="BC33" s="133" t="e" cm="1">
        <f t="array" ref="BC33">INDEX(BallastFactorTable[Industrial BPA Reference Number],MATCH(1,(BallastFactorTable[Fixture Class]=J33)*(BallastFactorTable[Fixture Category]=K33)*(BallastFactorTable[Fixture Sub-category]=L33),0))</f>
        <v>#N/A</v>
      </c>
      <c r="BD33" s="264" t="str">
        <f t="shared" si="16"/>
        <v>Sector is blank</v>
      </c>
      <c r="BE33" s="269" t="str">
        <f>IF(ISBLANK(SectorField),"Sector is blank",IF(AM33="Row Not Used","",IF(OR(R33="No Controls",ISBLANK(R33)),"",INDEX(ControlsBPARefNoTable[Reference Number],MATCH(SectorField,ControlsBPARefNoTable[Sector],0)))))</f>
        <v>Sector is blank</v>
      </c>
      <c r="BF33" s="530" t="str">
        <f t="shared" si="17"/>
        <v/>
      </c>
      <c r="BG33" s="132" t="str">
        <f t="shared" si="18"/>
        <v/>
      </c>
      <c r="BH33" s="531" t="str">
        <f t="shared" si="19"/>
        <v/>
      </c>
      <c r="BI33" s="532"/>
      <c r="BJ33" s="538" t="str">
        <f t="shared" si="25"/>
        <v/>
      </c>
      <c r="BK33" s="539" t="str">
        <f t="shared" si="26"/>
        <v/>
      </c>
      <c r="BL33" s="547" t="str">
        <f t="shared" si="27"/>
        <v/>
      </c>
    </row>
    <row r="34" spans="1:64" x14ac:dyDescent="0.3">
      <c r="A34" s="133">
        <v>27</v>
      </c>
      <c r="B34" s="294"/>
      <c r="C34" s="313"/>
      <c r="D34" s="292"/>
      <c r="E34" s="284"/>
      <c r="F34" s="284"/>
      <c r="G34" s="295"/>
      <c r="H34" s="296"/>
      <c r="I34" s="297"/>
      <c r="J34" s="292"/>
      <c r="K34" s="284"/>
      <c r="L34" s="284"/>
      <c r="M34" s="295"/>
      <c r="N34" s="296"/>
      <c r="O34" s="296"/>
      <c r="P34" s="284"/>
      <c r="Q34" s="298"/>
      <c r="R34" s="292"/>
      <c r="S34" s="299"/>
      <c r="T34" s="300"/>
      <c r="U34" s="317" t="str">
        <f t="shared" si="1"/>
        <v/>
      </c>
      <c r="V34" s="301"/>
      <c r="W34" s="137" t="str">
        <f t="shared" si="2"/>
        <v/>
      </c>
      <c r="X34" s="589" t="str">
        <f t="shared" si="20"/>
        <v/>
      </c>
      <c r="Y34" s="581"/>
      <c r="Z34" s="251" t="str">
        <f t="shared" si="3"/>
        <v/>
      </c>
      <c r="AA34" s="138" t="str">
        <f t="shared" si="28"/>
        <v/>
      </c>
      <c r="AB34" s="243" t="str">
        <f t="shared" si="21"/>
        <v/>
      </c>
      <c r="AC34" s="141" t="str">
        <f t="shared" si="4"/>
        <v/>
      </c>
      <c r="AD34" s="138" t="str">
        <f t="shared" si="22"/>
        <v/>
      </c>
      <c r="AE34" s="243" t="str">
        <f t="shared" si="5"/>
        <v/>
      </c>
      <c r="AF34" s="342" t="str">
        <f>IF(AM34="Row Not Used","",INDEX(SpaceTable[Annual Hours],(MATCH(B34,SpaceTable[Space Name Concatenated Helper],0))))</f>
        <v/>
      </c>
      <c r="AG34" s="205" t="str">
        <f t="shared" si="6"/>
        <v/>
      </c>
      <c r="AH34" s="234" t="str">
        <f t="shared" si="7"/>
        <v/>
      </c>
      <c r="AI34" s="205" t="str">
        <f t="shared" si="8"/>
        <v/>
      </c>
      <c r="AJ34" s="234" t="str">
        <f t="shared" si="9"/>
        <v/>
      </c>
      <c r="AK34" s="144" t="str">
        <f>IF(AM34="Row Not Used","",INDEX(SpaceTable[Row],(MATCH(B34,SpaceTable[Space Name Concatenated Helper],0))))</f>
        <v/>
      </c>
      <c r="AL34" s="238" t="str">
        <f>IF(AM34="Row Not Used","",INDEX(SpaceTable[HVAC Factor],(MATCH(B34,SpaceTable[Space Name Concatenated Helper],0))))</f>
        <v/>
      </c>
      <c r="AM34" s="520" t="str">
        <f t="shared" si="10"/>
        <v>Row Not Used</v>
      </c>
      <c r="AN34" s="512" t="e" cm="1">
        <f t="array" ref="AN34">INDEX(BallastFactorTable[Ballast Factor],MATCH(1,(BallastFactorTable[Fixture Class]=D34)*(BallastFactorTable[Fixture Category]=E34)*(BallastFactorTable[Fixture Sub-category]=F34),0))</f>
        <v>#N/A</v>
      </c>
      <c r="AO34" s="143" t="str">
        <f t="shared" si="23"/>
        <v/>
      </c>
      <c r="AP34" s="501" t="e" cm="1">
        <f t="array" ref="AP34">INDEX(BallastFactorTable[Wattage Range Name],MATCH(1,(BallastFactorTable[Fixture Class]=D34)*(BallastFactorTable[Fixture Category]=E34)*(BallastFactorTable[Fixture Sub-category]=F34),0))</f>
        <v>#N/A</v>
      </c>
      <c r="AQ34" s="515" t="str">
        <f t="shared" ca="1" si="11"/>
        <v>Okay</v>
      </c>
      <c r="AR34" s="512">
        <f t="shared" si="12"/>
        <v>0</v>
      </c>
      <c r="AS34" s="511" t="str">
        <f>IF(OR(Measures!AM34="Row Not Used",Measures!C34="Controls Only",Measures!C34="Decommissioning"),"",_xlfn.CONCAT(P34," ",Q34))</f>
        <v/>
      </c>
      <c r="AT34" s="264" t="str">
        <f t="shared" si="13"/>
        <v>None</v>
      </c>
      <c r="AU34" s="229">
        <f>IF(OR(AM34="Row Not Used",AM34="Controls Only"),0,INDEX(IncentiveRateTable[Incentive Rate],MATCH(AT34,IncentiveRateTable[Incentive Name],0)))</f>
        <v>0</v>
      </c>
      <c r="AV34" s="133" t="str">
        <f>IF(OR(AM34="Row Not Used",AM34="Controls Only"),"None",INDEX(IncentiveRateTable[Incentive Unit],MATCH(AT34,IncentiveRateTable[Incentive Name],0)))</f>
        <v>None</v>
      </c>
      <c r="AW34" s="578">
        <f t="shared" si="24"/>
        <v>0</v>
      </c>
      <c r="AX34" s="264" t="str">
        <f t="shared" si="14"/>
        <v>None</v>
      </c>
      <c r="AY34" s="229">
        <f>IF(OR(AM34="Row Not Used",AM34="Fixtures Only",AM34="Decommissioning"),0,INDEX(IncentiveRateTable[Incentive Rate],MATCH(AX34,IncentiveRateTable[Incentive Name],0)))</f>
        <v>0</v>
      </c>
      <c r="AZ34" s="133" t="str">
        <f>IF(OR(AM34="Row Not Used",AM34="Fixtures Only",AM34="Decommissioning"),"None",INDEX(IncentiveRateTable[Incentive Unit],MATCH(AX34,IncentiveRateTable[Incentive Name],0)))</f>
        <v>None</v>
      </c>
      <c r="BA34" s="465">
        <f t="shared" si="15"/>
        <v>0</v>
      </c>
      <c r="BB34" s="264" t="e" cm="1">
        <f t="array" ref="BB34">INDEX(BallastFactorTable[Commercial BPA Reference Number],MATCH(1,(BallastFactorTable[Fixture Class]=J34)*(BallastFactorTable[Fixture Category]=K34)*(BallastFactorTable[Fixture Sub-category]=L34),0))</f>
        <v>#N/A</v>
      </c>
      <c r="BC34" s="133" t="e" cm="1">
        <f t="array" ref="BC34">INDEX(BallastFactorTable[Industrial BPA Reference Number],MATCH(1,(BallastFactorTable[Fixture Class]=J34)*(BallastFactorTable[Fixture Category]=K34)*(BallastFactorTable[Fixture Sub-category]=L34),0))</f>
        <v>#N/A</v>
      </c>
      <c r="BD34" s="264" t="str">
        <f t="shared" si="16"/>
        <v>Sector is blank</v>
      </c>
      <c r="BE34" s="269" t="str">
        <f>IF(ISBLANK(SectorField),"Sector is blank",IF(AM34="Row Not Used","",IF(OR(R34="No Controls",ISBLANK(R34)),"",INDEX(ControlsBPARefNoTable[Reference Number],MATCH(SectorField,ControlsBPARefNoTable[Sector],0)))))</f>
        <v>Sector is blank</v>
      </c>
      <c r="BF34" s="530" t="str">
        <f t="shared" si="17"/>
        <v/>
      </c>
      <c r="BG34" s="132" t="str">
        <f t="shared" si="18"/>
        <v/>
      </c>
      <c r="BH34" s="531" t="str">
        <f t="shared" si="19"/>
        <v/>
      </c>
      <c r="BI34" s="532"/>
      <c r="BJ34" s="538" t="str">
        <f t="shared" si="25"/>
        <v/>
      </c>
      <c r="BK34" s="539" t="str">
        <f t="shared" si="26"/>
        <v/>
      </c>
      <c r="BL34" s="547" t="str">
        <f t="shared" si="27"/>
        <v/>
      </c>
    </row>
    <row r="35" spans="1:64" x14ac:dyDescent="0.3">
      <c r="A35" s="133">
        <v>28</v>
      </c>
      <c r="B35" s="294"/>
      <c r="C35" s="313"/>
      <c r="D35" s="292"/>
      <c r="E35" s="284"/>
      <c r="F35" s="284"/>
      <c r="G35" s="295"/>
      <c r="H35" s="296"/>
      <c r="I35" s="297"/>
      <c r="J35" s="292"/>
      <c r="K35" s="284"/>
      <c r="L35" s="284"/>
      <c r="M35" s="295"/>
      <c r="N35" s="296"/>
      <c r="O35" s="296"/>
      <c r="P35" s="284"/>
      <c r="Q35" s="298"/>
      <c r="R35" s="292"/>
      <c r="S35" s="299"/>
      <c r="T35" s="300"/>
      <c r="U35" s="317" t="str">
        <f t="shared" si="1"/>
        <v/>
      </c>
      <c r="V35" s="301"/>
      <c r="W35" s="136" t="str">
        <f t="shared" si="2"/>
        <v/>
      </c>
      <c r="X35" s="588" t="str">
        <f t="shared" si="20"/>
        <v/>
      </c>
      <c r="Y35" s="580"/>
      <c r="Z35" s="251" t="str">
        <f t="shared" si="3"/>
        <v/>
      </c>
      <c r="AA35" s="138" t="str">
        <f t="shared" si="28"/>
        <v/>
      </c>
      <c r="AB35" s="243" t="str">
        <f t="shared" si="21"/>
        <v/>
      </c>
      <c r="AC35" s="141" t="str">
        <f t="shared" si="4"/>
        <v/>
      </c>
      <c r="AD35" s="138" t="str">
        <f t="shared" si="22"/>
        <v/>
      </c>
      <c r="AE35" s="243" t="str">
        <f t="shared" si="5"/>
        <v/>
      </c>
      <c r="AF35" s="342" t="str">
        <f>IF(AM35="Row Not Used","",INDEX(SpaceTable[Annual Hours],(MATCH(B35,SpaceTable[Space Name Concatenated Helper],0))))</f>
        <v/>
      </c>
      <c r="AG35" s="205" t="str">
        <f t="shared" si="6"/>
        <v/>
      </c>
      <c r="AH35" s="234" t="str">
        <f t="shared" si="7"/>
        <v/>
      </c>
      <c r="AI35" s="205" t="str">
        <f t="shared" si="8"/>
        <v/>
      </c>
      <c r="AJ35" s="234" t="str">
        <f t="shared" si="9"/>
        <v/>
      </c>
      <c r="AK35" s="144" t="str">
        <f>IF(AM35="Row Not Used","",INDEX(SpaceTable[Row],(MATCH(B35,SpaceTable[Space Name Concatenated Helper],0))))</f>
        <v/>
      </c>
      <c r="AL35" s="238" t="str">
        <f>IF(AM35="Row Not Used","",INDEX(SpaceTable[HVAC Factor],(MATCH(B35,SpaceTable[Space Name Concatenated Helper],0))))</f>
        <v/>
      </c>
      <c r="AM35" s="520" t="str">
        <f t="shared" si="10"/>
        <v>Row Not Used</v>
      </c>
      <c r="AN35" s="512" t="e" cm="1">
        <f t="array" ref="AN35">INDEX(BallastFactorTable[Ballast Factor],MATCH(1,(BallastFactorTable[Fixture Class]=D35)*(BallastFactorTable[Fixture Category]=E35)*(BallastFactorTable[Fixture Sub-category]=F35),0))</f>
        <v>#N/A</v>
      </c>
      <c r="AO35" s="143" t="str">
        <f t="shared" si="23"/>
        <v/>
      </c>
      <c r="AP35" s="501" t="e" cm="1">
        <f t="array" ref="AP35">INDEX(BallastFactorTable[Wattage Range Name],MATCH(1,(BallastFactorTable[Fixture Class]=D35)*(BallastFactorTable[Fixture Category]=E35)*(BallastFactorTable[Fixture Sub-category]=F35),0))</f>
        <v>#N/A</v>
      </c>
      <c r="AQ35" s="515" t="str">
        <f t="shared" ca="1" si="11"/>
        <v>Okay</v>
      </c>
      <c r="AR35" s="512">
        <f t="shared" si="12"/>
        <v>0</v>
      </c>
      <c r="AS35" s="511" t="str">
        <f>IF(OR(Measures!AM35="Row Not Used",Measures!C35="Controls Only",Measures!C35="Decommissioning"),"",_xlfn.CONCAT(P35," ",Q35))</f>
        <v/>
      </c>
      <c r="AT35" s="264" t="str">
        <f t="shared" si="13"/>
        <v>None</v>
      </c>
      <c r="AU35" s="229">
        <f>IF(OR(AM35="Row Not Used",AM35="Controls Only"),0,INDEX(IncentiveRateTable[Incentive Rate],MATCH(AT35,IncentiveRateTable[Incentive Name],0)))</f>
        <v>0</v>
      </c>
      <c r="AV35" s="133" t="str">
        <f>IF(OR(AM35="Row Not Used",AM35="Controls Only"),"None",INDEX(IncentiveRateTable[Incentive Unit],MATCH(AT35,IncentiveRateTable[Incentive Name],0)))</f>
        <v>None</v>
      </c>
      <c r="AW35" s="578">
        <f t="shared" si="24"/>
        <v>0</v>
      </c>
      <c r="AX35" s="264" t="str">
        <f t="shared" si="14"/>
        <v>None</v>
      </c>
      <c r="AY35" s="229">
        <f>IF(OR(AM35="Row Not Used",AM35="Fixtures Only",AM35="Decommissioning"),0,INDEX(IncentiveRateTable[Incentive Rate],MATCH(AX35,IncentiveRateTable[Incentive Name],0)))</f>
        <v>0</v>
      </c>
      <c r="AZ35" s="133" t="str">
        <f>IF(OR(AM35="Row Not Used",AM35="Fixtures Only",AM35="Decommissioning"),"None",INDEX(IncentiveRateTable[Incentive Unit],MATCH(AX35,IncentiveRateTable[Incentive Name],0)))</f>
        <v>None</v>
      </c>
      <c r="BA35" s="465">
        <f t="shared" si="15"/>
        <v>0</v>
      </c>
      <c r="BB35" s="264" t="e" cm="1">
        <f t="array" ref="BB35">INDEX(BallastFactorTable[Commercial BPA Reference Number],MATCH(1,(BallastFactorTable[Fixture Class]=J35)*(BallastFactorTable[Fixture Category]=K35)*(BallastFactorTable[Fixture Sub-category]=L35),0))</f>
        <v>#N/A</v>
      </c>
      <c r="BC35" s="133" t="e" cm="1">
        <f t="array" ref="BC35">INDEX(BallastFactorTable[Industrial BPA Reference Number],MATCH(1,(BallastFactorTable[Fixture Class]=J35)*(BallastFactorTable[Fixture Category]=K35)*(BallastFactorTable[Fixture Sub-category]=L35),0))</f>
        <v>#N/A</v>
      </c>
      <c r="BD35" s="264" t="str">
        <f t="shared" si="16"/>
        <v>Sector is blank</v>
      </c>
      <c r="BE35" s="269" t="str">
        <f>IF(ISBLANK(SectorField),"Sector is blank",IF(AM35="Row Not Used","",IF(OR(R35="No Controls",ISBLANK(R35)),"",INDEX(ControlsBPARefNoTable[Reference Number],MATCH(SectorField,ControlsBPARefNoTable[Sector],0)))))</f>
        <v>Sector is blank</v>
      </c>
      <c r="BF35" s="530" t="str">
        <f t="shared" si="17"/>
        <v/>
      </c>
      <c r="BG35" s="132" t="str">
        <f t="shared" si="18"/>
        <v/>
      </c>
      <c r="BH35" s="531" t="str">
        <f t="shared" si="19"/>
        <v/>
      </c>
      <c r="BI35" s="532"/>
      <c r="BJ35" s="538" t="str">
        <f t="shared" si="25"/>
        <v/>
      </c>
      <c r="BK35" s="539" t="str">
        <f t="shared" si="26"/>
        <v/>
      </c>
      <c r="BL35" s="547" t="str">
        <f t="shared" si="27"/>
        <v/>
      </c>
    </row>
    <row r="36" spans="1:64" x14ac:dyDescent="0.3">
      <c r="A36" s="133">
        <v>29</v>
      </c>
      <c r="B36" s="294"/>
      <c r="C36" s="313"/>
      <c r="D36" s="292"/>
      <c r="E36" s="284"/>
      <c r="F36" s="284"/>
      <c r="G36" s="295"/>
      <c r="H36" s="296"/>
      <c r="I36" s="297"/>
      <c r="J36" s="292"/>
      <c r="K36" s="284"/>
      <c r="L36" s="284"/>
      <c r="M36" s="295"/>
      <c r="N36" s="296"/>
      <c r="O36" s="296"/>
      <c r="P36" s="284"/>
      <c r="Q36" s="298"/>
      <c r="R36" s="292"/>
      <c r="S36" s="299"/>
      <c r="T36" s="300"/>
      <c r="U36" s="317" t="str">
        <f t="shared" si="1"/>
        <v/>
      </c>
      <c r="V36" s="301"/>
      <c r="W36" s="137" t="str">
        <f t="shared" si="2"/>
        <v/>
      </c>
      <c r="X36" s="589" t="str">
        <f t="shared" si="20"/>
        <v/>
      </c>
      <c r="Y36" s="581"/>
      <c r="Z36" s="251" t="str">
        <f t="shared" si="3"/>
        <v/>
      </c>
      <c r="AA36" s="138" t="str">
        <f t="shared" si="28"/>
        <v/>
      </c>
      <c r="AB36" s="243" t="str">
        <f t="shared" si="21"/>
        <v/>
      </c>
      <c r="AC36" s="141" t="str">
        <f t="shared" si="4"/>
        <v/>
      </c>
      <c r="AD36" s="138" t="str">
        <f t="shared" si="22"/>
        <v/>
      </c>
      <c r="AE36" s="243" t="str">
        <f t="shared" si="5"/>
        <v/>
      </c>
      <c r="AF36" s="342" t="str">
        <f>IF(AM36="Row Not Used","",INDEX(SpaceTable[Annual Hours],(MATCH(B36,SpaceTable[Space Name Concatenated Helper],0))))</f>
        <v/>
      </c>
      <c r="AG36" s="205" t="str">
        <f t="shared" si="6"/>
        <v/>
      </c>
      <c r="AH36" s="234" t="str">
        <f t="shared" si="7"/>
        <v/>
      </c>
      <c r="AI36" s="205" t="str">
        <f t="shared" si="8"/>
        <v/>
      </c>
      <c r="AJ36" s="234" t="str">
        <f t="shared" si="9"/>
        <v/>
      </c>
      <c r="AK36" s="144" t="str">
        <f>IF(AM36="Row Not Used","",INDEX(SpaceTable[Row],(MATCH(B36,SpaceTable[Space Name Concatenated Helper],0))))</f>
        <v/>
      </c>
      <c r="AL36" s="238" t="str">
        <f>IF(AM36="Row Not Used","",INDEX(SpaceTable[HVAC Factor],(MATCH(B36,SpaceTable[Space Name Concatenated Helper],0))))</f>
        <v/>
      </c>
      <c r="AM36" s="520" t="str">
        <f t="shared" si="10"/>
        <v>Row Not Used</v>
      </c>
      <c r="AN36" s="512" t="e" cm="1">
        <f t="array" ref="AN36">INDEX(BallastFactorTable[Ballast Factor],MATCH(1,(BallastFactorTable[Fixture Class]=D36)*(BallastFactorTable[Fixture Category]=E36)*(BallastFactorTable[Fixture Sub-category]=F36),0))</f>
        <v>#N/A</v>
      </c>
      <c r="AO36" s="143" t="str">
        <f t="shared" si="23"/>
        <v/>
      </c>
      <c r="AP36" s="501" t="e" cm="1">
        <f t="array" ref="AP36">INDEX(BallastFactorTable[Wattage Range Name],MATCH(1,(BallastFactorTable[Fixture Class]=D36)*(BallastFactorTable[Fixture Category]=E36)*(BallastFactorTable[Fixture Sub-category]=F36),0))</f>
        <v>#N/A</v>
      </c>
      <c r="AQ36" s="515" t="str">
        <f t="shared" ca="1" si="11"/>
        <v>Okay</v>
      </c>
      <c r="AR36" s="512">
        <f t="shared" si="12"/>
        <v>0</v>
      </c>
      <c r="AS36" s="511" t="str">
        <f>IF(OR(Measures!AM36="Row Not Used",Measures!C36="Controls Only",Measures!C36="Decommissioning"),"",_xlfn.CONCAT(P36," ",Q36))</f>
        <v/>
      </c>
      <c r="AT36" s="264" t="str">
        <f t="shared" si="13"/>
        <v>None</v>
      </c>
      <c r="AU36" s="229">
        <f>IF(OR(AM36="Row Not Used",AM36="Controls Only"),0,INDEX(IncentiveRateTable[Incentive Rate],MATCH(AT36,IncentiveRateTable[Incentive Name],0)))</f>
        <v>0</v>
      </c>
      <c r="AV36" s="133" t="str">
        <f>IF(OR(AM36="Row Not Used",AM36="Controls Only"),"None",INDEX(IncentiveRateTable[Incentive Unit],MATCH(AT36,IncentiveRateTable[Incentive Name],0)))</f>
        <v>None</v>
      </c>
      <c r="AW36" s="578">
        <f t="shared" si="24"/>
        <v>0</v>
      </c>
      <c r="AX36" s="264" t="str">
        <f t="shared" si="14"/>
        <v>None</v>
      </c>
      <c r="AY36" s="229">
        <f>IF(OR(AM36="Row Not Used",AM36="Fixtures Only",AM36="Decommissioning"),0,INDEX(IncentiveRateTable[Incentive Rate],MATCH(AX36,IncentiveRateTable[Incentive Name],0)))</f>
        <v>0</v>
      </c>
      <c r="AZ36" s="133" t="str">
        <f>IF(OR(AM36="Row Not Used",AM36="Fixtures Only",AM36="Decommissioning"),"None",INDEX(IncentiveRateTable[Incentive Unit],MATCH(AX36,IncentiveRateTable[Incentive Name],0)))</f>
        <v>None</v>
      </c>
      <c r="BA36" s="465">
        <f t="shared" si="15"/>
        <v>0</v>
      </c>
      <c r="BB36" s="264" t="e" cm="1">
        <f t="array" ref="BB36">INDEX(BallastFactorTable[Commercial BPA Reference Number],MATCH(1,(BallastFactorTable[Fixture Class]=J36)*(BallastFactorTable[Fixture Category]=K36)*(BallastFactorTable[Fixture Sub-category]=L36),0))</f>
        <v>#N/A</v>
      </c>
      <c r="BC36" s="133" t="e" cm="1">
        <f t="array" ref="BC36">INDEX(BallastFactorTable[Industrial BPA Reference Number],MATCH(1,(BallastFactorTable[Fixture Class]=J36)*(BallastFactorTable[Fixture Category]=K36)*(BallastFactorTable[Fixture Sub-category]=L36),0))</f>
        <v>#N/A</v>
      </c>
      <c r="BD36" s="264" t="str">
        <f t="shared" si="16"/>
        <v>Sector is blank</v>
      </c>
      <c r="BE36" s="269" t="str">
        <f>IF(ISBLANK(SectorField),"Sector is blank",IF(AM36="Row Not Used","",IF(OR(R36="No Controls",ISBLANK(R36)),"",INDEX(ControlsBPARefNoTable[Reference Number],MATCH(SectorField,ControlsBPARefNoTable[Sector],0)))))</f>
        <v>Sector is blank</v>
      </c>
      <c r="BF36" s="530" t="str">
        <f t="shared" si="17"/>
        <v/>
      </c>
      <c r="BG36" s="132" t="str">
        <f t="shared" si="18"/>
        <v/>
      </c>
      <c r="BH36" s="531" t="str">
        <f t="shared" si="19"/>
        <v/>
      </c>
      <c r="BI36" s="532"/>
      <c r="BJ36" s="538" t="str">
        <f t="shared" si="25"/>
        <v/>
      </c>
      <c r="BK36" s="539" t="str">
        <f t="shared" si="26"/>
        <v/>
      </c>
      <c r="BL36" s="547" t="str">
        <f t="shared" si="27"/>
        <v/>
      </c>
    </row>
    <row r="37" spans="1:64" x14ac:dyDescent="0.3">
      <c r="A37" s="133">
        <v>30</v>
      </c>
      <c r="B37" s="294"/>
      <c r="C37" s="313"/>
      <c r="D37" s="292"/>
      <c r="E37" s="284"/>
      <c r="F37" s="284"/>
      <c r="G37" s="295"/>
      <c r="H37" s="296"/>
      <c r="I37" s="297"/>
      <c r="J37" s="292"/>
      <c r="K37" s="284"/>
      <c r="L37" s="284"/>
      <c r="M37" s="295"/>
      <c r="N37" s="296"/>
      <c r="O37" s="296"/>
      <c r="P37" s="284"/>
      <c r="Q37" s="298"/>
      <c r="R37" s="292"/>
      <c r="S37" s="299"/>
      <c r="T37" s="300"/>
      <c r="U37" s="317" t="str">
        <f t="shared" si="1"/>
        <v/>
      </c>
      <c r="V37" s="301"/>
      <c r="W37" s="136" t="str">
        <f t="shared" si="2"/>
        <v/>
      </c>
      <c r="X37" s="588" t="str">
        <f t="shared" si="20"/>
        <v/>
      </c>
      <c r="Y37" s="580"/>
      <c r="Z37" s="251" t="str">
        <f t="shared" si="3"/>
        <v/>
      </c>
      <c r="AA37" s="138" t="str">
        <f t="shared" si="28"/>
        <v/>
      </c>
      <c r="AB37" s="243" t="str">
        <f t="shared" si="21"/>
        <v/>
      </c>
      <c r="AC37" s="141" t="str">
        <f t="shared" si="4"/>
        <v/>
      </c>
      <c r="AD37" s="138" t="str">
        <f t="shared" si="22"/>
        <v/>
      </c>
      <c r="AE37" s="243" t="str">
        <f t="shared" si="5"/>
        <v/>
      </c>
      <c r="AF37" s="342" t="str">
        <f>IF(AM37="Row Not Used","",INDEX(SpaceTable[Annual Hours],(MATCH(B37,SpaceTable[Space Name Concatenated Helper],0))))</f>
        <v/>
      </c>
      <c r="AG37" s="205" t="str">
        <f t="shared" si="6"/>
        <v/>
      </c>
      <c r="AH37" s="234" t="str">
        <f t="shared" si="7"/>
        <v/>
      </c>
      <c r="AI37" s="205" t="str">
        <f t="shared" si="8"/>
        <v/>
      </c>
      <c r="AJ37" s="234" t="str">
        <f t="shared" si="9"/>
        <v/>
      </c>
      <c r="AK37" s="144" t="str">
        <f>IF(AM37="Row Not Used","",INDEX(SpaceTable[Row],(MATCH(B37,SpaceTable[Space Name Concatenated Helper],0))))</f>
        <v/>
      </c>
      <c r="AL37" s="238" t="str">
        <f>IF(AM37="Row Not Used","",INDEX(SpaceTable[HVAC Factor],(MATCH(B37,SpaceTable[Space Name Concatenated Helper],0))))</f>
        <v/>
      </c>
      <c r="AM37" s="520" t="str">
        <f t="shared" si="10"/>
        <v>Row Not Used</v>
      </c>
      <c r="AN37" s="512" t="e" cm="1">
        <f t="array" ref="AN37">INDEX(BallastFactorTable[Ballast Factor],MATCH(1,(BallastFactorTable[Fixture Class]=D37)*(BallastFactorTable[Fixture Category]=E37)*(BallastFactorTable[Fixture Sub-category]=F37),0))</f>
        <v>#N/A</v>
      </c>
      <c r="AO37" s="143" t="str">
        <f t="shared" si="23"/>
        <v/>
      </c>
      <c r="AP37" s="501" t="e" cm="1">
        <f t="array" ref="AP37">INDEX(BallastFactorTable[Wattage Range Name],MATCH(1,(BallastFactorTable[Fixture Class]=D37)*(BallastFactorTable[Fixture Category]=E37)*(BallastFactorTable[Fixture Sub-category]=F37),0))</f>
        <v>#N/A</v>
      </c>
      <c r="AQ37" s="515" t="str">
        <f t="shared" ca="1" si="11"/>
        <v>Okay</v>
      </c>
      <c r="AR37" s="512">
        <f t="shared" si="12"/>
        <v>0</v>
      </c>
      <c r="AS37" s="511" t="str">
        <f>IF(OR(Measures!AM37="Row Not Used",Measures!C37="Controls Only",Measures!C37="Decommissioning"),"",_xlfn.CONCAT(P37," ",Q37))</f>
        <v/>
      </c>
      <c r="AT37" s="264" t="str">
        <f t="shared" si="13"/>
        <v>None</v>
      </c>
      <c r="AU37" s="229">
        <f>IF(OR(AM37="Row Not Used",AM37="Controls Only"),0,INDEX(IncentiveRateTable[Incentive Rate],MATCH(AT37,IncentiveRateTable[Incentive Name],0)))</f>
        <v>0</v>
      </c>
      <c r="AV37" s="133" t="str">
        <f>IF(OR(AM37="Row Not Used",AM37="Controls Only"),"None",INDEX(IncentiveRateTable[Incentive Unit],MATCH(AT37,IncentiveRateTable[Incentive Name],0)))</f>
        <v>None</v>
      </c>
      <c r="AW37" s="578">
        <f t="shared" si="24"/>
        <v>0</v>
      </c>
      <c r="AX37" s="264" t="str">
        <f t="shared" si="14"/>
        <v>None</v>
      </c>
      <c r="AY37" s="229">
        <f>IF(OR(AM37="Row Not Used",AM37="Fixtures Only",AM37="Decommissioning"),0,INDEX(IncentiveRateTable[Incentive Rate],MATCH(AX37,IncentiveRateTable[Incentive Name],0)))</f>
        <v>0</v>
      </c>
      <c r="AZ37" s="133" t="str">
        <f>IF(OR(AM37="Row Not Used",AM37="Fixtures Only",AM37="Decommissioning"),"None",INDEX(IncentiveRateTable[Incentive Unit],MATCH(AX37,IncentiveRateTable[Incentive Name],0)))</f>
        <v>None</v>
      </c>
      <c r="BA37" s="465">
        <f t="shared" si="15"/>
        <v>0</v>
      </c>
      <c r="BB37" s="264" t="e" cm="1">
        <f t="array" ref="BB37">INDEX(BallastFactorTable[Commercial BPA Reference Number],MATCH(1,(BallastFactorTable[Fixture Class]=J37)*(BallastFactorTable[Fixture Category]=K37)*(BallastFactorTable[Fixture Sub-category]=L37),0))</f>
        <v>#N/A</v>
      </c>
      <c r="BC37" s="133" t="e" cm="1">
        <f t="array" ref="BC37">INDEX(BallastFactorTable[Industrial BPA Reference Number],MATCH(1,(BallastFactorTable[Fixture Class]=J37)*(BallastFactorTable[Fixture Category]=K37)*(BallastFactorTable[Fixture Sub-category]=L37),0))</f>
        <v>#N/A</v>
      </c>
      <c r="BD37" s="264" t="str">
        <f t="shared" si="16"/>
        <v>Sector is blank</v>
      </c>
      <c r="BE37" s="269" t="str">
        <f>IF(ISBLANK(SectorField),"Sector is blank",IF(AM37="Row Not Used","",IF(OR(R37="No Controls",ISBLANK(R37)),"",INDEX(ControlsBPARefNoTable[Reference Number],MATCH(SectorField,ControlsBPARefNoTable[Sector],0)))))</f>
        <v>Sector is blank</v>
      </c>
      <c r="BF37" s="530" t="str">
        <f t="shared" si="17"/>
        <v/>
      </c>
      <c r="BG37" s="132" t="str">
        <f t="shared" si="18"/>
        <v/>
      </c>
      <c r="BH37" s="531" t="str">
        <f t="shared" si="19"/>
        <v/>
      </c>
      <c r="BI37" s="532"/>
      <c r="BJ37" s="538" t="str">
        <f t="shared" si="25"/>
        <v/>
      </c>
      <c r="BK37" s="539" t="str">
        <f t="shared" si="26"/>
        <v/>
      </c>
      <c r="BL37" s="547" t="str">
        <f t="shared" si="27"/>
        <v/>
      </c>
    </row>
    <row r="38" spans="1:64" x14ac:dyDescent="0.3">
      <c r="A38" s="133">
        <v>31</v>
      </c>
      <c r="B38" s="294"/>
      <c r="C38" s="313"/>
      <c r="D38" s="292"/>
      <c r="E38" s="284"/>
      <c r="F38" s="284"/>
      <c r="G38" s="295"/>
      <c r="H38" s="296"/>
      <c r="I38" s="297"/>
      <c r="J38" s="292"/>
      <c r="K38" s="284"/>
      <c r="L38" s="284"/>
      <c r="M38" s="295"/>
      <c r="N38" s="296"/>
      <c r="O38" s="296"/>
      <c r="P38" s="284"/>
      <c r="Q38" s="298"/>
      <c r="R38" s="292"/>
      <c r="S38" s="299"/>
      <c r="T38" s="300"/>
      <c r="U38" s="317" t="str">
        <f t="shared" si="1"/>
        <v/>
      </c>
      <c r="V38" s="301"/>
      <c r="W38" s="137" t="str">
        <f t="shared" si="2"/>
        <v/>
      </c>
      <c r="X38" s="589" t="str">
        <f t="shared" si="20"/>
        <v/>
      </c>
      <c r="Y38" s="581"/>
      <c r="Z38" s="251" t="str">
        <f t="shared" si="3"/>
        <v/>
      </c>
      <c r="AA38" s="138" t="str">
        <f t="shared" si="28"/>
        <v/>
      </c>
      <c r="AB38" s="243" t="str">
        <f t="shared" si="21"/>
        <v/>
      </c>
      <c r="AC38" s="141" t="str">
        <f t="shared" si="4"/>
        <v/>
      </c>
      <c r="AD38" s="138" t="str">
        <f t="shared" si="22"/>
        <v/>
      </c>
      <c r="AE38" s="243" t="str">
        <f t="shared" si="5"/>
        <v/>
      </c>
      <c r="AF38" s="342" t="str">
        <f>IF(AM38="Row Not Used","",INDEX(SpaceTable[Annual Hours],(MATCH(B38,SpaceTable[Space Name Concatenated Helper],0))))</f>
        <v/>
      </c>
      <c r="AG38" s="205" t="str">
        <f t="shared" si="6"/>
        <v/>
      </c>
      <c r="AH38" s="234" t="str">
        <f t="shared" si="7"/>
        <v/>
      </c>
      <c r="AI38" s="205" t="str">
        <f t="shared" si="8"/>
        <v/>
      </c>
      <c r="AJ38" s="234" t="str">
        <f t="shared" si="9"/>
        <v/>
      </c>
      <c r="AK38" s="144" t="str">
        <f>IF(AM38="Row Not Used","",INDEX(SpaceTable[Row],(MATCH(B38,SpaceTable[Space Name Concatenated Helper],0))))</f>
        <v/>
      </c>
      <c r="AL38" s="238" t="str">
        <f>IF(AM38="Row Not Used","",INDEX(SpaceTable[HVAC Factor],(MATCH(B38,SpaceTable[Space Name Concatenated Helper],0))))</f>
        <v/>
      </c>
      <c r="AM38" s="520" t="str">
        <f t="shared" si="10"/>
        <v>Row Not Used</v>
      </c>
      <c r="AN38" s="512" t="e" cm="1">
        <f t="array" ref="AN38">INDEX(BallastFactorTable[Ballast Factor],MATCH(1,(BallastFactorTable[Fixture Class]=D38)*(BallastFactorTable[Fixture Category]=E38)*(BallastFactorTable[Fixture Sub-category]=F38),0))</f>
        <v>#N/A</v>
      </c>
      <c r="AO38" s="143" t="str">
        <f t="shared" si="23"/>
        <v/>
      </c>
      <c r="AP38" s="501" t="e" cm="1">
        <f t="array" ref="AP38">INDEX(BallastFactorTable[Wattage Range Name],MATCH(1,(BallastFactorTable[Fixture Class]=D38)*(BallastFactorTable[Fixture Category]=E38)*(BallastFactorTable[Fixture Sub-category]=F38),0))</f>
        <v>#N/A</v>
      </c>
      <c r="AQ38" s="515" t="str">
        <f t="shared" ca="1" si="11"/>
        <v>Okay</v>
      </c>
      <c r="AR38" s="512">
        <f t="shared" si="12"/>
        <v>0</v>
      </c>
      <c r="AS38" s="511" t="str">
        <f>IF(OR(Measures!AM38="Row Not Used",Measures!C38="Controls Only",Measures!C38="Decommissioning"),"",_xlfn.CONCAT(P38," ",Q38))</f>
        <v/>
      </c>
      <c r="AT38" s="264" t="str">
        <f t="shared" si="13"/>
        <v>None</v>
      </c>
      <c r="AU38" s="229">
        <f>IF(OR(AM38="Row Not Used",AM38="Controls Only"),0,INDEX(IncentiveRateTable[Incentive Rate],MATCH(AT38,IncentiveRateTable[Incentive Name],0)))</f>
        <v>0</v>
      </c>
      <c r="AV38" s="133" t="str">
        <f>IF(OR(AM38="Row Not Used",AM38="Controls Only"),"None",INDEX(IncentiveRateTable[Incentive Unit],MATCH(AT38,IncentiveRateTable[Incentive Name],0)))</f>
        <v>None</v>
      </c>
      <c r="AW38" s="578">
        <f t="shared" si="24"/>
        <v>0</v>
      </c>
      <c r="AX38" s="264" t="str">
        <f t="shared" si="14"/>
        <v>None</v>
      </c>
      <c r="AY38" s="229">
        <f>IF(OR(AM38="Row Not Used",AM38="Fixtures Only",AM38="Decommissioning"),0,INDEX(IncentiveRateTable[Incentive Rate],MATCH(AX38,IncentiveRateTable[Incentive Name],0)))</f>
        <v>0</v>
      </c>
      <c r="AZ38" s="133" t="str">
        <f>IF(OR(AM38="Row Not Used",AM38="Fixtures Only",AM38="Decommissioning"),"None",INDEX(IncentiveRateTable[Incentive Unit],MATCH(AX38,IncentiveRateTable[Incentive Name],0)))</f>
        <v>None</v>
      </c>
      <c r="BA38" s="465">
        <f t="shared" si="15"/>
        <v>0</v>
      </c>
      <c r="BB38" s="264" t="e" cm="1">
        <f t="array" ref="BB38">INDEX(BallastFactorTable[Commercial BPA Reference Number],MATCH(1,(BallastFactorTable[Fixture Class]=J38)*(BallastFactorTable[Fixture Category]=K38)*(BallastFactorTable[Fixture Sub-category]=L38),0))</f>
        <v>#N/A</v>
      </c>
      <c r="BC38" s="133" t="e" cm="1">
        <f t="array" ref="BC38">INDEX(BallastFactorTable[Industrial BPA Reference Number],MATCH(1,(BallastFactorTable[Fixture Class]=J38)*(BallastFactorTable[Fixture Category]=K38)*(BallastFactorTable[Fixture Sub-category]=L38),0))</f>
        <v>#N/A</v>
      </c>
      <c r="BD38" s="264" t="str">
        <f t="shared" si="16"/>
        <v>Sector is blank</v>
      </c>
      <c r="BE38" s="269" t="str">
        <f>IF(ISBLANK(SectorField),"Sector is blank",IF(AM38="Row Not Used","",IF(OR(R38="No Controls",ISBLANK(R38)),"",INDEX(ControlsBPARefNoTable[Reference Number],MATCH(SectorField,ControlsBPARefNoTable[Sector],0)))))</f>
        <v>Sector is blank</v>
      </c>
      <c r="BF38" s="530" t="str">
        <f t="shared" si="17"/>
        <v/>
      </c>
      <c r="BG38" s="132" t="str">
        <f t="shared" si="18"/>
        <v/>
      </c>
      <c r="BH38" s="531" t="str">
        <f t="shared" si="19"/>
        <v/>
      </c>
      <c r="BI38" s="532"/>
      <c r="BJ38" s="538" t="str">
        <f t="shared" si="25"/>
        <v/>
      </c>
      <c r="BK38" s="539" t="str">
        <f t="shared" si="26"/>
        <v/>
      </c>
      <c r="BL38" s="547" t="str">
        <f t="shared" si="27"/>
        <v/>
      </c>
    </row>
    <row r="39" spans="1:64" x14ac:dyDescent="0.3">
      <c r="A39" s="133">
        <v>32</v>
      </c>
      <c r="B39" s="294"/>
      <c r="C39" s="313"/>
      <c r="D39" s="292"/>
      <c r="E39" s="284"/>
      <c r="F39" s="284"/>
      <c r="G39" s="295"/>
      <c r="H39" s="296"/>
      <c r="I39" s="297"/>
      <c r="J39" s="292"/>
      <c r="K39" s="284"/>
      <c r="L39" s="284"/>
      <c r="M39" s="295"/>
      <c r="N39" s="296"/>
      <c r="O39" s="296"/>
      <c r="P39" s="284"/>
      <c r="Q39" s="298"/>
      <c r="R39" s="292"/>
      <c r="S39" s="299"/>
      <c r="T39" s="300"/>
      <c r="U39" s="317" t="str">
        <f t="shared" si="1"/>
        <v/>
      </c>
      <c r="V39" s="301"/>
      <c r="W39" s="136" t="str">
        <f t="shared" si="2"/>
        <v/>
      </c>
      <c r="X39" s="588" t="str">
        <f t="shared" si="20"/>
        <v/>
      </c>
      <c r="Y39" s="580"/>
      <c r="Z39" s="251" t="str">
        <f t="shared" si="3"/>
        <v/>
      </c>
      <c r="AA39" s="138" t="str">
        <f t="shared" si="28"/>
        <v/>
      </c>
      <c r="AB39" s="243" t="str">
        <f t="shared" si="21"/>
        <v/>
      </c>
      <c r="AC39" s="141" t="str">
        <f t="shared" si="4"/>
        <v/>
      </c>
      <c r="AD39" s="138" t="str">
        <f t="shared" si="22"/>
        <v/>
      </c>
      <c r="AE39" s="243" t="str">
        <f t="shared" si="5"/>
        <v/>
      </c>
      <c r="AF39" s="342" t="str">
        <f>IF(AM39="Row Not Used","",INDEX(SpaceTable[Annual Hours],(MATCH(B39,SpaceTable[Space Name Concatenated Helper],0))))</f>
        <v/>
      </c>
      <c r="AG39" s="205" t="str">
        <f t="shared" si="6"/>
        <v/>
      </c>
      <c r="AH39" s="234" t="str">
        <f t="shared" si="7"/>
        <v/>
      </c>
      <c r="AI39" s="205" t="str">
        <f t="shared" si="8"/>
        <v/>
      </c>
      <c r="AJ39" s="234" t="str">
        <f t="shared" si="9"/>
        <v/>
      </c>
      <c r="AK39" s="144" t="str">
        <f>IF(AM39="Row Not Used","",INDEX(SpaceTable[Row],(MATCH(B39,SpaceTable[Space Name Concatenated Helper],0))))</f>
        <v/>
      </c>
      <c r="AL39" s="238" t="str">
        <f>IF(AM39="Row Not Used","",INDEX(SpaceTable[HVAC Factor],(MATCH(B39,SpaceTable[Space Name Concatenated Helper],0))))</f>
        <v/>
      </c>
      <c r="AM39" s="520" t="str">
        <f t="shared" si="10"/>
        <v>Row Not Used</v>
      </c>
      <c r="AN39" s="512" t="e" cm="1">
        <f t="array" ref="AN39">INDEX(BallastFactorTable[Ballast Factor],MATCH(1,(BallastFactorTable[Fixture Class]=D39)*(BallastFactorTable[Fixture Category]=E39)*(BallastFactorTable[Fixture Sub-category]=F39),0))</f>
        <v>#N/A</v>
      </c>
      <c r="AO39" s="143" t="str">
        <f t="shared" si="23"/>
        <v/>
      </c>
      <c r="AP39" s="501" t="e" cm="1">
        <f t="array" ref="AP39">INDEX(BallastFactorTable[Wattage Range Name],MATCH(1,(BallastFactorTable[Fixture Class]=D39)*(BallastFactorTable[Fixture Category]=E39)*(BallastFactorTable[Fixture Sub-category]=F39),0))</f>
        <v>#N/A</v>
      </c>
      <c r="AQ39" s="515" t="str">
        <f t="shared" ca="1" si="11"/>
        <v>Okay</v>
      </c>
      <c r="AR39" s="512">
        <f t="shared" si="12"/>
        <v>0</v>
      </c>
      <c r="AS39" s="511" t="str">
        <f>IF(OR(Measures!AM39="Row Not Used",Measures!C39="Controls Only",Measures!C39="Decommissioning"),"",_xlfn.CONCAT(P39," ",Q39))</f>
        <v/>
      </c>
      <c r="AT39" s="264" t="str">
        <f t="shared" si="13"/>
        <v>None</v>
      </c>
      <c r="AU39" s="229">
        <f>IF(OR(AM39="Row Not Used",AM39="Controls Only"),0,INDEX(IncentiveRateTable[Incentive Rate],MATCH(AT39,IncentiveRateTable[Incentive Name],0)))</f>
        <v>0</v>
      </c>
      <c r="AV39" s="133" t="str">
        <f>IF(OR(AM39="Row Not Used",AM39="Controls Only"),"None",INDEX(IncentiveRateTable[Incentive Unit],MATCH(AT39,IncentiveRateTable[Incentive Name],0)))</f>
        <v>None</v>
      </c>
      <c r="AW39" s="578">
        <f t="shared" si="24"/>
        <v>0</v>
      </c>
      <c r="AX39" s="264" t="str">
        <f t="shared" si="14"/>
        <v>None</v>
      </c>
      <c r="AY39" s="229">
        <f>IF(OR(AM39="Row Not Used",AM39="Fixtures Only",AM39="Decommissioning"),0,INDEX(IncentiveRateTable[Incentive Rate],MATCH(AX39,IncentiveRateTable[Incentive Name],0)))</f>
        <v>0</v>
      </c>
      <c r="AZ39" s="133" t="str">
        <f>IF(OR(AM39="Row Not Used",AM39="Fixtures Only",AM39="Decommissioning"),"None",INDEX(IncentiveRateTable[Incentive Unit],MATCH(AX39,IncentiveRateTable[Incentive Name],0)))</f>
        <v>None</v>
      </c>
      <c r="BA39" s="465">
        <f t="shared" si="15"/>
        <v>0</v>
      </c>
      <c r="BB39" s="264" t="e" cm="1">
        <f t="array" ref="BB39">INDEX(BallastFactorTable[Commercial BPA Reference Number],MATCH(1,(BallastFactorTable[Fixture Class]=J39)*(BallastFactorTable[Fixture Category]=K39)*(BallastFactorTable[Fixture Sub-category]=L39),0))</f>
        <v>#N/A</v>
      </c>
      <c r="BC39" s="133" t="e" cm="1">
        <f t="array" ref="BC39">INDEX(BallastFactorTable[Industrial BPA Reference Number],MATCH(1,(BallastFactorTable[Fixture Class]=J39)*(BallastFactorTable[Fixture Category]=K39)*(BallastFactorTable[Fixture Sub-category]=L39),0))</f>
        <v>#N/A</v>
      </c>
      <c r="BD39" s="264" t="str">
        <f t="shared" si="16"/>
        <v>Sector is blank</v>
      </c>
      <c r="BE39" s="269" t="str">
        <f>IF(ISBLANK(SectorField),"Sector is blank",IF(AM39="Row Not Used","",IF(OR(R39="No Controls",ISBLANK(R39)),"",INDEX(ControlsBPARefNoTable[Reference Number],MATCH(SectorField,ControlsBPARefNoTable[Sector],0)))))</f>
        <v>Sector is blank</v>
      </c>
      <c r="BF39" s="530" t="str">
        <f t="shared" si="17"/>
        <v/>
      </c>
      <c r="BG39" s="132" t="str">
        <f t="shared" si="18"/>
        <v/>
      </c>
      <c r="BH39" s="531" t="str">
        <f t="shared" si="19"/>
        <v/>
      </c>
      <c r="BI39" s="532"/>
      <c r="BJ39" s="538" t="str">
        <f t="shared" si="25"/>
        <v/>
      </c>
      <c r="BK39" s="539" t="str">
        <f t="shared" si="26"/>
        <v/>
      </c>
      <c r="BL39" s="547" t="str">
        <f t="shared" si="27"/>
        <v/>
      </c>
    </row>
    <row r="40" spans="1:64" x14ac:dyDescent="0.3">
      <c r="A40" s="133">
        <v>33</v>
      </c>
      <c r="B40" s="294"/>
      <c r="C40" s="313"/>
      <c r="D40" s="292"/>
      <c r="E40" s="284"/>
      <c r="F40" s="284"/>
      <c r="G40" s="295"/>
      <c r="H40" s="296"/>
      <c r="I40" s="297"/>
      <c r="J40" s="292"/>
      <c r="K40" s="284"/>
      <c r="L40" s="284"/>
      <c r="M40" s="295"/>
      <c r="N40" s="296"/>
      <c r="O40" s="296"/>
      <c r="P40" s="284"/>
      <c r="Q40" s="298"/>
      <c r="R40" s="292"/>
      <c r="S40" s="299"/>
      <c r="T40" s="300"/>
      <c r="U40" s="317" t="str">
        <f t="shared" si="1"/>
        <v/>
      </c>
      <c r="V40" s="301"/>
      <c r="W40" s="137" t="str">
        <f t="shared" si="2"/>
        <v/>
      </c>
      <c r="X40" s="589" t="str">
        <f t="shared" si="20"/>
        <v/>
      </c>
      <c r="Y40" s="581"/>
      <c r="Z40" s="251" t="str">
        <f t="shared" si="3"/>
        <v/>
      </c>
      <c r="AA40" s="138" t="str">
        <f t="shared" si="28"/>
        <v/>
      </c>
      <c r="AB40" s="243" t="str">
        <f t="shared" si="21"/>
        <v/>
      </c>
      <c r="AC40" s="141" t="str">
        <f t="shared" si="4"/>
        <v/>
      </c>
      <c r="AD40" s="138" t="str">
        <f t="shared" si="22"/>
        <v/>
      </c>
      <c r="AE40" s="243" t="str">
        <f t="shared" si="5"/>
        <v/>
      </c>
      <c r="AF40" s="342" t="str">
        <f>IF(AM40="Row Not Used","",INDEX(SpaceTable[Annual Hours],(MATCH(B40,SpaceTable[Space Name Concatenated Helper],0))))</f>
        <v/>
      </c>
      <c r="AG40" s="205" t="str">
        <f t="shared" si="6"/>
        <v/>
      </c>
      <c r="AH40" s="234" t="str">
        <f t="shared" si="7"/>
        <v/>
      </c>
      <c r="AI40" s="205" t="str">
        <f t="shared" si="8"/>
        <v/>
      </c>
      <c r="AJ40" s="234" t="str">
        <f t="shared" si="9"/>
        <v/>
      </c>
      <c r="AK40" s="144" t="str">
        <f>IF(AM40="Row Not Used","",INDEX(SpaceTable[Row],(MATCH(B40,SpaceTable[Space Name Concatenated Helper],0))))</f>
        <v/>
      </c>
      <c r="AL40" s="238" t="str">
        <f>IF(AM40="Row Not Used","",INDEX(SpaceTable[HVAC Factor],(MATCH(B40,SpaceTable[Space Name Concatenated Helper],0))))</f>
        <v/>
      </c>
      <c r="AM40" s="520" t="str">
        <f t="shared" si="10"/>
        <v>Row Not Used</v>
      </c>
      <c r="AN40" s="512" t="e" cm="1">
        <f t="array" ref="AN40">INDEX(BallastFactorTable[Ballast Factor],MATCH(1,(BallastFactorTable[Fixture Class]=D40)*(BallastFactorTable[Fixture Category]=E40)*(BallastFactorTable[Fixture Sub-category]=F40),0))</f>
        <v>#N/A</v>
      </c>
      <c r="AO40" s="143" t="str">
        <f t="shared" si="23"/>
        <v/>
      </c>
      <c r="AP40" s="501" t="e" cm="1">
        <f t="array" ref="AP40">INDEX(BallastFactorTable[Wattage Range Name],MATCH(1,(BallastFactorTable[Fixture Class]=D40)*(BallastFactorTable[Fixture Category]=E40)*(BallastFactorTable[Fixture Sub-category]=F40),0))</f>
        <v>#N/A</v>
      </c>
      <c r="AQ40" s="515" t="str">
        <f t="shared" ca="1" si="11"/>
        <v>Okay</v>
      </c>
      <c r="AR40" s="512">
        <f t="shared" si="12"/>
        <v>0</v>
      </c>
      <c r="AS40" s="511" t="str">
        <f>IF(OR(Measures!AM40="Row Not Used",Measures!C40="Controls Only",Measures!C40="Decommissioning"),"",_xlfn.CONCAT(P40," ",Q40))</f>
        <v/>
      </c>
      <c r="AT40" s="264" t="str">
        <f t="shared" si="13"/>
        <v>None</v>
      </c>
      <c r="AU40" s="229">
        <f>IF(OR(AM40="Row Not Used",AM40="Controls Only"),0,INDEX(IncentiveRateTable[Incentive Rate],MATCH(AT40,IncentiveRateTable[Incentive Name],0)))</f>
        <v>0</v>
      </c>
      <c r="AV40" s="133" t="str">
        <f>IF(OR(AM40="Row Not Used",AM40="Controls Only"),"None",INDEX(IncentiveRateTable[Incentive Unit],MATCH(AT40,IncentiveRateTable[Incentive Name],0)))</f>
        <v>None</v>
      </c>
      <c r="AW40" s="578">
        <f t="shared" si="24"/>
        <v>0</v>
      </c>
      <c r="AX40" s="264" t="str">
        <f t="shared" si="14"/>
        <v>None</v>
      </c>
      <c r="AY40" s="229">
        <f>IF(OR(AM40="Row Not Used",AM40="Fixtures Only",AM40="Decommissioning"),0,INDEX(IncentiveRateTable[Incentive Rate],MATCH(AX40,IncentiveRateTable[Incentive Name],0)))</f>
        <v>0</v>
      </c>
      <c r="AZ40" s="133" t="str">
        <f>IF(OR(AM40="Row Not Used",AM40="Fixtures Only",AM40="Decommissioning"),"None",INDEX(IncentiveRateTable[Incentive Unit],MATCH(AX40,IncentiveRateTable[Incentive Name],0)))</f>
        <v>None</v>
      </c>
      <c r="BA40" s="465">
        <f t="shared" si="15"/>
        <v>0</v>
      </c>
      <c r="BB40" s="264" t="e" cm="1">
        <f t="array" ref="BB40">INDEX(BallastFactorTable[Commercial BPA Reference Number],MATCH(1,(BallastFactorTable[Fixture Class]=J40)*(BallastFactorTable[Fixture Category]=K40)*(BallastFactorTable[Fixture Sub-category]=L40),0))</f>
        <v>#N/A</v>
      </c>
      <c r="BC40" s="133" t="e" cm="1">
        <f t="array" ref="BC40">INDEX(BallastFactorTable[Industrial BPA Reference Number],MATCH(1,(BallastFactorTable[Fixture Class]=J40)*(BallastFactorTable[Fixture Category]=K40)*(BallastFactorTable[Fixture Sub-category]=L40),0))</f>
        <v>#N/A</v>
      </c>
      <c r="BD40" s="264" t="str">
        <f t="shared" si="16"/>
        <v>Sector is blank</v>
      </c>
      <c r="BE40" s="269" t="str">
        <f>IF(ISBLANK(SectorField),"Sector is blank",IF(AM40="Row Not Used","",IF(OR(R40="No Controls",ISBLANK(R40)),"",INDEX(ControlsBPARefNoTable[Reference Number],MATCH(SectorField,ControlsBPARefNoTable[Sector],0)))))</f>
        <v>Sector is blank</v>
      </c>
      <c r="BF40" s="530" t="str">
        <f t="shared" si="17"/>
        <v/>
      </c>
      <c r="BG40" s="132" t="str">
        <f t="shared" si="18"/>
        <v/>
      </c>
      <c r="BH40" s="531" t="str">
        <f t="shared" si="19"/>
        <v/>
      </c>
      <c r="BI40" s="532"/>
      <c r="BJ40" s="538" t="str">
        <f t="shared" si="25"/>
        <v/>
      </c>
      <c r="BK40" s="539" t="str">
        <f t="shared" si="26"/>
        <v/>
      </c>
      <c r="BL40" s="547" t="str">
        <f t="shared" si="27"/>
        <v/>
      </c>
    </row>
    <row r="41" spans="1:64" x14ac:dyDescent="0.3">
      <c r="A41" s="133">
        <v>34</v>
      </c>
      <c r="B41" s="294"/>
      <c r="C41" s="313"/>
      <c r="D41" s="292"/>
      <c r="E41" s="284"/>
      <c r="F41" s="284"/>
      <c r="G41" s="295"/>
      <c r="H41" s="296"/>
      <c r="I41" s="297"/>
      <c r="J41" s="292"/>
      <c r="K41" s="284"/>
      <c r="L41" s="284"/>
      <c r="M41" s="295"/>
      <c r="N41" s="296"/>
      <c r="O41" s="296"/>
      <c r="P41" s="284"/>
      <c r="Q41" s="298"/>
      <c r="R41" s="292"/>
      <c r="S41" s="299"/>
      <c r="T41" s="300"/>
      <c r="U41" s="317" t="str">
        <f t="shared" si="1"/>
        <v/>
      </c>
      <c r="V41" s="301"/>
      <c r="W41" s="136" t="str">
        <f t="shared" si="2"/>
        <v/>
      </c>
      <c r="X41" s="588" t="str">
        <f t="shared" si="20"/>
        <v/>
      </c>
      <c r="Y41" s="580"/>
      <c r="Z41" s="251" t="str">
        <f t="shared" si="3"/>
        <v/>
      </c>
      <c r="AA41" s="138" t="str">
        <f t="shared" si="28"/>
        <v/>
      </c>
      <c r="AB41" s="243" t="str">
        <f t="shared" si="21"/>
        <v/>
      </c>
      <c r="AC41" s="141" t="str">
        <f t="shared" si="4"/>
        <v/>
      </c>
      <c r="AD41" s="138" t="str">
        <f t="shared" si="22"/>
        <v/>
      </c>
      <c r="AE41" s="243" t="str">
        <f t="shared" si="5"/>
        <v/>
      </c>
      <c r="AF41" s="342" t="str">
        <f>IF(AM41="Row Not Used","",INDEX(SpaceTable[Annual Hours],(MATCH(B41,SpaceTable[Space Name Concatenated Helper],0))))</f>
        <v/>
      </c>
      <c r="AG41" s="205" t="str">
        <f t="shared" si="6"/>
        <v/>
      </c>
      <c r="AH41" s="234" t="str">
        <f t="shared" si="7"/>
        <v/>
      </c>
      <c r="AI41" s="205" t="str">
        <f t="shared" si="8"/>
        <v/>
      </c>
      <c r="AJ41" s="234" t="str">
        <f t="shared" si="9"/>
        <v/>
      </c>
      <c r="AK41" s="144" t="str">
        <f>IF(AM41="Row Not Used","",INDEX(SpaceTable[Row],(MATCH(B41,SpaceTable[Space Name Concatenated Helper],0))))</f>
        <v/>
      </c>
      <c r="AL41" s="238" t="str">
        <f>IF(AM41="Row Not Used","",INDEX(SpaceTable[HVAC Factor],(MATCH(B41,SpaceTable[Space Name Concatenated Helper],0))))</f>
        <v/>
      </c>
      <c r="AM41" s="520" t="str">
        <f t="shared" si="10"/>
        <v>Row Not Used</v>
      </c>
      <c r="AN41" s="512" t="e" cm="1">
        <f t="array" ref="AN41">INDEX(BallastFactorTable[Ballast Factor],MATCH(1,(BallastFactorTable[Fixture Class]=D41)*(BallastFactorTable[Fixture Category]=E41)*(BallastFactorTable[Fixture Sub-category]=F41),0))</f>
        <v>#N/A</v>
      </c>
      <c r="AO41" s="143" t="str">
        <f t="shared" si="23"/>
        <v/>
      </c>
      <c r="AP41" s="501" t="e" cm="1">
        <f t="array" ref="AP41">INDEX(BallastFactorTable[Wattage Range Name],MATCH(1,(BallastFactorTable[Fixture Class]=D41)*(BallastFactorTable[Fixture Category]=E41)*(BallastFactorTable[Fixture Sub-category]=F41),0))</f>
        <v>#N/A</v>
      </c>
      <c r="AQ41" s="515" t="str">
        <f t="shared" ca="1" si="11"/>
        <v>Okay</v>
      </c>
      <c r="AR41" s="512">
        <f t="shared" si="12"/>
        <v>0</v>
      </c>
      <c r="AS41" s="511" t="str">
        <f>IF(OR(Measures!AM41="Row Not Used",Measures!C41="Controls Only",Measures!C41="Decommissioning"),"",_xlfn.CONCAT(P41," ",Q41))</f>
        <v/>
      </c>
      <c r="AT41" s="264" t="str">
        <f t="shared" si="13"/>
        <v>None</v>
      </c>
      <c r="AU41" s="229">
        <f>IF(OR(AM41="Row Not Used",AM41="Controls Only"),0,INDEX(IncentiveRateTable[Incentive Rate],MATCH(AT41,IncentiveRateTable[Incentive Name],0)))</f>
        <v>0</v>
      </c>
      <c r="AV41" s="133" t="str">
        <f>IF(OR(AM41="Row Not Used",AM41="Controls Only"),"None",INDEX(IncentiveRateTable[Incentive Unit],MATCH(AT41,IncentiveRateTable[Incentive Name],0)))</f>
        <v>None</v>
      </c>
      <c r="AW41" s="578">
        <f t="shared" si="24"/>
        <v>0</v>
      </c>
      <c r="AX41" s="264" t="str">
        <f t="shared" si="14"/>
        <v>None</v>
      </c>
      <c r="AY41" s="229">
        <f>IF(OR(AM41="Row Not Used",AM41="Fixtures Only",AM41="Decommissioning"),0,INDEX(IncentiveRateTable[Incentive Rate],MATCH(AX41,IncentiveRateTable[Incentive Name],0)))</f>
        <v>0</v>
      </c>
      <c r="AZ41" s="133" t="str">
        <f>IF(OR(AM41="Row Not Used",AM41="Fixtures Only",AM41="Decommissioning"),"None",INDEX(IncentiveRateTable[Incentive Unit],MATCH(AX41,IncentiveRateTable[Incentive Name],0)))</f>
        <v>None</v>
      </c>
      <c r="BA41" s="465">
        <f t="shared" si="15"/>
        <v>0</v>
      </c>
      <c r="BB41" s="264" t="e" cm="1">
        <f t="array" ref="BB41">INDEX(BallastFactorTable[Commercial BPA Reference Number],MATCH(1,(BallastFactorTable[Fixture Class]=J41)*(BallastFactorTable[Fixture Category]=K41)*(BallastFactorTable[Fixture Sub-category]=L41),0))</f>
        <v>#N/A</v>
      </c>
      <c r="BC41" s="133" t="e" cm="1">
        <f t="array" ref="BC41">INDEX(BallastFactorTable[Industrial BPA Reference Number],MATCH(1,(BallastFactorTable[Fixture Class]=J41)*(BallastFactorTable[Fixture Category]=K41)*(BallastFactorTable[Fixture Sub-category]=L41),0))</f>
        <v>#N/A</v>
      </c>
      <c r="BD41" s="264" t="str">
        <f t="shared" si="16"/>
        <v>Sector is blank</v>
      </c>
      <c r="BE41" s="269" t="str">
        <f>IF(ISBLANK(SectorField),"Sector is blank",IF(AM41="Row Not Used","",IF(OR(R41="No Controls",ISBLANK(R41)),"",INDEX(ControlsBPARefNoTable[Reference Number],MATCH(SectorField,ControlsBPARefNoTable[Sector],0)))))</f>
        <v>Sector is blank</v>
      </c>
      <c r="BF41" s="530" t="str">
        <f t="shared" si="17"/>
        <v/>
      </c>
      <c r="BG41" s="132" t="str">
        <f t="shared" si="18"/>
        <v/>
      </c>
      <c r="BH41" s="531" t="str">
        <f t="shared" si="19"/>
        <v/>
      </c>
      <c r="BI41" s="532"/>
      <c r="BJ41" s="538" t="str">
        <f t="shared" si="25"/>
        <v/>
      </c>
      <c r="BK41" s="539" t="str">
        <f t="shared" si="26"/>
        <v/>
      </c>
      <c r="BL41" s="547" t="str">
        <f t="shared" si="27"/>
        <v/>
      </c>
    </row>
    <row r="42" spans="1:64" x14ac:dyDescent="0.3">
      <c r="A42" s="133">
        <v>35</v>
      </c>
      <c r="B42" s="294"/>
      <c r="C42" s="313"/>
      <c r="D42" s="292"/>
      <c r="E42" s="284"/>
      <c r="F42" s="284"/>
      <c r="G42" s="295"/>
      <c r="H42" s="296"/>
      <c r="I42" s="297"/>
      <c r="J42" s="292"/>
      <c r="K42" s="284"/>
      <c r="L42" s="284"/>
      <c r="M42" s="295"/>
      <c r="N42" s="296"/>
      <c r="O42" s="296"/>
      <c r="P42" s="284"/>
      <c r="Q42" s="298"/>
      <c r="R42" s="292"/>
      <c r="S42" s="299"/>
      <c r="T42" s="300"/>
      <c r="U42" s="317" t="str">
        <f t="shared" si="1"/>
        <v/>
      </c>
      <c r="V42" s="301"/>
      <c r="W42" s="137" t="str">
        <f t="shared" si="2"/>
        <v/>
      </c>
      <c r="X42" s="589" t="str">
        <f t="shared" si="20"/>
        <v/>
      </c>
      <c r="Y42" s="581"/>
      <c r="Z42" s="251" t="str">
        <f t="shared" si="3"/>
        <v/>
      </c>
      <c r="AA42" s="138" t="str">
        <f t="shared" si="28"/>
        <v/>
      </c>
      <c r="AB42" s="243" t="str">
        <f t="shared" si="21"/>
        <v/>
      </c>
      <c r="AC42" s="141" t="str">
        <f t="shared" si="4"/>
        <v/>
      </c>
      <c r="AD42" s="138" t="str">
        <f t="shared" si="22"/>
        <v/>
      </c>
      <c r="AE42" s="243" t="str">
        <f t="shared" si="5"/>
        <v/>
      </c>
      <c r="AF42" s="342" t="str">
        <f>IF(AM42="Row Not Used","",INDEX(SpaceTable[Annual Hours],(MATCH(B42,SpaceTable[Space Name Concatenated Helper],0))))</f>
        <v/>
      </c>
      <c r="AG42" s="205" t="str">
        <f t="shared" si="6"/>
        <v/>
      </c>
      <c r="AH42" s="234" t="str">
        <f t="shared" si="7"/>
        <v/>
      </c>
      <c r="AI42" s="205" t="str">
        <f t="shared" si="8"/>
        <v/>
      </c>
      <c r="AJ42" s="234" t="str">
        <f t="shared" si="9"/>
        <v/>
      </c>
      <c r="AK42" s="144" t="str">
        <f>IF(AM42="Row Not Used","",INDEX(SpaceTable[Row],(MATCH(B42,SpaceTable[Space Name Concatenated Helper],0))))</f>
        <v/>
      </c>
      <c r="AL42" s="238" t="str">
        <f>IF(AM42="Row Not Used","",INDEX(SpaceTable[HVAC Factor],(MATCH(B42,SpaceTable[Space Name Concatenated Helper],0))))</f>
        <v/>
      </c>
      <c r="AM42" s="520" t="str">
        <f t="shared" si="10"/>
        <v>Row Not Used</v>
      </c>
      <c r="AN42" s="512" t="e" cm="1">
        <f t="array" ref="AN42">INDEX(BallastFactorTable[Ballast Factor],MATCH(1,(BallastFactorTable[Fixture Class]=D42)*(BallastFactorTable[Fixture Category]=E42)*(BallastFactorTable[Fixture Sub-category]=F42),0))</f>
        <v>#N/A</v>
      </c>
      <c r="AO42" s="143" t="str">
        <f t="shared" si="23"/>
        <v/>
      </c>
      <c r="AP42" s="501" t="e" cm="1">
        <f t="array" ref="AP42">INDEX(BallastFactorTable[Wattage Range Name],MATCH(1,(BallastFactorTable[Fixture Class]=D42)*(BallastFactorTable[Fixture Category]=E42)*(BallastFactorTable[Fixture Sub-category]=F42),0))</f>
        <v>#N/A</v>
      </c>
      <c r="AQ42" s="515" t="str">
        <f t="shared" ca="1" si="11"/>
        <v>Okay</v>
      </c>
      <c r="AR42" s="512">
        <f t="shared" si="12"/>
        <v>0</v>
      </c>
      <c r="AS42" s="511" t="str">
        <f>IF(OR(Measures!AM42="Row Not Used",Measures!C42="Controls Only",Measures!C42="Decommissioning"),"",_xlfn.CONCAT(P42," ",Q42))</f>
        <v/>
      </c>
      <c r="AT42" s="264" t="str">
        <f t="shared" si="13"/>
        <v>None</v>
      </c>
      <c r="AU42" s="229">
        <f>IF(OR(AM42="Row Not Used",AM42="Controls Only"),0,INDEX(IncentiveRateTable[Incentive Rate],MATCH(AT42,IncentiveRateTable[Incentive Name],0)))</f>
        <v>0</v>
      </c>
      <c r="AV42" s="133" t="str">
        <f>IF(OR(AM42="Row Not Used",AM42="Controls Only"),"None",INDEX(IncentiveRateTable[Incentive Unit],MATCH(AT42,IncentiveRateTable[Incentive Name],0)))</f>
        <v>None</v>
      </c>
      <c r="AW42" s="578">
        <f t="shared" si="24"/>
        <v>0</v>
      </c>
      <c r="AX42" s="264" t="str">
        <f t="shared" si="14"/>
        <v>None</v>
      </c>
      <c r="AY42" s="229">
        <f>IF(OR(AM42="Row Not Used",AM42="Fixtures Only",AM42="Decommissioning"),0,INDEX(IncentiveRateTable[Incentive Rate],MATCH(AX42,IncentiveRateTable[Incentive Name],0)))</f>
        <v>0</v>
      </c>
      <c r="AZ42" s="133" t="str">
        <f>IF(OR(AM42="Row Not Used",AM42="Fixtures Only",AM42="Decommissioning"),"None",INDEX(IncentiveRateTable[Incentive Unit],MATCH(AX42,IncentiveRateTable[Incentive Name],0)))</f>
        <v>None</v>
      </c>
      <c r="BA42" s="465">
        <f t="shared" si="15"/>
        <v>0</v>
      </c>
      <c r="BB42" s="264" t="e" cm="1">
        <f t="array" ref="BB42">INDEX(BallastFactorTable[Commercial BPA Reference Number],MATCH(1,(BallastFactorTable[Fixture Class]=J42)*(BallastFactorTable[Fixture Category]=K42)*(BallastFactorTable[Fixture Sub-category]=L42),0))</f>
        <v>#N/A</v>
      </c>
      <c r="BC42" s="133" t="e" cm="1">
        <f t="array" ref="BC42">INDEX(BallastFactorTable[Industrial BPA Reference Number],MATCH(1,(BallastFactorTable[Fixture Class]=J42)*(BallastFactorTable[Fixture Category]=K42)*(BallastFactorTable[Fixture Sub-category]=L42),0))</f>
        <v>#N/A</v>
      </c>
      <c r="BD42" s="264" t="str">
        <f t="shared" si="16"/>
        <v>Sector is blank</v>
      </c>
      <c r="BE42" s="269" t="str">
        <f>IF(ISBLANK(SectorField),"Sector is blank",IF(AM42="Row Not Used","",IF(OR(R42="No Controls",ISBLANK(R42)),"",INDEX(ControlsBPARefNoTable[Reference Number],MATCH(SectorField,ControlsBPARefNoTable[Sector],0)))))</f>
        <v>Sector is blank</v>
      </c>
      <c r="BF42" s="530" t="str">
        <f t="shared" si="17"/>
        <v/>
      </c>
      <c r="BG42" s="132" t="str">
        <f t="shared" si="18"/>
        <v/>
      </c>
      <c r="BH42" s="531" t="str">
        <f t="shared" si="19"/>
        <v/>
      </c>
      <c r="BI42" s="532"/>
      <c r="BJ42" s="538" t="str">
        <f t="shared" si="25"/>
        <v/>
      </c>
      <c r="BK42" s="539" t="str">
        <f t="shared" si="26"/>
        <v/>
      </c>
      <c r="BL42" s="547" t="str">
        <f t="shared" si="27"/>
        <v/>
      </c>
    </row>
    <row r="43" spans="1:64" x14ac:dyDescent="0.3">
      <c r="A43" s="133">
        <v>36</v>
      </c>
      <c r="B43" s="294"/>
      <c r="C43" s="313"/>
      <c r="D43" s="292"/>
      <c r="E43" s="284"/>
      <c r="F43" s="284"/>
      <c r="G43" s="295"/>
      <c r="H43" s="296"/>
      <c r="I43" s="297"/>
      <c r="J43" s="292"/>
      <c r="K43" s="284"/>
      <c r="L43" s="284"/>
      <c r="M43" s="295"/>
      <c r="N43" s="296"/>
      <c r="O43" s="296"/>
      <c r="P43" s="284"/>
      <c r="Q43" s="298"/>
      <c r="R43" s="292"/>
      <c r="S43" s="299"/>
      <c r="T43" s="300"/>
      <c r="U43" s="317" t="str">
        <f t="shared" si="1"/>
        <v/>
      </c>
      <c r="V43" s="301"/>
      <c r="W43" s="136" t="str">
        <f t="shared" si="2"/>
        <v/>
      </c>
      <c r="X43" s="588" t="str">
        <f t="shared" si="20"/>
        <v/>
      </c>
      <c r="Y43" s="580"/>
      <c r="Z43" s="251" t="str">
        <f t="shared" si="3"/>
        <v/>
      </c>
      <c r="AA43" s="138" t="str">
        <f t="shared" si="28"/>
        <v/>
      </c>
      <c r="AB43" s="243" t="str">
        <f t="shared" si="21"/>
        <v/>
      </c>
      <c r="AC43" s="141" t="str">
        <f t="shared" si="4"/>
        <v/>
      </c>
      <c r="AD43" s="138" t="str">
        <f t="shared" si="22"/>
        <v/>
      </c>
      <c r="AE43" s="243" t="str">
        <f t="shared" si="5"/>
        <v/>
      </c>
      <c r="AF43" s="342" t="str">
        <f>IF(AM43="Row Not Used","",INDEX(SpaceTable[Annual Hours],(MATCH(B43,SpaceTable[Space Name Concatenated Helper],0))))</f>
        <v/>
      </c>
      <c r="AG43" s="205" t="str">
        <f t="shared" si="6"/>
        <v/>
      </c>
      <c r="AH43" s="234" t="str">
        <f t="shared" si="7"/>
        <v/>
      </c>
      <c r="AI43" s="205" t="str">
        <f t="shared" si="8"/>
        <v/>
      </c>
      <c r="AJ43" s="234" t="str">
        <f t="shared" si="9"/>
        <v/>
      </c>
      <c r="AK43" s="144" t="str">
        <f>IF(AM43="Row Not Used","",INDEX(SpaceTable[Row],(MATCH(B43,SpaceTable[Space Name Concatenated Helper],0))))</f>
        <v/>
      </c>
      <c r="AL43" s="238" t="str">
        <f>IF(AM43="Row Not Used","",INDEX(SpaceTable[HVAC Factor],(MATCH(B43,SpaceTable[Space Name Concatenated Helper],0))))</f>
        <v/>
      </c>
      <c r="AM43" s="520" t="str">
        <f t="shared" si="10"/>
        <v>Row Not Used</v>
      </c>
      <c r="AN43" s="512" t="e" cm="1">
        <f t="array" ref="AN43">INDEX(BallastFactorTable[Ballast Factor],MATCH(1,(BallastFactorTable[Fixture Class]=D43)*(BallastFactorTable[Fixture Category]=E43)*(BallastFactorTable[Fixture Sub-category]=F43),0))</f>
        <v>#N/A</v>
      </c>
      <c r="AO43" s="143" t="str">
        <f t="shared" si="23"/>
        <v/>
      </c>
      <c r="AP43" s="501" t="e" cm="1">
        <f t="array" ref="AP43">INDEX(BallastFactorTable[Wattage Range Name],MATCH(1,(BallastFactorTable[Fixture Class]=D43)*(BallastFactorTable[Fixture Category]=E43)*(BallastFactorTable[Fixture Sub-category]=F43),0))</f>
        <v>#N/A</v>
      </c>
      <c r="AQ43" s="515" t="str">
        <f t="shared" ca="1" si="11"/>
        <v>Okay</v>
      </c>
      <c r="AR43" s="512">
        <f t="shared" si="12"/>
        <v>0</v>
      </c>
      <c r="AS43" s="511" t="str">
        <f>IF(OR(Measures!AM43="Row Not Used",Measures!C43="Controls Only",Measures!C43="Decommissioning"),"",_xlfn.CONCAT(P43," ",Q43))</f>
        <v/>
      </c>
      <c r="AT43" s="264" t="str">
        <f t="shared" si="13"/>
        <v>None</v>
      </c>
      <c r="AU43" s="229">
        <f>IF(OR(AM43="Row Not Used",AM43="Controls Only"),0,INDEX(IncentiveRateTable[Incentive Rate],MATCH(AT43,IncentiveRateTable[Incentive Name],0)))</f>
        <v>0</v>
      </c>
      <c r="AV43" s="133" t="str">
        <f>IF(OR(AM43="Row Not Used",AM43="Controls Only"),"None",INDEX(IncentiveRateTable[Incentive Unit],MATCH(AT43,IncentiveRateTable[Incentive Name],0)))</f>
        <v>None</v>
      </c>
      <c r="AW43" s="578">
        <f t="shared" si="24"/>
        <v>0</v>
      </c>
      <c r="AX43" s="264" t="str">
        <f t="shared" si="14"/>
        <v>None</v>
      </c>
      <c r="AY43" s="229">
        <f>IF(OR(AM43="Row Not Used",AM43="Fixtures Only",AM43="Decommissioning"),0,INDEX(IncentiveRateTable[Incentive Rate],MATCH(AX43,IncentiveRateTable[Incentive Name],0)))</f>
        <v>0</v>
      </c>
      <c r="AZ43" s="133" t="str">
        <f>IF(OR(AM43="Row Not Used",AM43="Fixtures Only",AM43="Decommissioning"),"None",INDEX(IncentiveRateTable[Incentive Unit],MATCH(AX43,IncentiveRateTable[Incentive Name],0)))</f>
        <v>None</v>
      </c>
      <c r="BA43" s="465">
        <f t="shared" si="15"/>
        <v>0</v>
      </c>
      <c r="BB43" s="264" t="e" cm="1">
        <f t="array" ref="BB43">INDEX(BallastFactorTable[Commercial BPA Reference Number],MATCH(1,(BallastFactorTable[Fixture Class]=J43)*(BallastFactorTable[Fixture Category]=K43)*(BallastFactorTable[Fixture Sub-category]=L43),0))</f>
        <v>#N/A</v>
      </c>
      <c r="BC43" s="133" t="e" cm="1">
        <f t="array" ref="BC43">INDEX(BallastFactorTable[Industrial BPA Reference Number],MATCH(1,(BallastFactorTable[Fixture Class]=J43)*(BallastFactorTable[Fixture Category]=K43)*(BallastFactorTable[Fixture Sub-category]=L43),0))</f>
        <v>#N/A</v>
      </c>
      <c r="BD43" s="264" t="str">
        <f t="shared" si="16"/>
        <v>Sector is blank</v>
      </c>
      <c r="BE43" s="269" t="str">
        <f>IF(ISBLANK(SectorField),"Sector is blank",IF(AM43="Row Not Used","",IF(OR(R43="No Controls",ISBLANK(R43)),"",INDEX(ControlsBPARefNoTable[Reference Number],MATCH(SectorField,ControlsBPARefNoTable[Sector],0)))))</f>
        <v>Sector is blank</v>
      </c>
      <c r="BF43" s="530" t="str">
        <f t="shared" si="17"/>
        <v/>
      </c>
      <c r="BG43" s="132" t="str">
        <f t="shared" si="18"/>
        <v/>
      </c>
      <c r="BH43" s="531" t="str">
        <f t="shared" si="19"/>
        <v/>
      </c>
      <c r="BI43" s="532"/>
      <c r="BJ43" s="538" t="str">
        <f t="shared" si="25"/>
        <v/>
      </c>
      <c r="BK43" s="539" t="str">
        <f t="shared" si="26"/>
        <v/>
      </c>
      <c r="BL43" s="547" t="str">
        <f t="shared" si="27"/>
        <v/>
      </c>
    </row>
    <row r="44" spans="1:64" x14ac:dyDescent="0.3">
      <c r="A44" s="133">
        <v>37</v>
      </c>
      <c r="B44" s="294"/>
      <c r="C44" s="313"/>
      <c r="D44" s="292"/>
      <c r="E44" s="284"/>
      <c r="F44" s="284"/>
      <c r="G44" s="295"/>
      <c r="H44" s="296"/>
      <c r="I44" s="297"/>
      <c r="J44" s="292"/>
      <c r="K44" s="284"/>
      <c r="L44" s="284"/>
      <c r="M44" s="295"/>
      <c r="N44" s="296"/>
      <c r="O44" s="296"/>
      <c r="P44" s="284"/>
      <c r="Q44" s="298"/>
      <c r="R44" s="292"/>
      <c r="S44" s="299"/>
      <c r="T44" s="300"/>
      <c r="U44" s="317" t="str">
        <f t="shared" si="1"/>
        <v/>
      </c>
      <c r="V44" s="301"/>
      <c r="W44" s="137" t="str">
        <f t="shared" si="2"/>
        <v/>
      </c>
      <c r="X44" s="589" t="str">
        <f t="shared" si="20"/>
        <v/>
      </c>
      <c r="Y44" s="581"/>
      <c r="Z44" s="251" t="str">
        <f t="shared" si="3"/>
        <v/>
      </c>
      <c r="AA44" s="138" t="str">
        <f t="shared" si="28"/>
        <v/>
      </c>
      <c r="AB44" s="243" t="str">
        <f t="shared" si="21"/>
        <v/>
      </c>
      <c r="AC44" s="141" t="str">
        <f t="shared" si="4"/>
        <v/>
      </c>
      <c r="AD44" s="138" t="str">
        <f t="shared" si="22"/>
        <v/>
      </c>
      <c r="AE44" s="243" t="str">
        <f t="shared" si="5"/>
        <v/>
      </c>
      <c r="AF44" s="342" t="str">
        <f>IF(AM44="Row Not Used","",INDEX(SpaceTable[Annual Hours],(MATCH(B44,SpaceTable[Space Name Concatenated Helper],0))))</f>
        <v/>
      </c>
      <c r="AG44" s="205" t="str">
        <f t="shared" si="6"/>
        <v/>
      </c>
      <c r="AH44" s="234" t="str">
        <f t="shared" si="7"/>
        <v/>
      </c>
      <c r="AI44" s="205" t="str">
        <f t="shared" si="8"/>
        <v/>
      </c>
      <c r="AJ44" s="234" t="str">
        <f t="shared" si="9"/>
        <v/>
      </c>
      <c r="AK44" s="144" t="str">
        <f>IF(AM44="Row Not Used","",INDEX(SpaceTable[Row],(MATCH(B44,SpaceTable[Space Name Concatenated Helper],0))))</f>
        <v/>
      </c>
      <c r="AL44" s="238" t="str">
        <f>IF(AM44="Row Not Used","",INDEX(SpaceTable[HVAC Factor],(MATCH(B44,SpaceTable[Space Name Concatenated Helper],0))))</f>
        <v/>
      </c>
      <c r="AM44" s="520" t="str">
        <f t="shared" si="10"/>
        <v>Row Not Used</v>
      </c>
      <c r="AN44" s="512" t="e" cm="1">
        <f t="array" ref="AN44">INDEX(BallastFactorTable[Ballast Factor],MATCH(1,(BallastFactorTable[Fixture Class]=D44)*(BallastFactorTable[Fixture Category]=E44)*(BallastFactorTable[Fixture Sub-category]=F44),0))</f>
        <v>#N/A</v>
      </c>
      <c r="AO44" s="143" t="str">
        <f t="shared" si="23"/>
        <v/>
      </c>
      <c r="AP44" s="501" t="e" cm="1">
        <f t="array" ref="AP44">INDEX(BallastFactorTable[Wattage Range Name],MATCH(1,(BallastFactorTable[Fixture Class]=D44)*(BallastFactorTable[Fixture Category]=E44)*(BallastFactorTable[Fixture Sub-category]=F44),0))</f>
        <v>#N/A</v>
      </c>
      <c r="AQ44" s="515" t="str">
        <f t="shared" ca="1" si="11"/>
        <v>Okay</v>
      </c>
      <c r="AR44" s="512">
        <f t="shared" si="12"/>
        <v>0</v>
      </c>
      <c r="AS44" s="511" t="str">
        <f>IF(OR(Measures!AM44="Row Not Used",Measures!C44="Controls Only",Measures!C44="Decommissioning"),"",_xlfn.CONCAT(P44," ",Q44))</f>
        <v/>
      </c>
      <c r="AT44" s="264" t="str">
        <f t="shared" si="13"/>
        <v>None</v>
      </c>
      <c r="AU44" s="229">
        <f>IF(OR(AM44="Row Not Used",AM44="Controls Only"),0,INDEX(IncentiveRateTable[Incentive Rate],MATCH(AT44,IncentiveRateTable[Incentive Name],0)))</f>
        <v>0</v>
      </c>
      <c r="AV44" s="133" t="str">
        <f>IF(OR(AM44="Row Not Used",AM44="Controls Only"),"None",INDEX(IncentiveRateTable[Incentive Unit],MATCH(AT44,IncentiveRateTable[Incentive Name],0)))</f>
        <v>None</v>
      </c>
      <c r="AW44" s="578">
        <f t="shared" si="24"/>
        <v>0</v>
      </c>
      <c r="AX44" s="264" t="str">
        <f t="shared" si="14"/>
        <v>None</v>
      </c>
      <c r="AY44" s="229">
        <f>IF(OR(AM44="Row Not Used",AM44="Fixtures Only",AM44="Decommissioning"),0,INDEX(IncentiveRateTable[Incentive Rate],MATCH(AX44,IncentiveRateTable[Incentive Name],0)))</f>
        <v>0</v>
      </c>
      <c r="AZ44" s="133" t="str">
        <f>IF(OR(AM44="Row Not Used",AM44="Fixtures Only",AM44="Decommissioning"),"None",INDEX(IncentiveRateTable[Incentive Unit],MATCH(AX44,IncentiveRateTable[Incentive Name],0)))</f>
        <v>None</v>
      </c>
      <c r="BA44" s="465">
        <f t="shared" si="15"/>
        <v>0</v>
      </c>
      <c r="BB44" s="264" t="e" cm="1">
        <f t="array" ref="BB44">INDEX(BallastFactorTable[Commercial BPA Reference Number],MATCH(1,(BallastFactorTable[Fixture Class]=J44)*(BallastFactorTable[Fixture Category]=K44)*(BallastFactorTable[Fixture Sub-category]=L44),0))</f>
        <v>#N/A</v>
      </c>
      <c r="BC44" s="133" t="e" cm="1">
        <f t="array" ref="BC44">INDEX(BallastFactorTable[Industrial BPA Reference Number],MATCH(1,(BallastFactorTable[Fixture Class]=J44)*(BallastFactorTable[Fixture Category]=K44)*(BallastFactorTable[Fixture Sub-category]=L44),0))</f>
        <v>#N/A</v>
      </c>
      <c r="BD44" s="264" t="str">
        <f t="shared" si="16"/>
        <v>Sector is blank</v>
      </c>
      <c r="BE44" s="269" t="str">
        <f>IF(ISBLANK(SectorField),"Sector is blank",IF(AM44="Row Not Used","",IF(OR(R44="No Controls",ISBLANK(R44)),"",INDEX(ControlsBPARefNoTable[Reference Number],MATCH(SectorField,ControlsBPARefNoTable[Sector],0)))))</f>
        <v>Sector is blank</v>
      </c>
      <c r="BF44" s="530" t="str">
        <f t="shared" si="17"/>
        <v/>
      </c>
      <c r="BG44" s="132" t="str">
        <f t="shared" si="18"/>
        <v/>
      </c>
      <c r="BH44" s="531" t="str">
        <f t="shared" si="19"/>
        <v/>
      </c>
      <c r="BI44" s="532"/>
      <c r="BJ44" s="538" t="str">
        <f t="shared" si="25"/>
        <v/>
      </c>
      <c r="BK44" s="539" t="str">
        <f t="shared" si="26"/>
        <v/>
      </c>
      <c r="BL44" s="547" t="str">
        <f t="shared" si="27"/>
        <v/>
      </c>
    </row>
    <row r="45" spans="1:64" x14ac:dyDescent="0.3">
      <c r="A45" s="133">
        <v>38</v>
      </c>
      <c r="B45" s="294"/>
      <c r="C45" s="313"/>
      <c r="D45" s="292"/>
      <c r="E45" s="284"/>
      <c r="F45" s="284"/>
      <c r="G45" s="295"/>
      <c r="H45" s="296"/>
      <c r="I45" s="297"/>
      <c r="J45" s="292"/>
      <c r="K45" s="284"/>
      <c r="L45" s="284"/>
      <c r="M45" s="295"/>
      <c r="N45" s="296"/>
      <c r="O45" s="296"/>
      <c r="P45" s="284"/>
      <c r="Q45" s="298"/>
      <c r="R45" s="292"/>
      <c r="S45" s="299"/>
      <c r="T45" s="300"/>
      <c r="U45" s="317" t="str">
        <f t="shared" si="1"/>
        <v/>
      </c>
      <c r="V45" s="301"/>
      <c r="W45" s="136" t="str">
        <f t="shared" si="2"/>
        <v/>
      </c>
      <c r="X45" s="588" t="str">
        <f t="shared" si="20"/>
        <v/>
      </c>
      <c r="Y45" s="580"/>
      <c r="Z45" s="251" t="str">
        <f t="shared" si="3"/>
        <v/>
      </c>
      <c r="AA45" s="138" t="str">
        <f t="shared" si="28"/>
        <v/>
      </c>
      <c r="AB45" s="243" t="str">
        <f t="shared" si="21"/>
        <v/>
      </c>
      <c r="AC45" s="141" t="str">
        <f t="shared" si="4"/>
        <v/>
      </c>
      <c r="AD45" s="138" t="str">
        <f t="shared" si="22"/>
        <v/>
      </c>
      <c r="AE45" s="243" t="str">
        <f t="shared" si="5"/>
        <v/>
      </c>
      <c r="AF45" s="342" t="str">
        <f>IF(AM45="Row Not Used","",INDEX(SpaceTable[Annual Hours],(MATCH(B45,SpaceTable[Space Name Concatenated Helper],0))))</f>
        <v/>
      </c>
      <c r="AG45" s="205" t="str">
        <f t="shared" si="6"/>
        <v/>
      </c>
      <c r="AH45" s="234" t="str">
        <f t="shared" si="7"/>
        <v/>
      </c>
      <c r="AI45" s="205" t="str">
        <f t="shared" si="8"/>
        <v/>
      </c>
      <c r="AJ45" s="234" t="str">
        <f t="shared" si="9"/>
        <v/>
      </c>
      <c r="AK45" s="144" t="str">
        <f>IF(AM45="Row Not Used","",INDEX(SpaceTable[Row],(MATCH(B45,SpaceTable[Space Name Concatenated Helper],0))))</f>
        <v/>
      </c>
      <c r="AL45" s="238" t="str">
        <f>IF(AM45="Row Not Used","",INDEX(SpaceTable[HVAC Factor],(MATCH(B45,SpaceTable[Space Name Concatenated Helper],0))))</f>
        <v/>
      </c>
      <c r="AM45" s="520" t="str">
        <f t="shared" si="10"/>
        <v>Row Not Used</v>
      </c>
      <c r="AN45" s="512" t="e" cm="1">
        <f t="array" ref="AN45">INDEX(BallastFactorTable[Ballast Factor],MATCH(1,(BallastFactorTable[Fixture Class]=D45)*(BallastFactorTable[Fixture Category]=E45)*(BallastFactorTable[Fixture Sub-category]=F45),0))</f>
        <v>#N/A</v>
      </c>
      <c r="AO45" s="143" t="str">
        <f t="shared" si="23"/>
        <v/>
      </c>
      <c r="AP45" s="501" t="e" cm="1">
        <f t="array" ref="AP45">INDEX(BallastFactorTable[Wattage Range Name],MATCH(1,(BallastFactorTable[Fixture Class]=D45)*(BallastFactorTable[Fixture Category]=E45)*(BallastFactorTable[Fixture Sub-category]=F45),0))</f>
        <v>#N/A</v>
      </c>
      <c r="AQ45" s="515" t="str">
        <f t="shared" ca="1" si="11"/>
        <v>Okay</v>
      </c>
      <c r="AR45" s="512">
        <f t="shared" si="12"/>
        <v>0</v>
      </c>
      <c r="AS45" s="511" t="str">
        <f>IF(OR(Measures!AM45="Row Not Used",Measures!C45="Controls Only",Measures!C45="Decommissioning"),"",_xlfn.CONCAT(P45," ",Q45))</f>
        <v/>
      </c>
      <c r="AT45" s="264" t="str">
        <f t="shared" si="13"/>
        <v>None</v>
      </c>
      <c r="AU45" s="229">
        <f>IF(OR(AM45="Row Not Used",AM45="Controls Only"),0,INDEX(IncentiveRateTable[Incentive Rate],MATCH(AT45,IncentiveRateTable[Incentive Name],0)))</f>
        <v>0</v>
      </c>
      <c r="AV45" s="133" t="str">
        <f>IF(OR(AM45="Row Not Used",AM45="Controls Only"),"None",INDEX(IncentiveRateTable[Incentive Unit],MATCH(AT45,IncentiveRateTable[Incentive Name],0)))</f>
        <v>None</v>
      </c>
      <c r="AW45" s="578">
        <f t="shared" si="24"/>
        <v>0</v>
      </c>
      <c r="AX45" s="264" t="str">
        <f t="shared" si="14"/>
        <v>None</v>
      </c>
      <c r="AY45" s="229">
        <f>IF(OR(AM45="Row Not Used",AM45="Fixtures Only",AM45="Decommissioning"),0,INDEX(IncentiveRateTable[Incentive Rate],MATCH(AX45,IncentiveRateTable[Incentive Name],0)))</f>
        <v>0</v>
      </c>
      <c r="AZ45" s="133" t="str">
        <f>IF(OR(AM45="Row Not Used",AM45="Fixtures Only",AM45="Decommissioning"),"None",INDEX(IncentiveRateTable[Incentive Unit],MATCH(AX45,IncentiveRateTable[Incentive Name],0)))</f>
        <v>None</v>
      </c>
      <c r="BA45" s="465">
        <f t="shared" si="15"/>
        <v>0</v>
      </c>
      <c r="BB45" s="264" t="e" cm="1">
        <f t="array" ref="BB45">INDEX(BallastFactorTable[Commercial BPA Reference Number],MATCH(1,(BallastFactorTable[Fixture Class]=J45)*(BallastFactorTable[Fixture Category]=K45)*(BallastFactorTable[Fixture Sub-category]=L45),0))</f>
        <v>#N/A</v>
      </c>
      <c r="BC45" s="133" t="e" cm="1">
        <f t="array" ref="BC45">INDEX(BallastFactorTable[Industrial BPA Reference Number],MATCH(1,(BallastFactorTable[Fixture Class]=J45)*(BallastFactorTable[Fixture Category]=K45)*(BallastFactorTable[Fixture Sub-category]=L45),0))</f>
        <v>#N/A</v>
      </c>
      <c r="BD45" s="264" t="str">
        <f t="shared" si="16"/>
        <v>Sector is blank</v>
      </c>
      <c r="BE45" s="269" t="str">
        <f>IF(ISBLANK(SectorField),"Sector is blank",IF(AM45="Row Not Used","",IF(OR(R45="No Controls",ISBLANK(R45)),"",INDEX(ControlsBPARefNoTable[Reference Number],MATCH(SectorField,ControlsBPARefNoTable[Sector],0)))))</f>
        <v>Sector is blank</v>
      </c>
      <c r="BF45" s="530" t="str">
        <f t="shared" si="17"/>
        <v/>
      </c>
      <c r="BG45" s="132" t="str">
        <f t="shared" si="18"/>
        <v/>
      </c>
      <c r="BH45" s="531" t="str">
        <f t="shared" si="19"/>
        <v/>
      </c>
      <c r="BI45" s="532"/>
      <c r="BJ45" s="538" t="str">
        <f t="shared" si="25"/>
        <v/>
      </c>
      <c r="BK45" s="539" t="str">
        <f t="shared" si="26"/>
        <v/>
      </c>
      <c r="BL45" s="547" t="str">
        <f t="shared" si="27"/>
        <v/>
      </c>
    </row>
    <row r="46" spans="1:64" x14ac:dyDescent="0.3">
      <c r="A46" s="133">
        <v>39</v>
      </c>
      <c r="B46" s="294"/>
      <c r="C46" s="313"/>
      <c r="D46" s="292"/>
      <c r="E46" s="284"/>
      <c r="F46" s="284"/>
      <c r="G46" s="295"/>
      <c r="H46" s="296"/>
      <c r="I46" s="297"/>
      <c r="J46" s="292"/>
      <c r="K46" s="284"/>
      <c r="L46" s="284"/>
      <c r="M46" s="295"/>
      <c r="N46" s="296"/>
      <c r="O46" s="296"/>
      <c r="P46" s="284"/>
      <c r="Q46" s="298"/>
      <c r="R46" s="292"/>
      <c r="S46" s="299"/>
      <c r="T46" s="300"/>
      <c r="U46" s="317" t="str">
        <f t="shared" si="1"/>
        <v/>
      </c>
      <c r="V46" s="301"/>
      <c r="W46" s="137" t="str">
        <f t="shared" si="2"/>
        <v/>
      </c>
      <c r="X46" s="589" t="str">
        <f t="shared" si="20"/>
        <v/>
      </c>
      <c r="Y46" s="581"/>
      <c r="Z46" s="251" t="str">
        <f t="shared" si="3"/>
        <v/>
      </c>
      <c r="AA46" s="138" t="str">
        <f t="shared" si="28"/>
        <v/>
      </c>
      <c r="AB46" s="243" t="str">
        <f t="shared" si="21"/>
        <v/>
      </c>
      <c r="AC46" s="141" t="str">
        <f t="shared" si="4"/>
        <v/>
      </c>
      <c r="AD46" s="138" t="str">
        <f t="shared" si="22"/>
        <v/>
      </c>
      <c r="AE46" s="243" t="str">
        <f t="shared" si="5"/>
        <v/>
      </c>
      <c r="AF46" s="342" t="str">
        <f>IF(AM46="Row Not Used","",INDEX(SpaceTable[Annual Hours],(MATCH(B46,SpaceTable[Space Name Concatenated Helper],0))))</f>
        <v/>
      </c>
      <c r="AG46" s="205" t="str">
        <f t="shared" si="6"/>
        <v/>
      </c>
      <c r="AH46" s="234" t="str">
        <f t="shared" si="7"/>
        <v/>
      </c>
      <c r="AI46" s="205" t="str">
        <f t="shared" si="8"/>
        <v/>
      </c>
      <c r="AJ46" s="234" t="str">
        <f t="shared" si="9"/>
        <v/>
      </c>
      <c r="AK46" s="144" t="str">
        <f>IF(AM46="Row Not Used","",INDEX(SpaceTable[Row],(MATCH(B46,SpaceTable[Space Name Concatenated Helper],0))))</f>
        <v/>
      </c>
      <c r="AL46" s="238" t="str">
        <f>IF(AM46="Row Not Used","",INDEX(SpaceTable[HVAC Factor],(MATCH(B46,SpaceTable[Space Name Concatenated Helper],0))))</f>
        <v/>
      </c>
      <c r="AM46" s="520" t="str">
        <f t="shared" si="10"/>
        <v>Row Not Used</v>
      </c>
      <c r="AN46" s="512" t="e" cm="1">
        <f t="array" ref="AN46">INDEX(BallastFactorTable[Ballast Factor],MATCH(1,(BallastFactorTable[Fixture Class]=D46)*(BallastFactorTable[Fixture Category]=E46)*(BallastFactorTable[Fixture Sub-category]=F46),0))</f>
        <v>#N/A</v>
      </c>
      <c r="AO46" s="143" t="str">
        <f t="shared" si="23"/>
        <v/>
      </c>
      <c r="AP46" s="501" t="e" cm="1">
        <f t="array" ref="AP46">INDEX(BallastFactorTable[Wattage Range Name],MATCH(1,(BallastFactorTable[Fixture Class]=D46)*(BallastFactorTable[Fixture Category]=E46)*(BallastFactorTable[Fixture Sub-category]=F46),0))</f>
        <v>#N/A</v>
      </c>
      <c r="AQ46" s="515" t="str">
        <f t="shared" ca="1" si="11"/>
        <v>Okay</v>
      </c>
      <c r="AR46" s="512">
        <f t="shared" si="12"/>
        <v>0</v>
      </c>
      <c r="AS46" s="511" t="str">
        <f>IF(OR(Measures!AM46="Row Not Used",Measures!C46="Controls Only",Measures!C46="Decommissioning"),"",_xlfn.CONCAT(P46," ",Q46))</f>
        <v/>
      </c>
      <c r="AT46" s="264" t="str">
        <f t="shared" si="13"/>
        <v>None</v>
      </c>
      <c r="AU46" s="229">
        <f>IF(OR(AM46="Row Not Used",AM46="Controls Only"),0,INDEX(IncentiveRateTable[Incentive Rate],MATCH(AT46,IncentiveRateTable[Incentive Name],0)))</f>
        <v>0</v>
      </c>
      <c r="AV46" s="133" t="str">
        <f>IF(OR(AM46="Row Not Used",AM46="Controls Only"),"None",INDEX(IncentiveRateTable[Incentive Unit],MATCH(AT46,IncentiveRateTable[Incentive Name],0)))</f>
        <v>None</v>
      </c>
      <c r="AW46" s="578">
        <f t="shared" si="24"/>
        <v>0</v>
      </c>
      <c r="AX46" s="264" t="str">
        <f t="shared" si="14"/>
        <v>None</v>
      </c>
      <c r="AY46" s="229">
        <f>IF(OR(AM46="Row Not Used",AM46="Fixtures Only",AM46="Decommissioning"),0,INDEX(IncentiveRateTable[Incentive Rate],MATCH(AX46,IncentiveRateTable[Incentive Name],0)))</f>
        <v>0</v>
      </c>
      <c r="AZ46" s="133" t="str">
        <f>IF(OR(AM46="Row Not Used",AM46="Fixtures Only",AM46="Decommissioning"),"None",INDEX(IncentiveRateTable[Incentive Unit],MATCH(AX46,IncentiveRateTable[Incentive Name],0)))</f>
        <v>None</v>
      </c>
      <c r="BA46" s="465">
        <f t="shared" si="15"/>
        <v>0</v>
      </c>
      <c r="BB46" s="264" t="e" cm="1">
        <f t="array" ref="BB46">INDEX(BallastFactorTable[Commercial BPA Reference Number],MATCH(1,(BallastFactorTable[Fixture Class]=J46)*(BallastFactorTable[Fixture Category]=K46)*(BallastFactorTable[Fixture Sub-category]=L46),0))</f>
        <v>#N/A</v>
      </c>
      <c r="BC46" s="133" t="e" cm="1">
        <f t="array" ref="BC46">INDEX(BallastFactorTable[Industrial BPA Reference Number],MATCH(1,(BallastFactorTable[Fixture Class]=J46)*(BallastFactorTable[Fixture Category]=K46)*(BallastFactorTable[Fixture Sub-category]=L46),0))</f>
        <v>#N/A</v>
      </c>
      <c r="BD46" s="264" t="str">
        <f t="shared" si="16"/>
        <v>Sector is blank</v>
      </c>
      <c r="BE46" s="269" t="str">
        <f>IF(ISBLANK(SectorField),"Sector is blank",IF(AM46="Row Not Used","",IF(OR(R46="No Controls",ISBLANK(R46)),"",INDEX(ControlsBPARefNoTable[Reference Number],MATCH(SectorField,ControlsBPARefNoTable[Sector],0)))))</f>
        <v>Sector is blank</v>
      </c>
      <c r="BF46" s="530" t="str">
        <f t="shared" si="17"/>
        <v/>
      </c>
      <c r="BG46" s="132" t="str">
        <f t="shared" si="18"/>
        <v/>
      </c>
      <c r="BH46" s="531" t="str">
        <f t="shared" si="19"/>
        <v/>
      </c>
      <c r="BI46" s="532"/>
      <c r="BJ46" s="538" t="str">
        <f t="shared" si="25"/>
        <v/>
      </c>
      <c r="BK46" s="539" t="str">
        <f t="shared" si="26"/>
        <v/>
      </c>
      <c r="BL46" s="547" t="str">
        <f t="shared" si="27"/>
        <v/>
      </c>
    </row>
    <row r="47" spans="1:64" x14ac:dyDescent="0.3">
      <c r="A47" s="133">
        <v>40</v>
      </c>
      <c r="B47" s="294"/>
      <c r="C47" s="313"/>
      <c r="D47" s="292"/>
      <c r="E47" s="284"/>
      <c r="F47" s="284"/>
      <c r="G47" s="295"/>
      <c r="H47" s="296"/>
      <c r="I47" s="297"/>
      <c r="J47" s="292"/>
      <c r="K47" s="284"/>
      <c r="L47" s="284"/>
      <c r="M47" s="295"/>
      <c r="N47" s="296"/>
      <c r="O47" s="296"/>
      <c r="P47" s="284"/>
      <c r="Q47" s="298"/>
      <c r="R47" s="292"/>
      <c r="S47" s="299"/>
      <c r="T47" s="300"/>
      <c r="U47" s="317" t="str">
        <f t="shared" si="1"/>
        <v/>
      </c>
      <c r="V47" s="301"/>
      <c r="W47" s="136" t="str">
        <f t="shared" si="2"/>
        <v/>
      </c>
      <c r="X47" s="588" t="str">
        <f t="shared" si="20"/>
        <v/>
      </c>
      <c r="Y47" s="580"/>
      <c r="Z47" s="251" t="str">
        <f t="shared" si="3"/>
        <v/>
      </c>
      <c r="AA47" s="138" t="str">
        <f t="shared" si="28"/>
        <v/>
      </c>
      <c r="AB47" s="243" t="str">
        <f t="shared" si="21"/>
        <v/>
      </c>
      <c r="AC47" s="141" t="str">
        <f t="shared" si="4"/>
        <v/>
      </c>
      <c r="AD47" s="138" t="str">
        <f t="shared" si="22"/>
        <v/>
      </c>
      <c r="AE47" s="243" t="str">
        <f t="shared" si="5"/>
        <v/>
      </c>
      <c r="AF47" s="342" t="str">
        <f>IF(AM47="Row Not Used","",INDEX(SpaceTable[Annual Hours],(MATCH(B47,SpaceTable[Space Name Concatenated Helper],0))))</f>
        <v/>
      </c>
      <c r="AG47" s="205" t="str">
        <f t="shared" si="6"/>
        <v/>
      </c>
      <c r="AH47" s="234" t="str">
        <f t="shared" si="7"/>
        <v/>
      </c>
      <c r="AI47" s="205" t="str">
        <f t="shared" si="8"/>
        <v/>
      </c>
      <c r="AJ47" s="234" t="str">
        <f t="shared" si="9"/>
        <v/>
      </c>
      <c r="AK47" s="144" t="str">
        <f>IF(AM47="Row Not Used","",INDEX(SpaceTable[Row],(MATCH(B47,SpaceTable[Space Name Concatenated Helper],0))))</f>
        <v/>
      </c>
      <c r="AL47" s="238" t="str">
        <f>IF(AM47="Row Not Used","",INDEX(SpaceTable[HVAC Factor],(MATCH(B47,SpaceTable[Space Name Concatenated Helper],0))))</f>
        <v/>
      </c>
      <c r="AM47" s="520" t="str">
        <f t="shared" si="10"/>
        <v>Row Not Used</v>
      </c>
      <c r="AN47" s="512" t="e" cm="1">
        <f t="array" ref="AN47">INDEX(BallastFactorTable[Ballast Factor],MATCH(1,(BallastFactorTable[Fixture Class]=D47)*(BallastFactorTable[Fixture Category]=E47)*(BallastFactorTable[Fixture Sub-category]=F47),0))</f>
        <v>#N/A</v>
      </c>
      <c r="AO47" s="143" t="str">
        <f t="shared" si="23"/>
        <v/>
      </c>
      <c r="AP47" s="501" t="e" cm="1">
        <f t="array" ref="AP47">INDEX(BallastFactorTable[Wattage Range Name],MATCH(1,(BallastFactorTable[Fixture Class]=D47)*(BallastFactorTable[Fixture Category]=E47)*(BallastFactorTable[Fixture Sub-category]=F47),0))</f>
        <v>#N/A</v>
      </c>
      <c r="AQ47" s="515" t="str">
        <f t="shared" ca="1" si="11"/>
        <v>Okay</v>
      </c>
      <c r="AR47" s="512">
        <f t="shared" si="12"/>
        <v>0</v>
      </c>
      <c r="AS47" s="511" t="str">
        <f>IF(OR(Measures!AM47="Row Not Used",Measures!C47="Controls Only",Measures!C47="Decommissioning"),"",_xlfn.CONCAT(P47," ",Q47))</f>
        <v/>
      </c>
      <c r="AT47" s="264" t="str">
        <f t="shared" si="13"/>
        <v>None</v>
      </c>
      <c r="AU47" s="229">
        <f>IF(OR(AM47="Row Not Used",AM47="Controls Only"),0,INDEX(IncentiveRateTable[Incentive Rate],MATCH(AT47,IncentiveRateTable[Incentive Name],0)))</f>
        <v>0</v>
      </c>
      <c r="AV47" s="133" t="str">
        <f>IF(OR(AM47="Row Not Used",AM47="Controls Only"),"None",INDEX(IncentiveRateTable[Incentive Unit],MATCH(AT47,IncentiveRateTable[Incentive Name],0)))</f>
        <v>None</v>
      </c>
      <c r="AW47" s="578">
        <f t="shared" si="24"/>
        <v>0</v>
      </c>
      <c r="AX47" s="264" t="str">
        <f t="shared" si="14"/>
        <v>None</v>
      </c>
      <c r="AY47" s="229">
        <f>IF(OR(AM47="Row Not Used",AM47="Fixtures Only",AM47="Decommissioning"),0,INDEX(IncentiveRateTable[Incentive Rate],MATCH(AX47,IncentiveRateTable[Incentive Name],0)))</f>
        <v>0</v>
      </c>
      <c r="AZ47" s="133" t="str">
        <f>IF(OR(AM47="Row Not Used",AM47="Fixtures Only",AM47="Decommissioning"),"None",INDEX(IncentiveRateTable[Incentive Unit],MATCH(AX47,IncentiveRateTable[Incentive Name],0)))</f>
        <v>None</v>
      </c>
      <c r="BA47" s="465">
        <f t="shared" si="15"/>
        <v>0</v>
      </c>
      <c r="BB47" s="264" t="e" cm="1">
        <f t="array" ref="BB47">INDEX(BallastFactorTable[Commercial BPA Reference Number],MATCH(1,(BallastFactorTable[Fixture Class]=J47)*(BallastFactorTable[Fixture Category]=K47)*(BallastFactorTable[Fixture Sub-category]=L47),0))</f>
        <v>#N/A</v>
      </c>
      <c r="BC47" s="133" t="e" cm="1">
        <f t="array" ref="BC47">INDEX(BallastFactorTable[Industrial BPA Reference Number],MATCH(1,(BallastFactorTable[Fixture Class]=J47)*(BallastFactorTable[Fixture Category]=K47)*(BallastFactorTable[Fixture Sub-category]=L47),0))</f>
        <v>#N/A</v>
      </c>
      <c r="BD47" s="264" t="str">
        <f t="shared" si="16"/>
        <v>Sector is blank</v>
      </c>
      <c r="BE47" s="269" t="str">
        <f>IF(ISBLANK(SectorField),"Sector is blank",IF(AM47="Row Not Used","",IF(OR(R47="No Controls",ISBLANK(R47)),"",INDEX(ControlsBPARefNoTable[Reference Number],MATCH(SectorField,ControlsBPARefNoTable[Sector],0)))))</f>
        <v>Sector is blank</v>
      </c>
      <c r="BF47" s="530" t="str">
        <f t="shared" si="17"/>
        <v/>
      </c>
      <c r="BG47" s="132" t="str">
        <f t="shared" si="18"/>
        <v/>
      </c>
      <c r="BH47" s="531" t="str">
        <f t="shared" si="19"/>
        <v/>
      </c>
      <c r="BI47" s="532"/>
      <c r="BJ47" s="538" t="str">
        <f t="shared" si="25"/>
        <v/>
      </c>
      <c r="BK47" s="539" t="str">
        <f t="shared" si="26"/>
        <v/>
      </c>
      <c r="BL47" s="547" t="str">
        <f t="shared" si="27"/>
        <v/>
      </c>
    </row>
    <row r="48" spans="1:64" x14ac:dyDescent="0.3">
      <c r="A48" s="133">
        <v>41</v>
      </c>
      <c r="B48" s="294"/>
      <c r="C48" s="313"/>
      <c r="D48" s="292"/>
      <c r="E48" s="284"/>
      <c r="F48" s="284"/>
      <c r="G48" s="295"/>
      <c r="H48" s="296"/>
      <c r="I48" s="297"/>
      <c r="J48" s="292"/>
      <c r="K48" s="284"/>
      <c r="L48" s="284"/>
      <c r="M48" s="295"/>
      <c r="N48" s="296"/>
      <c r="O48" s="296"/>
      <c r="P48" s="284"/>
      <c r="Q48" s="298"/>
      <c r="R48" s="292"/>
      <c r="S48" s="299"/>
      <c r="T48" s="300"/>
      <c r="U48" s="317" t="str">
        <f t="shared" si="1"/>
        <v/>
      </c>
      <c r="V48" s="301"/>
      <c r="W48" s="137" t="str">
        <f t="shared" si="2"/>
        <v/>
      </c>
      <c r="X48" s="589" t="str">
        <f t="shared" si="20"/>
        <v/>
      </c>
      <c r="Y48" s="581"/>
      <c r="Z48" s="251" t="str">
        <f t="shared" si="3"/>
        <v/>
      </c>
      <c r="AA48" s="138" t="str">
        <f t="shared" si="28"/>
        <v/>
      </c>
      <c r="AB48" s="243" t="str">
        <f t="shared" si="21"/>
        <v/>
      </c>
      <c r="AC48" s="141" t="str">
        <f t="shared" si="4"/>
        <v/>
      </c>
      <c r="AD48" s="138" t="str">
        <f t="shared" si="22"/>
        <v/>
      </c>
      <c r="AE48" s="243" t="str">
        <f t="shared" si="5"/>
        <v/>
      </c>
      <c r="AF48" s="342" t="str">
        <f>IF(AM48="Row Not Used","",INDEX(SpaceTable[Annual Hours],(MATCH(B48,SpaceTable[Space Name Concatenated Helper],0))))</f>
        <v/>
      </c>
      <c r="AG48" s="205" t="str">
        <f t="shared" si="6"/>
        <v/>
      </c>
      <c r="AH48" s="234" t="str">
        <f t="shared" si="7"/>
        <v/>
      </c>
      <c r="AI48" s="205" t="str">
        <f t="shared" si="8"/>
        <v/>
      </c>
      <c r="AJ48" s="234" t="str">
        <f t="shared" si="9"/>
        <v/>
      </c>
      <c r="AK48" s="144" t="str">
        <f>IF(AM48="Row Not Used","",INDEX(SpaceTable[Row],(MATCH(B48,SpaceTable[Space Name Concatenated Helper],0))))</f>
        <v/>
      </c>
      <c r="AL48" s="238" t="str">
        <f>IF(AM48="Row Not Used","",INDEX(SpaceTable[HVAC Factor],(MATCH(B48,SpaceTable[Space Name Concatenated Helper],0))))</f>
        <v/>
      </c>
      <c r="AM48" s="520" t="str">
        <f t="shared" si="10"/>
        <v>Row Not Used</v>
      </c>
      <c r="AN48" s="512" t="e" cm="1">
        <f t="array" ref="AN48">INDEX(BallastFactorTable[Ballast Factor],MATCH(1,(BallastFactorTable[Fixture Class]=D48)*(BallastFactorTable[Fixture Category]=E48)*(BallastFactorTable[Fixture Sub-category]=F48),0))</f>
        <v>#N/A</v>
      </c>
      <c r="AO48" s="143" t="str">
        <f t="shared" si="23"/>
        <v/>
      </c>
      <c r="AP48" s="501" t="e" cm="1">
        <f t="array" ref="AP48">INDEX(BallastFactorTable[Wattage Range Name],MATCH(1,(BallastFactorTable[Fixture Class]=D48)*(BallastFactorTable[Fixture Category]=E48)*(BallastFactorTable[Fixture Sub-category]=F48),0))</f>
        <v>#N/A</v>
      </c>
      <c r="AQ48" s="515" t="str">
        <f t="shared" ca="1" si="11"/>
        <v>Okay</v>
      </c>
      <c r="AR48" s="512">
        <f t="shared" si="12"/>
        <v>0</v>
      </c>
      <c r="AS48" s="511" t="str">
        <f>IF(OR(Measures!AM48="Row Not Used",Measures!C48="Controls Only",Measures!C48="Decommissioning"),"",_xlfn.CONCAT(P48," ",Q48))</f>
        <v/>
      </c>
      <c r="AT48" s="264" t="str">
        <f t="shared" si="13"/>
        <v>None</v>
      </c>
      <c r="AU48" s="229">
        <f>IF(OR(AM48="Row Not Used",AM48="Controls Only"),0,INDEX(IncentiveRateTable[Incentive Rate],MATCH(AT48,IncentiveRateTable[Incentive Name],0)))</f>
        <v>0</v>
      </c>
      <c r="AV48" s="133" t="str">
        <f>IF(OR(AM48="Row Not Used",AM48="Controls Only"),"None",INDEX(IncentiveRateTable[Incentive Unit],MATCH(AT48,IncentiveRateTable[Incentive Name],0)))</f>
        <v>None</v>
      </c>
      <c r="AW48" s="578">
        <f t="shared" si="24"/>
        <v>0</v>
      </c>
      <c r="AX48" s="264" t="str">
        <f t="shared" si="14"/>
        <v>None</v>
      </c>
      <c r="AY48" s="229">
        <f>IF(OR(AM48="Row Not Used",AM48="Fixtures Only",AM48="Decommissioning"),0,INDEX(IncentiveRateTable[Incentive Rate],MATCH(AX48,IncentiveRateTable[Incentive Name],0)))</f>
        <v>0</v>
      </c>
      <c r="AZ48" s="133" t="str">
        <f>IF(OR(AM48="Row Not Used",AM48="Fixtures Only",AM48="Decommissioning"),"None",INDEX(IncentiveRateTable[Incentive Unit],MATCH(AX48,IncentiveRateTable[Incentive Name],0)))</f>
        <v>None</v>
      </c>
      <c r="BA48" s="465">
        <f t="shared" si="15"/>
        <v>0</v>
      </c>
      <c r="BB48" s="264" t="e" cm="1">
        <f t="array" ref="BB48">INDEX(BallastFactorTable[Commercial BPA Reference Number],MATCH(1,(BallastFactorTable[Fixture Class]=J48)*(BallastFactorTable[Fixture Category]=K48)*(BallastFactorTable[Fixture Sub-category]=L48),0))</f>
        <v>#N/A</v>
      </c>
      <c r="BC48" s="133" t="e" cm="1">
        <f t="array" ref="BC48">INDEX(BallastFactorTable[Industrial BPA Reference Number],MATCH(1,(BallastFactorTable[Fixture Class]=J48)*(BallastFactorTable[Fixture Category]=K48)*(BallastFactorTable[Fixture Sub-category]=L48),0))</f>
        <v>#N/A</v>
      </c>
      <c r="BD48" s="264" t="str">
        <f t="shared" si="16"/>
        <v>Sector is blank</v>
      </c>
      <c r="BE48" s="269" t="str">
        <f>IF(ISBLANK(SectorField),"Sector is blank",IF(AM48="Row Not Used","",IF(OR(R48="No Controls",ISBLANK(R48)),"",INDEX(ControlsBPARefNoTable[Reference Number],MATCH(SectorField,ControlsBPARefNoTable[Sector],0)))))</f>
        <v>Sector is blank</v>
      </c>
      <c r="BF48" s="530" t="str">
        <f t="shared" si="17"/>
        <v/>
      </c>
      <c r="BG48" s="132" t="str">
        <f t="shared" si="18"/>
        <v/>
      </c>
      <c r="BH48" s="531" t="str">
        <f t="shared" si="19"/>
        <v/>
      </c>
      <c r="BI48" s="532"/>
      <c r="BJ48" s="538" t="str">
        <f t="shared" si="25"/>
        <v/>
      </c>
      <c r="BK48" s="539" t="str">
        <f t="shared" si="26"/>
        <v/>
      </c>
      <c r="BL48" s="547" t="str">
        <f t="shared" si="27"/>
        <v/>
      </c>
    </row>
    <row r="49" spans="1:64" x14ac:dyDescent="0.3">
      <c r="A49" s="133">
        <v>42</v>
      </c>
      <c r="B49" s="294"/>
      <c r="C49" s="313"/>
      <c r="D49" s="292"/>
      <c r="E49" s="284"/>
      <c r="F49" s="284"/>
      <c r="G49" s="295"/>
      <c r="H49" s="296"/>
      <c r="I49" s="297"/>
      <c r="J49" s="292"/>
      <c r="K49" s="284"/>
      <c r="L49" s="284"/>
      <c r="M49" s="295"/>
      <c r="N49" s="296"/>
      <c r="O49" s="296"/>
      <c r="P49" s="284"/>
      <c r="Q49" s="298"/>
      <c r="R49" s="292"/>
      <c r="S49" s="299"/>
      <c r="T49" s="300"/>
      <c r="U49" s="317" t="str">
        <f t="shared" si="1"/>
        <v/>
      </c>
      <c r="V49" s="301"/>
      <c r="W49" s="136" t="str">
        <f t="shared" si="2"/>
        <v/>
      </c>
      <c r="X49" s="588" t="str">
        <f t="shared" si="20"/>
        <v/>
      </c>
      <c r="Y49" s="580"/>
      <c r="Z49" s="251" t="str">
        <f t="shared" si="3"/>
        <v/>
      </c>
      <c r="AA49" s="138" t="str">
        <f t="shared" si="28"/>
        <v/>
      </c>
      <c r="AB49" s="243" t="str">
        <f t="shared" si="21"/>
        <v/>
      </c>
      <c r="AC49" s="141" t="str">
        <f t="shared" si="4"/>
        <v/>
      </c>
      <c r="AD49" s="138" t="str">
        <f t="shared" si="22"/>
        <v/>
      </c>
      <c r="AE49" s="243" t="str">
        <f t="shared" si="5"/>
        <v/>
      </c>
      <c r="AF49" s="342" t="str">
        <f>IF(AM49="Row Not Used","",INDEX(SpaceTable[Annual Hours],(MATCH(B49,SpaceTable[Space Name Concatenated Helper],0))))</f>
        <v/>
      </c>
      <c r="AG49" s="205" t="str">
        <f t="shared" si="6"/>
        <v/>
      </c>
      <c r="AH49" s="234" t="str">
        <f t="shared" si="7"/>
        <v/>
      </c>
      <c r="AI49" s="205" t="str">
        <f t="shared" si="8"/>
        <v/>
      </c>
      <c r="AJ49" s="234" t="str">
        <f t="shared" si="9"/>
        <v/>
      </c>
      <c r="AK49" s="144" t="str">
        <f>IF(AM49="Row Not Used","",INDEX(SpaceTable[Row],(MATCH(B49,SpaceTable[Space Name Concatenated Helper],0))))</f>
        <v/>
      </c>
      <c r="AL49" s="238" t="str">
        <f>IF(AM49="Row Not Used","",INDEX(SpaceTable[HVAC Factor],(MATCH(B49,SpaceTable[Space Name Concatenated Helper],0))))</f>
        <v/>
      </c>
      <c r="AM49" s="520" t="str">
        <f t="shared" si="10"/>
        <v>Row Not Used</v>
      </c>
      <c r="AN49" s="512" t="e" cm="1">
        <f t="array" ref="AN49">INDEX(BallastFactorTable[Ballast Factor],MATCH(1,(BallastFactorTable[Fixture Class]=D49)*(BallastFactorTable[Fixture Category]=E49)*(BallastFactorTable[Fixture Sub-category]=F49),0))</f>
        <v>#N/A</v>
      </c>
      <c r="AO49" s="143" t="str">
        <f t="shared" si="23"/>
        <v/>
      </c>
      <c r="AP49" s="501" t="e" cm="1">
        <f t="array" ref="AP49">INDEX(BallastFactorTable[Wattage Range Name],MATCH(1,(BallastFactorTable[Fixture Class]=D49)*(BallastFactorTable[Fixture Category]=E49)*(BallastFactorTable[Fixture Sub-category]=F49),0))</f>
        <v>#N/A</v>
      </c>
      <c r="AQ49" s="515" t="str">
        <f t="shared" ca="1" si="11"/>
        <v>Okay</v>
      </c>
      <c r="AR49" s="512">
        <f t="shared" si="12"/>
        <v>0</v>
      </c>
      <c r="AS49" s="511" t="str">
        <f>IF(OR(Measures!AM49="Row Not Used",Measures!C49="Controls Only",Measures!C49="Decommissioning"),"",_xlfn.CONCAT(P49," ",Q49))</f>
        <v/>
      </c>
      <c r="AT49" s="264" t="str">
        <f t="shared" si="13"/>
        <v>None</v>
      </c>
      <c r="AU49" s="229">
        <f>IF(OR(AM49="Row Not Used",AM49="Controls Only"),0,INDEX(IncentiveRateTable[Incentive Rate],MATCH(AT49,IncentiveRateTable[Incentive Name],0)))</f>
        <v>0</v>
      </c>
      <c r="AV49" s="133" t="str">
        <f>IF(OR(AM49="Row Not Used",AM49="Controls Only"),"None",INDEX(IncentiveRateTable[Incentive Unit],MATCH(AT49,IncentiveRateTable[Incentive Name],0)))</f>
        <v>None</v>
      </c>
      <c r="AW49" s="578">
        <f t="shared" si="24"/>
        <v>0</v>
      </c>
      <c r="AX49" s="264" t="str">
        <f t="shared" si="14"/>
        <v>None</v>
      </c>
      <c r="AY49" s="229">
        <f>IF(OR(AM49="Row Not Used",AM49="Fixtures Only",AM49="Decommissioning"),0,INDEX(IncentiveRateTable[Incentive Rate],MATCH(AX49,IncentiveRateTable[Incentive Name],0)))</f>
        <v>0</v>
      </c>
      <c r="AZ49" s="133" t="str">
        <f>IF(OR(AM49="Row Not Used",AM49="Fixtures Only",AM49="Decommissioning"),"None",INDEX(IncentiveRateTable[Incentive Unit],MATCH(AX49,IncentiveRateTable[Incentive Name],0)))</f>
        <v>None</v>
      </c>
      <c r="BA49" s="465">
        <f t="shared" si="15"/>
        <v>0</v>
      </c>
      <c r="BB49" s="264" t="e" cm="1">
        <f t="array" ref="BB49">INDEX(BallastFactorTable[Commercial BPA Reference Number],MATCH(1,(BallastFactorTable[Fixture Class]=J49)*(BallastFactorTable[Fixture Category]=K49)*(BallastFactorTable[Fixture Sub-category]=L49),0))</f>
        <v>#N/A</v>
      </c>
      <c r="BC49" s="133" t="e" cm="1">
        <f t="array" ref="BC49">INDEX(BallastFactorTable[Industrial BPA Reference Number],MATCH(1,(BallastFactorTable[Fixture Class]=J49)*(BallastFactorTable[Fixture Category]=K49)*(BallastFactorTable[Fixture Sub-category]=L49),0))</f>
        <v>#N/A</v>
      </c>
      <c r="BD49" s="264" t="str">
        <f t="shared" si="16"/>
        <v>Sector is blank</v>
      </c>
      <c r="BE49" s="269" t="str">
        <f>IF(ISBLANK(SectorField),"Sector is blank",IF(AM49="Row Not Used","",IF(OR(R49="No Controls",ISBLANK(R49)),"",INDEX(ControlsBPARefNoTable[Reference Number],MATCH(SectorField,ControlsBPARefNoTable[Sector],0)))))</f>
        <v>Sector is blank</v>
      </c>
      <c r="BF49" s="530" t="str">
        <f t="shared" si="17"/>
        <v/>
      </c>
      <c r="BG49" s="132" t="str">
        <f t="shared" si="18"/>
        <v/>
      </c>
      <c r="BH49" s="531" t="str">
        <f t="shared" si="19"/>
        <v/>
      </c>
      <c r="BI49" s="532"/>
      <c r="BJ49" s="538" t="str">
        <f t="shared" si="25"/>
        <v/>
      </c>
      <c r="BK49" s="539" t="str">
        <f t="shared" si="26"/>
        <v/>
      </c>
      <c r="BL49" s="547" t="str">
        <f t="shared" si="27"/>
        <v/>
      </c>
    </row>
    <row r="50" spans="1:64" x14ac:dyDescent="0.3">
      <c r="A50" s="133">
        <v>43</v>
      </c>
      <c r="B50" s="294"/>
      <c r="C50" s="313"/>
      <c r="D50" s="292"/>
      <c r="E50" s="284"/>
      <c r="F50" s="284"/>
      <c r="G50" s="295"/>
      <c r="H50" s="296"/>
      <c r="I50" s="297"/>
      <c r="J50" s="292"/>
      <c r="K50" s="284"/>
      <c r="L50" s="284"/>
      <c r="M50" s="295"/>
      <c r="N50" s="296"/>
      <c r="O50" s="296"/>
      <c r="P50" s="284"/>
      <c r="Q50" s="298"/>
      <c r="R50" s="292"/>
      <c r="S50" s="299"/>
      <c r="T50" s="300"/>
      <c r="U50" s="317" t="str">
        <f t="shared" si="1"/>
        <v/>
      </c>
      <c r="V50" s="301"/>
      <c r="W50" s="137" t="str">
        <f t="shared" si="2"/>
        <v/>
      </c>
      <c r="X50" s="589" t="str">
        <f t="shared" si="20"/>
        <v/>
      </c>
      <c r="Y50" s="581"/>
      <c r="Z50" s="251" t="str">
        <f t="shared" si="3"/>
        <v/>
      </c>
      <c r="AA50" s="138" t="str">
        <f t="shared" si="28"/>
        <v/>
      </c>
      <c r="AB50" s="243" t="str">
        <f t="shared" si="21"/>
        <v/>
      </c>
      <c r="AC50" s="141" t="str">
        <f t="shared" si="4"/>
        <v/>
      </c>
      <c r="AD50" s="138" t="str">
        <f t="shared" si="22"/>
        <v/>
      </c>
      <c r="AE50" s="243" t="str">
        <f t="shared" si="5"/>
        <v/>
      </c>
      <c r="AF50" s="342" t="str">
        <f>IF(AM50="Row Not Used","",INDEX(SpaceTable[Annual Hours],(MATCH(B50,SpaceTable[Space Name Concatenated Helper],0))))</f>
        <v/>
      </c>
      <c r="AG50" s="205" t="str">
        <f t="shared" si="6"/>
        <v/>
      </c>
      <c r="AH50" s="234" t="str">
        <f t="shared" si="7"/>
        <v/>
      </c>
      <c r="AI50" s="205" t="str">
        <f t="shared" si="8"/>
        <v/>
      </c>
      <c r="AJ50" s="234" t="str">
        <f t="shared" si="9"/>
        <v/>
      </c>
      <c r="AK50" s="144" t="str">
        <f>IF(AM50="Row Not Used","",INDEX(SpaceTable[Row],(MATCH(B50,SpaceTable[Space Name Concatenated Helper],0))))</f>
        <v/>
      </c>
      <c r="AL50" s="238" t="str">
        <f>IF(AM50="Row Not Used","",INDEX(SpaceTable[HVAC Factor],(MATCH(B50,SpaceTable[Space Name Concatenated Helper],0))))</f>
        <v/>
      </c>
      <c r="AM50" s="520" t="str">
        <f t="shared" si="10"/>
        <v>Row Not Used</v>
      </c>
      <c r="AN50" s="512" t="e" cm="1">
        <f t="array" ref="AN50">INDEX(BallastFactorTable[Ballast Factor],MATCH(1,(BallastFactorTable[Fixture Class]=D50)*(BallastFactorTable[Fixture Category]=E50)*(BallastFactorTable[Fixture Sub-category]=F50),0))</f>
        <v>#N/A</v>
      </c>
      <c r="AO50" s="143" t="str">
        <f t="shared" si="23"/>
        <v/>
      </c>
      <c r="AP50" s="501" t="e" cm="1">
        <f t="array" ref="AP50">INDEX(BallastFactorTable[Wattage Range Name],MATCH(1,(BallastFactorTable[Fixture Class]=D50)*(BallastFactorTable[Fixture Category]=E50)*(BallastFactorTable[Fixture Sub-category]=F50),0))</f>
        <v>#N/A</v>
      </c>
      <c r="AQ50" s="515" t="str">
        <f t="shared" ca="1" si="11"/>
        <v>Okay</v>
      </c>
      <c r="AR50" s="512">
        <f t="shared" si="12"/>
        <v>0</v>
      </c>
      <c r="AS50" s="511" t="str">
        <f>IF(OR(Measures!AM50="Row Not Used",Measures!C50="Controls Only",Measures!C50="Decommissioning"),"",_xlfn.CONCAT(P50," ",Q50))</f>
        <v/>
      </c>
      <c r="AT50" s="264" t="str">
        <f t="shared" si="13"/>
        <v>None</v>
      </c>
      <c r="AU50" s="229">
        <f>IF(OR(AM50="Row Not Used",AM50="Controls Only"),0,INDEX(IncentiveRateTable[Incentive Rate],MATCH(AT50,IncentiveRateTable[Incentive Name],0)))</f>
        <v>0</v>
      </c>
      <c r="AV50" s="133" t="str">
        <f>IF(OR(AM50="Row Not Used",AM50="Controls Only"),"None",INDEX(IncentiveRateTable[Incentive Unit],MATCH(AT50,IncentiveRateTable[Incentive Name],0)))</f>
        <v>None</v>
      </c>
      <c r="AW50" s="578">
        <f t="shared" si="24"/>
        <v>0</v>
      </c>
      <c r="AX50" s="264" t="str">
        <f t="shared" si="14"/>
        <v>None</v>
      </c>
      <c r="AY50" s="229">
        <f>IF(OR(AM50="Row Not Used",AM50="Fixtures Only",AM50="Decommissioning"),0,INDEX(IncentiveRateTable[Incentive Rate],MATCH(AX50,IncentiveRateTable[Incentive Name],0)))</f>
        <v>0</v>
      </c>
      <c r="AZ50" s="133" t="str">
        <f>IF(OR(AM50="Row Not Used",AM50="Fixtures Only",AM50="Decommissioning"),"None",INDEX(IncentiveRateTable[Incentive Unit],MATCH(AX50,IncentiveRateTable[Incentive Name],0)))</f>
        <v>None</v>
      </c>
      <c r="BA50" s="465">
        <f t="shared" si="15"/>
        <v>0</v>
      </c>
      <c r="BB50" s="264" t="e" cm="1">
        <f t="array" ref="BB50">INDEX(BallastFactorTable[Commercial BPA Reference Number],MATCH(1,(BallastFactorTable[Fixture Class]=J50)*(BallastFactorTable[Fixture Category]=K50)*(BallastFactorTable[Fixture Sub-category]=L50),0))</f>
        <v>#N/A</v>
      </c>
      <c r="BC50" s="133" t="e" cm="1">
        <f t="array" ref="BC50">INDEX(BallastFactorTable[Industrial BPA Reference Number],MATCH(1,(BallastFactorTable[Fixture Class]=J50)*(BallastFactorTable[Fixture Category]=K50)*(BallastFactorTable[Fixture Sub-category]=L50),0))</f>
        <v>#N/A</v>
      </c>
      <c r="BD50" s="264" t="str">
        <f t="shared" si="16"/>
        <v>Sector is blank</v>
      </c>
      <c r="BE50" s="269" t="str">
        <f>IF(ISBLANK(SectorField),"Sector is blank",IF(AM50="Row Not Used","",IF(OR(R50="No Controls",ISBLANK(R50)),"",INDEX(ControlsBPARefNoTable[Reference Number],MATCH(SectorField,ControlsBPARefNoTable[Sector],0)))))</f>
        <v>Sector is blank</v>
      </c>
      <c r="BF50" s="530" t="str">
        <f t="shared" si="17"/>
        <v/>
      </c>
      <c r="BG50" s="132" t="str">
        <f t="shared" si="18"/>
        <v/>
      </c>
      <c r="BH50" s="531" t="str">
        <f t="shared" si="19"/>
        <v/>
      </c>
      <c r="BI50" s="532"/>
      <c r="BJ50" s="538" t="str">
        <f t="shared" si="25"/>
        <v/>
      </c>
      <c r="BK50" s="539" t="str">
        <f t="shared" si="26"/>
        <v/>
      </c>
      <c r="BL50" s="547" t="str">
        <f t="shared" si="27"/>
        <v/>
      </c>
    </row>
    <row r="51" spans="1:64" x14ac:dyDescent="0.3">
      <c r="A51" s="133">
        <v>44</v>
      </c>
      <c r="B51" s="294"/>
      <c r="C51" s="313"/>
      <c r="D51" s="292"/>
      <c r="E51" s="284"/>
      <c r="F51" s="284"/>
      <c r="G51" s="295"/>
      <c r="H51" s="296"/>
      <c r="I51" s="297"/>
      <c r="J51" s="292"/>
      <c r="K51" s="284"/>
      <c r="L51" s="284"/>
      <c r="M51" s="295"/>
      <c r="N51" s="296"/>
      <c r="O51" s="296"/>
      <c r="P51" s="284"/>
      <c r="Q51" s="298"/>
      <c r="R51" s="292"/>
      <c r="S51" s="299"/>
      <c r="T51" s="300"/>
      <c r="U51" s="317" t="str">
        <f t="shared" si="1"/>
        <v/>
      </c>
      <c r="V51" s="301"/>
      <c r="W51" s="136" t="str">
        <f t="shared" si="2"/>
        <v/>
      </c>
      <c r="X51" s="588" t="str">
        <f t="shared" si="20"/>
        <v/>
      </c>
      <c r="Y51" s="580"/>
      <c r="Z51" s="251" t="str">
        <f t="shared" si="3"/>
        <v/>
      </c>
      <c r="AA51" s="138" t="str">
        <f t="shared" si="28"/>
        <v/>
      </c>
      <c r="AB51" s="243" t="str">
        <f t="shared" si="21"/>
        <v/>
      </c>
      <c r="AC51" s="141" t="str">
        <f t="shared" si="4"/>
        <v/>
      </c>
      <c r="AD51" s="138" t="str">
        <f t="shared" si="22"/>
        <v/>
      </c>
      <c r="AE51" s="243" t="str">
        <f t="shared" si="5"/>
        <v/>
      </c>
      <c r="AF51" s="342" t="str">
        <f>IF(AM51="Row Not Used","",INDEX(SpaceTable[Annual Hours],(MATCH(B51,SpaceTable[Space Name Concatenated Helper],0))))</f>
        <v/>
      </c>
      <c r="AG51" s="205" t="str">
        <f t="shared" si="6"/>
        <v/>
      </c>
      <c r="AH51" s="234" t="str">
        <f t="shared" si="7"/>
        <v/>
      </c>
      <c r="AI51" s="205" t="str">
        <f t="shared" si="8"/>
        <v/>
      </c>
      <c r="AJ51" s="234" t="str">
        <f t="shared" si="9"/>
        <v/>
      </c>
      <c r="AK51" s="144" t="str">
        <f>IF(AM51="Row Not Used","",INDEX(SpaceTable[Row],(MATCH(B51,SpaceTable[Space Name Concatenated Helper],0))))</f>
        <v/>
      </c>
      <c r="AL51" s="238" t="str">
        <f>IF(AM51="Row Not Used","",INDEX(SpaceTable[HVAC Factor],(MATCH(B51,SpaceTable[Space Name Concatenated Helper],0))))</f>
        <v/>
      </c>
      <c r="AM51" s="520" t="str">
        <f t="shared" si="10"/>
        <v>Row Not Used</v>
      </c>
      <c r="AN51" s="512" t="e" cm="1">
        <f t="array" ref="AN51">INDEX(BallastFactorTable[Ballast Factor],MATCH(1,(BallastFactorTable[Fixture Class]=D51)*(BallastFactorTable[Fixture Category]=E51)*(BallastFactorTable[Fixture Sub-category]=F51),0))</f>
        <v>#N/A</v>
      </c>
      <c r="AO51" s="143" t="str">
        <f t="shared" si="23"/>
        <v/>
      </c>
      <c r="AP51" s="501" t="e" cm="1">
        <f t="array" ref="AP51">INDEX(BallastFactorTable[Wattage Range Name],MATCH(1,(BallastFactorTable[Fixture Class]=D51)*(BallastFactorTable[Fixture Category]=E51)*(BallastFactorTable[Fixture Sub-category]=F51),0))</f>
        <v>#N/A</v>
      </c>
      <c r="AQ51" s="515" t="str">
        <f t="shared" ca="1" si="11"/>
        <v>Okay</v>
      </c>
      <c r="AR51" s="512">
        <f t="shared" si="12"/>
        <v>0</v>
      </c>
      <c r="AS51" s="511" t="str">
        <f>IF(OR(Measures!AM51="Row Not Used",Measures!C51="Controls Only",Measures!C51="Decommissioning"),"",_xlfn.CONCAT(P51," ",Q51))</f>
        <v/>
      </c>
      <c r="AT51" s="264" t="str">
        <f t="shared" si="13"/>
        <v>None</v>
      </c>
      <c r="AU51" s="229">
        <f>IF(OR(AM51="Row Not Used",AM51="Controls Only"),0,INDEX(IncentiveRateTable[Incentive Rate],MATCH(AT51,IncentiveRateTable[Incentive Name],0)))</f>
        <v>0</v>
      </c>
      <c r="AV51" s="133" t="str">
        <f>IF(OR(AM51="Row Not Used",AM51="Controls Only"),"None",INDEX(IncentiveRateTable[Incentive Unit],MATCH(AT51,IncentiveRateTable[Incentive Name],0)))</f>
        <v>None</v>
      </c>
      <c r="AW51" s="578">
        <f t="shared" si="24"/>
        <v>0</v>
      </c>
      <c r="AX51" s="264" t="str">
        <f t="shared" si="14"/>
        <v>None</v>
      </c>
      <c r="AY51" s="229">
        <f>IF(OR(AM51="Row Not Used",AM51="Fixtures Only",AM51="Decommissioning"),0,INDEX(IncentiveRateTable[Incentive Rate],MATCH(AX51,IncentiveRateTable[Incentive Name],0)))</f>
        <v>0</v>
      </c>
      <c r="AZ51" s="133" t="str">
        <f>IF(OR(AM51="Row Not Used",AM51="Fixtures Only",AM51="Decommissioning"),"None",INDEX(IncentiveRateTable[Incentive Unit],MATCH(AX51,IncentiveRateTable[Incentive Name],0)))</f>
        <v>None</v>
      </c>
      <c r="BA51" s="465">
        <f t="shared" si="15"/>
        <v>0</v>
      </c>
      <c r="BB51" s="264" t="e" cm="1">
        <f t="array" ref="BB51">INDEX(BallastFactorTable[Commercial BPA Reference Number],MATCH(1,(BallastFactorTable[Fixture Class]=J51)*(BallastFactorTable[Fixture Category]=K51)*(BallastFactorTable[Fixture Sub-category]=L51),0))</f>
        <v>#N/A</v>
      </c>
      <c r="BC51" s="133" t="e" cm="1">
        <f t="array" ref="BC51">INDEX(BallastFactorTable[Industrial BPA Reference Number],MATCH(1,(BallastFactorTable[Fixture Class]=J51)*(BallastFactorTable[Fixture Category]=K51)*(BallastFactorTable[Fixture Sub-category]=L51),0))</f>
        <v>#N/A</v>
      </c>
      <c r="BD51" s="264" t="str">
        <f t="shared" si="16"/>
        <v>Sector is blank</v>
      </c>
      <c r="BE51" s="269" t="str">
        <f>IF(ISBLANK(SectorField),"Sector is blank",IF(AM51="Row Not Used","",IF(OR(R51="No Controls",ISBLANK(R51)),"",INDEX(ControlsBPARefNoTable[Reference Number],MATCH(SectorField,ControlsBPARefNoTable[Sector],0)))))</f>
        <v>Sector is blank</v>
      </c>
      <c r="BF51" s="530" t="str">
        <f t="shared" si="17"/>
        <v/>
      </c>
      <c r="BG51" s="132" t="str">
        <f t="shared" si="18"/>
        <v/>
      </c>
      <c r="BH51" s="531" t="str">
        <f t="shared" si="19"/>
        <v/>
      </c>
      <c r="BI51" s="532"/>
      <c r="BJ51" s="538" t="str">
        <f t="shared" si="25"/>
        <v/>
      </c>
      <c r="BK51" s="539" t="str">
        <f t="shared" si="26"/>
        <v/>
      </c>
      <c r="BL51" s="547" t="str">
        <f t="shared" si="27"/>
        <v/>
      </c>
    </row>
    <row r="52" spans="1:64" x14ac:dyDescent="0.3">
      <c r="A52" s="133">
        <v>45</v>
      </c>
      <c r="B52" s="294"/>
      <c r="C52" s="313"/>
      <c r="D52" s="292"/>
      <c r="E52" s="284"/>
      <c r="F52" s="284"/>
      <c r="G52" s="295"/>
      <c r="H52" s="296"/>
      <c r="I52" s="297"/>
      <c r="J52" s="292"/>
      <c r="K52" s="284"/>
      <c r="L52" s="284"/>
      <c r="M52" s="295"/>
      <c r="N52" s="296"/>
      <c r="O52" s="296"/>
      <c r="P52" s="284"/>
      <c r="Q52" s="298"/>
      <c r="R52" s="292"/>
      <c r="S52" s="299"/>
      <c r="T52" s="300"/>
      <c r="U52" s="317" t="str">
        <f t="shared" si="1"/>
        <v/>
      </c>
      <c r="V52" s="301"/>
      <c r="W52" s="137" t="str">
        <f t="shared" si="2"/>
        <v/>
      </c>
      <c r="X52" s="589" t="str">
        <f t="shared" si="20"/>
        <v/>
      </c>
      <c r="Y52" s="581"/>
      <c r="Z52" s="251" t="str">
        <f t="shared" si="3"/>
        <v/>
      </c>
      <c r="AA52" s="138" t="str">
        <f t="shared" si="28"/>
        <v/>
      </c>
      <c r="AB52" s="243" t="str">
        <f t="shared" si="21"/>
        <v/>
      </c>
      <c r="AC52" s="141" t="str">
        <f t="shared" si="4"/>
        <v/>
      </c>
      <c r="AD52" s="138" t="str">
        <f t="shared" si="22"/>
        <v/>
      </c>
      <c r="AE52" s="243" t="str">
        <f t="shared" si="5"/>
        <v/>
      </c>
      <c r="AF52" s="342" t="str">
        <f>IF(AM52="Row Not Used","",INDEX(SpaceTable[Annual Hours],(MATCH(B52,SpaceTable[Space Name Concatenated Helper],0))))</f>
        <v/>
      </c>
      <c r="AG52" s="205" t="str">
        <f t="shared" si="6"/>
        <v/>
      </c>
      <c r="AH52" s="234" t="str">
        <f t="shared" si="7"/>
        <v/>
      </c>
      <c r="AI52" s="205" t="str">
        <f t="shared" si="8"/>
        <v/>
      </c>
      <c r="AJ52" s="234" t="str">
        <f t="shared" si="9"/>
        <v/>
      </c>
      <c r="AK52" s="144" t="str">
        <f>IF(AM52="Row Not Used","",INDEX(SpaceTable[Row],(MATCH(B52,SpaceTable[Space Name Concatenated Helper],0))))</f>
        <v/>
      </c>
      <c r="AL52" s="238" t="str">
        <f>IF(AM52="Row Not Used","",INDEX(SpaceTable[HVAC Factor],(MATCH(B52,SpaceTable[Space Name Concatenated Helper],0))))</f>
        <v/>
      </c>
      <c r="AM52" s="520" t="str">
        <f t="shared" si="10"/>
        <v>Row Not Used</v>
      </c>
      <c r="AN52" s="512" t="e" cm="1">
        <f t="array" ref="AN52">INDEX(BallastFactorTable[Ballast Factor],MATCH(1,(BallastFactorTable[Fixture Class]=D52)*(BallastFactorTable[Fixture Category]=E52)*(BallastFactorTable[Fixture Sub-category]=F52),0))</f>
        <v>#N/A</v>
      </c>
      <c r="AO52" s="143" t="str">
        <f t="shared" si="23"/>
        <v/>
      </c>
      <c r="AP52" s="501" t="e" cm="1">
        <f t="array" ref="AP52">INDEX(BallastFactorTable[Wattage Range Name],MATCH(1,(BallastFactorTable[Fixture Class]=D52)*(BallastFactorTable[Fixture Category]=E52)*(BallastFactorTable[Fixture Sub-category]=F52),0))</f>
        <v>#N/A</v>
      </c>
      <c r="AQ52" s="515" t="str">
        <f t="shared" ca="1" si="11"/>
        <v>Okay</v>
      </c>
      <c r="AR52" s="512">
        <f t="shared" si="12"/>
        <v>0</v>
      </c>
      <c r="AS52" s="511" t="str">
        <f>IF(OR(Measures!AM52="Row Not Used",Measures!C52="Controls Only",Measures!C52="Decommissioning"),"",_xlfn.CONCAT(P52," ",Q52))</f>
        <v/>
      </c>
      <c r="AT52" s="264" t="str">
        <f t="shared" si="13"/>
        <v>None</v>
      </c>
      <c r="AU52" s="229">
        <f>IF(OR(AM52="Row Not Used",AM52="Controls Only"),0,INDEX(IncentiveRateTable[Incentive Rate],MATCH(AT52,IncentiveRateTable[Incentive Name],0)))</f>
        <v>0</v>
      </c>
      <c r="AV52" s="133" t="str">
        <f>IF(OR(AM52="Row Not Used",AM52="Controls Only"),"None",INDEX(IncentiveRateTable[Incentive Unit],MATCH(AT52,IncentiveRateTable[Incentive Name],0)))</f>
        <v>None</v>
      </c>
      <c r="AW52" s="578">
        <f t="shared" si="24"/>
        <v>0</v>
      </c>
      <c r="AX52" s="264" t="str">
        <f t="shared" si="14"/>
        <v>None</v>
      </c>
      <c r="AY52" s="229">
        <f>IF(OR(AM52="Row Not Used",AM52="Fixtures Only",AM52="Decommissioning"),0,INDEX(IncentiveRateTable[Incentive Rate],MATCH(AX52,IncentiveRateTable[Incentive Name],0)))</f>
        <v>0</v>
      </c>
      <c r="AZ52" s="133" t="str">
        <f>IF(OR(AM52="Row Not Used",AM52="Fixtures Only",AM52="Decommissioning"),"None",INDEX(IncentiveRateTable[Incentive Unit],MATCH(AX52,IncentiveRateTable[Incentive Name],0)))</f>
        <v>None</v>
      </c>
      <c r="BA52" s="465">
        <f t="shared" si="15"/>
        <v>0</v>
      </c>
      <c r="BB52" s="264" t="e" cm="1">
        <f t="array" ref="BB52">INDEX(BallastFactorTable[Commercial BPA Reference Number],MATCH(1,(BallastFactorTable[Fixture Class]=J52)*(BallastFactorTable[Fixture Category]=K52)*(BallastFactorTable[Fixture Sub-category]=L52),0))</f>
        <v>#N/A</v>
      </c>
      <c r="BC52" s="133" t="e" cm="1">
        <f t="array" ref="BC52">INDEX(BallastFactorTable[Industrial BPA Reference Number],MATCH(1,(BallastFactorTable[Fixture Class]=J52)*(BallastFactorTable[Fixture Category]=K52)*(BallastFactorTable[Fixture Sub-category]=L52),0))</f>
        <v>#N/A</v>
      </c>
      <c r="BD52" s="264" t="str">
        <f t="shared" si="16"/>
        <v>Sector is blank</v>
      </c>
      <c r="BE52" s="269" t="str">
        <f>IF(ISBLANK(SectorField),"Sector is blank",IF(AM52="Row Not Used","",IF(OR(R52="No Controls",ISBLANK(R52)),"",INDEX(ControlsBPARefNoTable[Reference Number],MATCH(SectorField,ControlsBPARefNoTable[Sector],0)))))</f>
        <v>Sector is blank</v>
      </c>
      <c r="BF52" s="530" t="str">
        <f t="shared" si="17"/>
        <v/>
      </c>
      <c r="BG52" s="132" t="str">
        <f t="shared" si="18"/>
        <v/>
      </c>
      <c r="BH52" s="531" t="str">
        <f t="shared" si="19"/>
        <v/>
      </c>
      <c r="BI52" s="532"/>
      <c r="BJ52" s="538" t="str">
        <f t="shared" si="25"/>
        <v/>
      </c>
      <c r="BK52" s="539" t="str">
        <f t="shared" si="26"/>
        <v/>
      </c>
      <c r="BL52" s="547" t="str">
        <f t="shared" si="27"/>
        <v/>
      </c>
    </row>
    <row r="53" spans="1:64" x14ac:dyDescent="0.3">
      <c r="A53" s="133">
        <v>46</v>
      </c>
      <c r="B53" s="294"/>
      <c r="C53" s="313"/>
      <c r="D53" s="292"/>
      <c r="E53" s="284"/>
      <c r="F53" s="284"/>
      <c r="G53" s="295"/>
      <c r="H53" s="296"/>
      <c r="I53" s="297"/>
      <c r="J53" s="292"/>
      <c r="K53" s="284"/>
      <c r="L53" s="284"/>
      <c r="M53" s="295"/>
      <c r="N53" s="296"/>
      <c r="O53" s="296"/>
      <c r="P53" s="284"/>
      <c r="Q53" s="298"/>
      <c r="R53" s="292"/>
      <c r="S53" s="299"/>
      <c r="T53" s="300"/>
      <c r="U53" s="317" t="str">
        <f t="shared" si="1"/>
        <v/>
      </c>
      <c r="V53" s="301"/>
      <c r="W53" s="136" t="str">
        <f t="shared" si="2"/>
        <v/>
      </c>
      <c r="X53" s="588" t="str">
        <f t="shared" si="20"/>
        <v/>
      </c>
      <c r="Y53" s="580"/>
      <c r="Z53" s="251" t="str">
        <f t="shared" si="3"/>
        <v/>
      </c>
      <c r="AA53" s="138" t="str">
        <f t="shared" si="28"/>
        <v/>
      </c>
      <c r="AB53" s="243" t="str">
        <f t="shared" si="21"/>
        <v/>
      </c>
      <c r="AC53" s="141" t="str">
        <f t="shared" si="4"/>
        <v/>
      </c>
      <c r="AD53" s="138" t="str">
        <f t="shared" si="22"/>
        <v/>
      </c>
      <c r="AE53" s="243" t="str">
        <f t="shared" si="5"/>
        <v/>
      </c>
      <c r="AF53" s="342" t="str">
        <f>IF(AM53="Row Not Used","",INDEX(SpaceTable[Annual Hours],(MATCH(B53,SpaceTable[Space Name Concatenated Helper],0))))</f>
        <v/>
      </c>
      <c r="AG53" s="205" t="str">
        <f t="shared" si="6"/>
        <v/>
      </c>
      <c r="AH53" s="234" t="str">
        <f t="shared" si="7"/>
        <v/>
      </c>
      <c r="AI53" s="205" t="str">
        <f t="shared" si="8"/>
        <v/>
      </c>
      <c r="AJ53" s="234" t="str">
        <f t="shared" si="9"/>
        <v/>
      </c>
      <c r="AK53" s="144" t="str">
        <f>IF(AM53="Row Not Used","",INDEX(SpaceTable[Row],(MATCH(B53,SpaceTable[Space Name Concatenated Helper],0))))</f>
        <v/>
      </c>
      <c r="AL53" s="238" t="str">
        <f>IF(AM53="Row Not Used","",INDEX(SpaceTable[HVAC Factor],(MATCH(B53,SpaceTable[Space Name Concatenated Helper],0))))</f>
        <v/>
      </c>
      <c r="AM53" s="520" t="str">
        <f t="shared" si="10"/>
        <v>Row Not Used</v>
      </c>
      <c r="AN53" s="512" t="e" cm="1">
        <f t="array" ref="AN53">INDEX(BallastFactorTable[Ballast Factor],MATCH(1,(BallastFactorTable[Fixture Class]=D53)*(BallastFactorTable[Fixture Category]=E53)*(BallastFactorTable[Fixture Sub-category]=F53),0))</f>
        <v>#N/A</v>
      </c>
      <c r="AO53" s="143" t="str">
        <f t="shared" si="23"/>
        <v/>
      </c>
      <c r="AP53" s="501" t="e" cm="1">
        <f t="array" ref="AP53">INDEX(BallastFactorTable[Wattage Range Name],MATCH(1,(BallastFactorTable[Fixture Class]=D53)*(BallastFactorTable[Fixture Category]=E53)*(BallastFactorTable[Fixture Sub-category]=F53),0))</f>
        <v>#N/A</v>
      </c>
      <c r="AQ53" s="515" t="str">
        <f t="shared" ca="1" si="11"/>
        <v>Okay</v>
      </c>
      <c r="AR53" s="512">
        <f t="shared" si="12"/>
        <v>0</v>
      </c>
      <c r="AS53" s="511" t="str">
        <f>IF(OR(Measures!AM53="Row Not Used",Measures!C53="Controls Only",Measures!C53="Decommissioning"),"",_xlfn.CONCAT(P53," ",Q53))</f>
        <v/>
      </c>
      <c r="AT53" s="264" t="str">
        <f t="shared" si="13"/>
        <v>None</v>
      </c>
      <c r="AU53" s="229">
        <f>IF(OR(AM53="Row Not Used",AM53="Controls Only"),0,INDEX(IncentiveRateTable[Incentive Rate],MATCH(AT53,IncentiveRateTable[Incentive Name],0)))</f>
        <v>0</v>
      </c>
      <c r="AV53" s="133" t="str">
        <f>IF(OR(AM53="Row Not Used",AM53="Controls Only"),"None",INDEX(IncentiveRateTable[Incentive Unit],MATCH(AT53,IncentiveRateTable[Incentive Name],0)))</f>
        <v>None</v>
      </c>
      <c r="AW53" s="578">
        <f t="shared" si="24"/>
        <v>0</v>
      </c>
      <c r="AX53" s="264" t="str">
        <f t="shared" si="14"/>
        <v>None</v>
      </c>
      <c r="AY53" s="229">
        <f>IF(OR(AM53="Row Not Used",AM53="Fixtures Only",AM53="Decommissioning"),0,INDEX(IncentiveRateTable[Incentive Rate],MATCH(AX53,IncentiveRateTable[Incentive Name],0)))</f>
        <v>0</v>
      </c>
      <c r="AZ53" s="133" t="str">
        <f>IF(OR(AM53="Row Not Used",AM53="Fixtures Only",AM53="Decommissioning"),"None",INDEX(IncentiveRateTable[Incentive Unit],MATCH(AX53,IncentiveRateTable[Incentive Name],0)))</f>
        <v>None</v>
      </c>
      <c r="BA53" s="465">
        <f t="shared" si="15"/>
        <v>0</v>
      </c>
      <c r="BB53" s="264" t="e" cm="1">
        <f t="array" ref="BB53">INDEX(BallastFactorTable[Commercial BPA Reference Number],MATCH(1,(BallastFactorTable[Fixture Class]=J53)*(BallastFactorTable[Fixture Category]=K53)*(BallastFactorTable[Fixture Sub-category]=L53),0))</f>
        <v>#N/A</v>
      </c>
      <c r="BC53" s="133" t="e" cm="1">
        <f t="array" ref="BC53">INDEX(BallastFactorTable[Industrial BPA Reference Number],MATCH(1,(BallastFactorTable[Fixture Class]=J53)*(BallastFactorTable[Fixture Category]=K53)*(BallastFactorTable[Fixture Sub-category]=L53),0))</f>
        <v>#N/A</v>
      </c>
      <c r="BD53" s="264" t="str">
        <f t="shared" si="16"/>
        <v>Sector is blank</v>
      </c>
      <c r="BE53" s="269" t="str">
        <f>IF(ISBLANK(SectorField),"Sector is blank",IF(AM53="Row Not Used","",IF(OR(R53="No Controls",ISBLANK(R53)),"",INDEX(ControlsBPARefNoTable[Reference Number],MATCH(SectorField,ControlsBPARefNoTable[Sector],0)))))</f>
        <v>Sector is blank</v>
      </c>
      <c r="BF53" s="530" t="str">
        <f t="shared" si="17"/>
        <v/>
      </c>
      <c r="BG53" s="132" t="str">
        <f t="shared" si="18"/>
        <v/>
      </c>
      <c r="BH53" s="531" t="str">
        <f t="shared" si="19"/>
        <v/>
      </c>
      <c r="BI53" s="532"/>
      <c r="BJ53" s="538" t="str">
        <f t="shared" si="25"/>
        <v/>
      </c>
      <c r="BK53" s="539" t="str">
        <f t="shared" si="26"/>
        <v/>
      </c>
      <c r="BL53" s="547" t="str">
        <f t="shared" si="27"/>
        <v/>
      </c>
    </row>
    <row r="54" spans="1:64" x14ac:dyDescent="0.3">
      <c r="A54" s="133">
        <v>47</v>
      </c>
      <c r="B54" s="294"/>
      <c r="C54" s="313"/>
      <c r="D54" s="292"/>
      <c r="E54" s="284"/>
      <c r="F54" s="284"/>
      <c r="G54" s="295"/>
      <c r="H54" s="296"/>
      <c r="I54" s="297"/>
      <c r="J54" s="292"/>
      <c r="K54" s="284"/>
      <c r="L54" s="284"/>
      <c r="M54" s="295"/>
      <c r="N54" s="296"/>
      <c r="O54" s="296"/>
      <c r="P54" s="284"/>
      <c r="Q54" s="298"/>
      <c r="R54" s="292"/>
      <c r="S54" s="299"/>
      <c r="T54" s="300"/>
      <c r="U54" s="317" t="str">
        <f t="shared" si="1"/>
        <v/>
      </c>
      <c r="V54" s="301"/>
      <c r="W54" s="137" t="str">
        <f t="shared" si="2"/>
        <v/>
      </c>
      <c r="X54" s="589" t="str">
        <f t="shared" si="20"/>
        <v/>
      </c>
      <c r="Y54" s="581"/>
      <c r="Z54" s="251" t="str">
        <f t="shared" si="3"/>
        <v/>
      </c>
      <c r="AA54" s="138" t="str">
        <f t="shared" si="28"/>
        <v/>
      </c>
      <c r="AB54" s="243" t="str">
        <f t="shared" si="21"/>
        <v/>
      </c>
      <c r="AC54" s="141" t="str">
        <f t="shared" si="4"/>
        <v/>
      </c>
      <c r="AD54" s="138" t="str">
        <f t="shared" si="22"/>
        <v/>
      </c>
      <c r="AE54" s="243" t="str">
        <f t="shared" si="5"/>
        <v/>
      </c>
      <c r="AF54" s="342" t="str">
        <f>IF(AM54="Row Not Used","",INDEX(SpaceTable[Annual Hours],(MATCH(B54,SpaceTable[Space Name Concatenated Helper],0))))</f>
        <v/>
      </c>
      <c r="AG54" s="205" t="str">
        <f t="shared" si="6"/>
        <v/>
      </c>
      <c r="AH54" s="234" t="str">
        <f t="shared" si="7"/>
        <v/>
      </c>
      <c r="AI54" s="205" t="str">
        <f t="shared" si="8"/>
        <v/>
      </c>
      <c r="AJ54" s="234" t="str">
        <f t="shared" si="9"/>
        <v/>
      </c>
      <c r="AK54" s="144" t="str">
        <f>IF(AM54="Row Not Used","",INDEX(SpaceTable[Row],(MATCH(B54,SpaceTable[Space Name Concatenated Helper],0))))</f>
        <v/>
      </c>
      <c r="AL54" s="238" t="str">
        <f>IF(AM54="Row Not Used","",INDEX(SpaceTable[HVAC Factor],(MATCH(B54,SpaceTable[Space Name Concatenated Helper],0))))</f>
        <v/>
      </c>
      <c r="AM54" s="520" t="str">
        <f t="shared" si="10"/>
        <v>Row Not Used</v>
      </c>
      <c r="AN54" s="512" t="e" cm="1">
        <f t="array" ref="AN54">INDEX(BallastFactorTable[Ballast Factor],MATCH(1,(BallastFactorTable[Fixture Class]=D54)*(BallastFactorTable[Fixture Category]=E54)*(BallastFactorTable[Fixture Sub-category]=F54),0))</f>
        <v>#N/A</v>
      </c>
      <c r="AO54" s="143" t="str">
        <f t="shared" si="23"/>
        <v/>
      </c>
      <c r="AP54" s="501" t="e" cm="1">
        <f t="array" ref="AP54">INDEX(BallastFactorTable[Wattage Range Name],MATCH(1,(BallastFactorTable[Fixture Class]=D54)*(BallastFactorTable[Fixture Category]=E54)*(BallastFactorTable[Fixture Sub-category]=F54),0))</f>
        <v>#N/A</v>
      </c>
      <c r="AQ54" s="515" t="str">
        <f t="shared" ca="1" si="11"/>
        <v>Okay</v>
      </c>
      <c r="AR54" s="512">
        <f t="shared" si="12"/>
        <v>0</v>
      </c>
      <c r="AS54" s="511" t="str">
        <f>IF(OR(Measures!AM54="Row Not Used",Measures!C54="Controls Only",Measures!C54="Decommissioning"),"",_xlfn.CONCAT(P54," ",Q54))</f>
        <v/>
      </c>
      <c r="AT54" s="264" t="str">
        <f t="shared" si="13"/>
        <v>None</v>
      </c>
      <c r="AU54" s="229">
        <f>IF(OR(AM54="Row Not Used",AM54="Controls Only"),0,INDEX(IncentiveRateTable[Incentive Rate],MATCH(AT54,IncentiveRateTable[Incentive Name],0)))</f>
        <v>0</v>
      </c>
      <c r="AV54" s="133" t="str">
        <f>IF(OR(AM54="Row Not Used",AM54="Controls Only"),"None",INDEX(IncentiveRateTable[Incentive Unit],MATCH(AT54,IncentiveRateTable[Incentive Name],0)))</f>
        <v>None</v>
      </c>
      <c r="AW54" s="578">
        <f t="shared" si="24"/>
        <v>0</v>
      </c>
      <c r="AX54" s="264" t="str">
        <f t="shared" si="14"/>
        <v>None</v>
      </c>
      <c r="AY54" s="229">
        <f>IF(OR(AM54="Row Not Used",AM54="Fixtures Only",AM54="Decommissioning"),0,INDEX(IncentiveRateTable[Incentive Rate],MATCH(AX54,IncentiveRateTable[Incentive Name],0)))</f>
        <v>0</v>
      </c>
      <c r="AZ54" s="133" t="str">
        <f>IF(OR(AM54="Row Not Used",AM54="Fixtures Only",AM54="Decommissioning"),"None",INDEX(IncentiveRateTable[Incentive Unit],MATCH(AX54,IncentiveRateTable[Incentive Name],0)))</f>
        <v>None</v>
      </c>
      <c r="BA54" s="465">
        <f t="shared" si="15"/>
        <v>0</v>
      </c>
      <c r="BB54" s="264" t="e" cm="1">
        <f t="array" ref="BB54">INDEX(BallastFactorTable[Commercial BPA Reference Number],MATCH(1,(BallastFactorTable[Fixture Class]=J54)*(BallastFactorTable[Fixture Category]=K54)*(BallastFactorTable[Fixture Sub-category]=L54),0))</f>
        <v>#N/A</v>
      </c>
      <c r="BC54" s="133" t="e" cm="1">
        <f t="array" ref="BC54">INDEX(BallastFactorTable[Industrial BPA Reference Number],MATCH(1,(BallastFactorTable[Fixture Class]=J54)*(BallastFactorTable[Fixture Category]=K54)*(BallastFactorTable[Fixture Sub-category]=L54),0))</f>
        <v>#N/A</v>
      </c>
      <c r="BD54" s="264" t="str">
        <f t="shared" si="16"/>
        <v>Sector is blank</v>
      </c>
      <c r="BE54" s="269" t="str">
        <f>IF(ISBLANK(SectorField),"Sector is blank",IF(AM54="Row Not Used","",IF(OR(R54="No Controls",ISBLANK(R54)),"",INDEX(ControlsBPARefNoTable[Reference Number],MATCH(SectorField,ControlsBPARefNoTable[Sector],0)))))</f>
        <v>Sector is blank</v>
      </c>
      <c r="BF54" s="530" t="str">
        <f t="shared" si="17"/>
        <v/>
      </c>
      <c r="BG54" s="132" t="str">
        <f t="shared" si="18"/>
        <v/>
      </c>
      <c r="BH54" s="531" t="str">
        <f t="shared" si="19"/>
        <v/>
      </c>
      <c r="BI54" s="532"/>
      <c r="BJ54" s="538" t="str">
        <f t="shared" si="25"/>
        <v/>
      </c>
      <c r="BK54" s="539" t="str">
        <f t="shared" si="26"/>
        <v/>
      </c>
      <c r="BL54" s="547" t="str">
        <f t="shared" si="27"/>
        <v/>
      </c>
    </row>
    <row r="55" spans="1:64" x14ac:dyDescent="0.3">
      <c r="A55" s="133">
        <v>48</v>
      </c>
      <c r="B55" s="294"/>
      <c r="C55" s="313"/>
      <c r="D55" s="292"/>
      <c r="E55" s="284"/>
      <c r="F55" s="284"/>
      <c r="G55" s="295"/>
      <c r="H55" s="296"/>
      <c r="I55" s="297"/>
      <c r="J55" s="292"/>
      <c r="K55" s="284"/>
      <c r="L55" s="284"/>
      <c r="M55" s="295"/>
      <c r="N55" s="296"/>
      <c r="O55" s="296"/>
      <c r="P55" s="284"/>
      <c r="Q55" s="298"/>
      <c r="R55" s="292"/>
      <c r="S55" s="299"/>
      <c r="T55" s="300"/>
      <c r="U55" s="317" t="str">
        <f t="shared" si="1"/>
        <v/>
      </c>
      <c r="V55" s="301"/>
      <c r="W55" s="136" t="str">
        <f t="shared" si="2"/>
        <v/>
      </c>
      <c r="X55" s="588" t="str">
        <f t="shared" si="20"/>
        <v/>
      </c>
      <c r="Y55" s="580"/>
      <c r="Z55" s="251" t="str">
        <f t="shared" si="3"/>
        <v/>
      </c>
      <c r="AA55" s="138" t="str">
        <f t="shared" si="28"/>
        <v/>
      </c>
      <c r="AB55" s="243" t="str">
        <f t="shared" si="21"/>
        <v/>
      </c>
      <c r="AC55" s="141" t="str">
        <f t="shared" si="4"/>
        <v/>
      </c>
      <c r="AD55" s="138" t="str">
        <f t="shared" si="22"/>
        <v/>
      </c>
      <c r="AE55" s="243" t="str">
        <f t="shared" si="5"/>
        <v/>
      </c>
      <c r="AF55" s="342" t="str">
        <f>IF(AM55="Row Not Used","",INDEX(SpaceTable[Annual Hours],(MATCH(B55,SpaceTable[Space Name Concatenated Helper],0))))</f>
        <v/>
      </c>
      <c r="AG55" s="205" t="str">
        <f t="shared" si="6"/>
        <v/>
      </c>
      <c r="AH55" s="234" t="str">
        <f t="shared" si="7"/>
        <v/>
      </c>
      <c r="AI55" s="205" t="str">
        <f t="shared" si="8"/>
        <v/>
      </c>
      <c r="AJ55" s="234" t="str">
        <f t="shared" si="9"/>
        <v/>
      </c>
      <c r="AK55" s="144" t="str">
        <f>IF(AM55="Row Not Used","",INDEX(SpaceTable[Row],(MATCH(B55,SpaceTable[Space Name Concatenated Helper],0))))</f>
        <v/>
      </c>
      <c r="AL55" s="238" t="str">
        <f>IF(AM55="Row Not Used","",INDEX(SpaceTable[HVAC Factor],(MATCH(B55,SpaceTable[Space Name Concatenated Helper],0))))</f>
        <v/>
      </c>
      <c r="AM55" s="520" t="str">
        <f t="shared" si="10"/>
        <v>Row Not Used</v>
      </c>
      <c r="AN55" s="512" t="e" cm="1">
        <f t="array" ref="AN55">INDEX(BallastFactorTable[Ballast Factor],MATCH(1,(BallastFactorTable[Fixture Class]=D55)*(BallastFactorTable[Fixture Category]=E55)*(BallastFactorTable[Fixture Sub-category]=F55),0))</f>
        <v>#N/A</v>
      </c>
      <c r="AO55" s="143" t="str">
        <f t="shared" si="23"/>
        <v/>
      </c>
      <c r="AP55" s="501" t="e" cm="1">
        <f t="array" ref="AP55">INDEX(BallastFactorTable[Wattage Range Name],MATCH(1,(BallastFactorTable[Fixture Class]=D55)*(BallastFactorTable[Fixture Category]=E55)*(BallastFactorTable[Fixture Sub-category]=F55),0))</f>
        <v>#N/A</v>
      </c>
      <c r="AQ55" s="515" t="str">
        <f t="shared" ca="1" si="11"/>
        <v>Okay</v>
      </c>
      <c r="AR55" s="512">
        <f t="shared" si="12"/>
        <v>0</v>
      </c>
      <c r="AS55" s="511" t="str">
        <f>IF(OR(Measures!AM55="Row Not Used",Measures!C55="Controls Only",Measures!C55="Decommissioning"),"",_xlfn.CONCAT(P55," ",Q55))</f>
        <v/>
      </c>
      <c r="AT55" s="264" t="str">
        <f t="shared" si="13"/>
        <v>None</v>
      </c>
      <c r="AU55" s="229">
        <f>IF(OR(AM55="Row Not Used",AM55="Controls Only"),0,INDEX(IncentiveRateTable[Incentive Rate],MATCH(AT55,IncentiveRateTable[Incentive Name],0)))</f>
        <v>0</v>
      </c>
      <c r="AV55" s="133" t="str">
        <f>IF(OR(AM55="Row Not Used",AM55="Controls Only"),"None",INDEX(IncentiveRateTable[Incentive Unit],MATCH(AT55,IncentiveRateTable[Incentive Name],0)))</f>
        <v>None</v>
      </c>
      <c r="AW55" s="578">
        <f t="shared" si="24"/>
        <v>0</v>
      </c>
      <c r="AX55" s="264" t="str">
        <f t="shared" si="14"/>
        <v>None</v>
      </c>
      <c r="AY55" s="229">
        <f>IF(OR(AM55="Row Not Used",AM55="Fixtures Only",AM55="Decommissioning"),0,INDEX(IncentiveRateTable[Incentive Rate],MATCH(AX55,IncentiveRateTable[Incentive Name],0)))</f>
        <v>0</v>
      </c>
      <c r="AZ55" s="133" t="str">
        <f>IF(OR(AM55="Row Not Used",AM55="Fixtures Only",AM55="Decommissioning"),"None",INDEX(IncentiveRateTable[Incentive Unit],MATCH(AX55,IncentiveRateTable[Incentive Name],0)))</f>
        <v>None</v>
      </c>
      <c r="BA55" s="465">
        <f t="shared" si="15"/>
        <v>0</v>
      </c>
      <c r="BB55" s="264" t="e" cm="1">
        <f t="array" ref="BB55">INDEX(BallastFactorTable[Commercial BPA Reference Number],MATCH(1,(BallastFactorTable[Fixture Class]=J55)*(BallastFactorTable[Fixture Category]=K55)*(BallastFactorTable[Fixture Sub-category]=L55),0))</f>
        <v>#N/A</v>
      </c>
      <c r="BC55" s="133" t="e" cm="1">
        <f t="array" ref="BC55">INDEX(BallastFactorTable[Industrial BPA Reference Number],MATCH(1,(BallastFactorTable[Fixture Class]=J55)*(BallastFactorTable[Fixture Category]=K55)*(BallastFactorTable[Fixture Sub-category]=L55),0))</f>
        <v>#N/A</v>
      </c>
      <c r="BD55" s="264" t="str">
        <f t="shared" si="16"/>
        <v>Sector is blank</v>
      </c>
      <c r="BE55" s="269" t="str">
        <f>IF(ISBLANK(SectorField),"Sector is blank",IF(AM55="Row Not Used","",IF(OR(R55="No Controls",ISBLANK(R55)),"",INDEX(ControlsBPARefNoTable[Reference Number],MATCH(SectorField,ControlsBPARefNoTable[Sector],0)))))</f>
        <v>Sector is blank</v>
      </c>
      <c r="BF55" s="530" t="str">
        <f t="shared" si="17"/>
        <v/>
      </c>
      <c r="BG55" s="132" t="str">
        <f t="shared" si="18"/>
        <v/>
      </c>
      <c r="BH55" s="531" t="str">
        <f t="shared" si="19"/>
        <v/>
      </c>
      <c r="BI55" s="532"/>
      <c r="BJ55" s="538" t="str">
        <f t="shared" si="25"/>
        <v/>
      </c>
      <c r="BK55" s="539" t="str">
        <f t="shared" si="26"/>
        <v/>
      </c>
      <c r="BL55" s="547" t="str">
        <f t="shared" si="27"/>
        <v/>
      </c>
    </row>
    <row r="56" spans="1:64" x14ac:dyDescent="0.3">
      <c r="A56" s="133">
        <v>49</v>
      </c>
      <c r="B56" s="294"/>
      <c r="C56" s="313"/>
      <c r="D56" s="292"/>
      <c r="E56" s="284"/>
      <c r="F56" s="284"/>
      <c r="G56" s="295"/>
      <c r="H56" s="296"/>
      <c r="I56" s="297"/>
      <c r="J56" s="292"/>
      <c r="K56" s="284"/>
      <c r="L56" s="284"/>
      <c r="M56" s="295"/>
      <c r="N56" s="296"/>
      <c r="O56" s="296"/>
      <c r="P56" s="284"/>
      <c r="Q56" s="298"/>
      <c r="R56" s="292"/>
      <c r="S56" s="299"/>
      <c r="T56" s="300"/>
      <c r="U56" s="317" t="str">
        <f t="shared" si="1"/>
        <v/>
      </c>
      <c r="V56" s="301"/>
      <c r="W56" s="137" t="str">
        <f t="shared" si="2"/>
        <v/>
      </c>
      <c r="X56" s="589" t="str">
        <f t="shared" si="20"/>
        <v/>
      </c>
      <c r="Y56" s="581"/>
      <c r="Z56" s="251" t="str">
        <f t="shared" si="3"/>
        <v/>
      </c>
      <c r="AA56" s="138" t="str">
        <f t="shared" si="28"/>
        <v/>
      </c>
      <c r="AB56" s="243" t="str">
        <f t="shared" si="21"/>
        <v/>
      </c>
      <c r="AC56" s="141" t="str">
        <f t="shared" si="4"/>
        <v/>
      </c>
      <c r="AD56" s="138" t="str">
        <f t="shared" si="22"/>
        <v/>
      </c>
      <c r="AE56" s="243" t="str">
        <f t="shared" si="5"/>
        <v/>
      </c>
      <c r="AF56" s="342" t="str">
        <f>IF(AM56="Row Not Used","",INDEX(SpaceTable[Annual Hours],(MATCH(B56,SpaceTable[Space Name Concatenated Helper],0))))</f>
        <v/>
      </c>
      <c r="AG56" s="205" t="str">
        <f t="shared" si="6"/>
        <v/>
      </c>
      <c r="AH56" s="234" t="str">
        <f t="shared" si="7"/>
        <v/>
      </c>
      <c r="AI56" s="205" t="str">
        <f t="shared" si="8"/>
        <v/>
      </c>
      <c r="AJ56" s="234" t="str">
        <f t="shared" si="9"/>
        <v/>
      </c>
      <c r="AK56" s="144" t="str">
        <f>IF(AM56="Row Not Used","",INDEX(SpaceTable[Row],(MATCH(B56,SpaceTable[Space Name Concatenated Helper],0))))</f>
        <v/>
      </c>
      <c r="AL56" s="238" t="str">
        <f>IF(AM56="Row Not Used","",INDEX(SpaceTable[HVAC Factor],(MATCH(B56,SpaceTable[Space Name Concatenated Helper],0))))</f>
        <v/>
      </c>
      <c r="AM56" s="520" t="str">
        <f t="shared" si="10"/>
        <v>Row Not Used</v>
      </c>
      <c r="AN56" s="512" t="e" cm="1">
        <f t="array" ref="AN56">INDEX(BallastFactorTable[Ballast Factor],MATCH(1,(BallastFactorTable[Fixture Class]=D56)*(BallastFactorTable[Fixture Category]=E56)*(BallastFactorTable[Fixture Sub-category]=F56),0))</f>
        <v>#N/A</v>
      </c>
      <c r="AO56" s="143" t="str">
        <f t="shared" si="23"/>
        <v/>
      </c>
      <c r="AP56" s="501" t="e" cm="1">
        <f t="array" ref="AP56">INDEX(BallastFactorTable[Wattage Range Name],MATCH(1,(BallastFactorTable[Fixture Class]=D56)*(BallastFactorTable[Fixture Category]=E56)*(BallastFactorTable[Fixture Sub-category]=F56),0))</f>
        <v>#N/A</v>
      </c>
      <c r="AQ56" s="515" t="str">
        <f t="shared" ca="1" si="11"/>
        <v>Okay</v>
      </c>
      <c r="AR56" s="512">
        <f t="shared" si="12"/>
        <v>0</v>
      </c>
      <c r="AS56" s="511" t="str">
        <f>IF(OR(Measures!AM56="Row Not Used",Measures!C56="Controls Only",Measures!C56="Decommissioning"),"",_xlfn.CONCAT(P56," ",Q56))</f>
        <v/>
      </c>
      <c r="AT56" s="264" t="str">
        <f t="shared" si="13"/>
        <v>None</v>
      </c>
      <c r="AU56" s="229">
        <f>IF(OR(AM56="Row Not Used",AM56="Controls Only"),0,INDEX(IncentiveRateTable[Incentive Rate],MATCH(AT56,IncentiveRateTable[Incentive Name],0)))</f>
        <v>0</v>
      </c>
      <c r="AV56" s="133" t="str">
        <f>IF(OR(AM56="Row Not Used",AM56="Controls Only"),"None",INDEX(IncentiveRateTable[Incentive Unit],MATCH(AT56,IncentiveRateTable[Incentive Name],0)))</f>
        <v>None</v>
      </c>
      <c r="AW56" s="578">
        <f t="shared" si="24"/>
        <v>0</v>
      </c>
      <c r="AX56" s="264" t="str">
        <f t="shared" si="14"/>
        <v>None</v>
      </c>
      <c r="AY56" s="229">
        <f>IF(OR(AM56="Row Not Used",AM56="Fixtures Only",AM56="Decommissioning"),0,INDEX(IncentiveRateTable[Incentive Rate],MATCH(AX56,IncentiveRateTable[Incentive Name],0)))</f>
        <v>0</v>
      </c>
      <c r="AZ56" s="133" t="str">
        <f>IF(OR(AM56="Row Not Used",AM56="Fixtures Only",AM56="Decommissioning"),"None",INDEX(IncentiveRateTable[Incentive Unit],MATCH(AX56,IncentiveRateTable[Incentive Name],0)))</f>
        <v>None</v>
      </c>
      <c r="BA56" s="465">
        <f t="shared" si="15"/>
        <v>0</v>
      </c>
      <c r="BB56" s="264" t="e" cm="1">
        <f t="array" ref="BB56">INDEX(BallastFactorTable[Commercial BPA Reference Number],MATCH(1,(BallastFactorTable[Fixture Class]=J56)*(BallastFactorTable[Fixture Category]=K56)*(BallastFactorTable[Fixture Sub-category]=L56),0))</f>
        <v>#N/A</v>
      </c>
      <c r="BC56" s="133" t="e" cm="1">
        <f t="array" ref="BC56">INDEX(BallastFactorTable[Industrial BPA Reference Number],MATCH(1,(BallastFactorTable[Fixture Class]=J56)*(BallastFactorTable[Fixture Category]=K56)*(BallastFactorTable[Fixture Sub-category]=L56),0))</f>
        <v>#N/A</v>
      </c>
      <c r="BD56" s="264" t="str">
        <f t="shared" si="16"/>
        <v>Sector is blank</v>
      </c>
      <c r="BE56" s="269" t="str">
        <f>IF(ISBLANK(SectorField),"Sector is blank",IF(AM56="Row Not Used","",IF(OR(R56="No Controls",ISBLANK(R56)),"",INDEX(ControlsBPARefNoTable[Reference Number],MATCH(SectorField,ControlsBPARefNoTable[Sector],0)))))</f>
        <v>Sector is blank</v>
      </c>
      <c r="BF56" s="530" t="str">
        <f t="shared" si="17"/>
        <v/>
      </c>
      <c r="BG56" s="132" t="str">
        <f t="shared" si="18"/>
        <v/>
      </c>
      <c r="BH56" s="531" t="str">
        <f t="shared" si="19"/>
        <v/>
      </c>
      <c r="BI56" s="532"/>
      <c r="BJ56" s="538" t="str">
        <f t="shared" si="25"/>
        <v/>
      </c>
      <c r="BK56" s="539" t="str">
        <f t="shared" si="26"/>
        <v/>
      </c>
      <c r="BL56" s="547" t="str">
        <f t="shared" si="27"/>
        <v/>
      </c>
    </row>
    <row r="57" spans="1:64" x14ac:dyDescent="0.3">
      <c r="A57" s="133">
        <v>50</v>
      </c>
      <c r="B57" s="294"/>
      <c r="C57" s="313"/>
      <c r="D57" s="292"/>
      <c r="E57" s="284"/>
      <c r="F57" s="284"/>
      <c r="G57" s="295"/>
      <c r="H57" s="296"/>
      <c r="I57" s="297"/>
      <c r="J57" s="292"/>
      <c r="K57" s="284"/>
      <c r="L57" s="284"/>
      <c r="M57" s="295"/>
      <c r="N57" s="296"/>
      <c r="O57" s="296"/>
      <c r="P57" s="284"/>
      <c r="Q57" s="298"/>
      <c r="R57" s="292"/>
      <c r="S57" s="299"/>
      <c r="T57" s="300"/>
      <c r="U57" s="317" t="str">
        <f t="shared" si="1"/>
        <v/>
      </c>
      <c r="V57" s="301"/>
      <c r="W57" s="136" t="str">
        <f t="shared" si="2"/>
        <v/>
      </c>
      <c r="X57" s="588" t="str">
        <f t="shared" si="20"/>
        <v/>
      </c>
      <c r="Y57" s="580"/>
      <c r="Z57" s="251" t="str">
        <f t="shared" si="3"/>
        <v/>
      </c>
      <c r="AA57" s="138" t="str">
        <f t="shared" si="28"/>
        <v/>
      </c>
      <c r="AB57" s="243" t="str">
        <f t="shared" si="21"/>
        <v/>
      </c>
      <c r="AC57" s="141" t="str">
        <f t="shared" si="4"/>
        <v/>
      </c>
      <c r="AD57" s="138" t="str">
        <f t="shared" si="22"/>
        <v/>
      </c>
      <c r="AE57" s="243" t="str">
        <f t="shared" si="5"/>
        <v/>
      </c>
      <c r="AF57" s="342" t="str">
        <f>IF(AM57="Row Not Used","",INDEX(SpaceTable[Annual Hours],(MATCH(B57,SpaceTable[Space Name Concatenated Helper],0))))</f>
        <v/>
      </c>
      <c r="AG57" s="205" t="str">
        <f t="shared" si="6"/>
        <v/>
      </c>
      <c r="AH57" s="234" t="str">
        <f t="shared" si="7"/>
        <v/>
      </c>
      <c r="AI57" s="205" t="str">
        <f t="shared" si="8"/>
        <v/>
      </c>
      <c r="AJ57" s="234" t="str">
        <f t="shared" si="9"/>
        <v/>
      </c>
      <c r="AK57" s="144" t="str">
        <f>IF(AM57="Row Not Used","",INDEX(SpaceTable[Row],(MATCH(B57,SpaceTable[Space Name Concatenated Helper],0))))</f>
        <v/>
      </c>
      <c r="AL57" s="238" t="str">
        <f>IF(AM57="Row Not Used","",INDEX(SpaceTable[HVAC Factor],(MATCH(B57,SpaceTable[Space Name Concatenated Helper],0))))</f>
        <v/>
      </c>
      <c r="AM57" s="520" t="str">
        <f t="shared" si="10"/>
        <v>Row Not Used</v>
      </c>
      <c r="AN57" s="512" t="e" cm="1">
        <f t="array" ref="AN57">INDEX(BallastFactorTable[Ballast Factor],MATCH(1,(BallastFactorTable[Fixture Class]=D57)*(BallastFactorTable[Fixture Category]=E57)*(BallastFactorTable[Fixture Sub-category]=F57),0))</f>
        <v>#N/A</v>
      </c>
      <c r="AO57" s="143" t="str">
        <f t="shared" si="23"/>
        <v/>
      </c>
      <c r="AP57" s="501" t="e" cm="1">
        <f t="array" ref="AP57">INDEX(BallastFactorTable[Wattage Range Name],MATCH(1,(BallastFactorTable[Fixture Class]=D57)*(BallastFactorTable[Fixture Category]=E57)*(BallastFactorTable[Fixture Sub-category]=F57),0))</f>
        <v>#N/A</v>
      </c>
      <c r="AQ57" s="515" t="str">
        <f t="shared" ca="1" si="11"/>
        <v>Okay</v>
      </c>
      <c r="AR57" s="512">
        <f t="shared" si="12"/>
        <v>0</v>
      </c>
      <c r="AS57" s="511" t="str">
        <f>IF(OR(Measures!AM57="Row Not Used",Measures!C57="Controls Only",Measures!C57="Decommissioning"),"",_xlfn.CONCAT(P57," ",Q57))</f>
        <v/>
      </c>
      <c r="AT57" s="264" t="str">
        <f t="shared" si="13"/>
        <v>None</v>
      </c>
      <c r="AU57" s="229">
        <f>IF(OR(AM57="Row Not Used",AM57="Controls Only"),0,INDEX(IncentiveRateTable[Incentive Rate],MATCH(AT57,IncentiveRateTable[Incentive Name],0)))</f>
        <v>0</v>
      </c>
      <c r="AV57" s="133" t="str">
        <f>IF(OR(AM57="Row Not Used",AM57="Controls Only"),"None",INDEX(IncentiveRateTable[Incentive Unit],MATCH(AT57,IncentiveRateTable[Incentive Name],0)))</f>
        <v>None</v>
      </c>
      <c r="AW57" s="578">
        <f t="shared" si="24"/>
        <v>0</v>
      </c>
      <c r="AX57" s="264" t="str">
        <f t="shared" si="14"/>
        <v>None</v>
      </c>
      <c r="AY57" s="229">
        <f>IF(OR(AM57="Row Not Used",AM57="Fixtures Only",AM57="Decommissioning"),0,INDEX(IncentiveRateTable[Incentive Rate],MATCH(AX57,IncentiveRateTable[Incentive Name],0)))</f>
        <v>0</v>
      </c>
      <c r="AZ57" s="133" t="str">
        <f>IF(OR(AM57="Row Not Used",AM57="Fixtures Only",AM57="Decommissioning"),"None",INDEX(IncentiveRateTable[Incentive Unit],MATCH(AX57,IncentiveRateTable[Incentive Name],0)))</f>
        <v>None</v>
      </c>
      <c r="BA57" s="465">
        <f t="shared" si="15"/>
        <v>0</v>
      </c>
      <c r="BB57" s="264" t="e" cm="1">
        <f t="array" ref="BB57">INDEX(BallastFactorTable[Commercial BPA Reference Number],MATCH(1,(BallastFactorTable[Fixture Class]=J57)*(BallastFactorTable[Fixture Category]=K57)*(BallastFactorTable[Fixture Sub-category]=L57),0))</f>
        <v>#N/A</v>
      </c>
      <c r="BC57" s="133" t="e" cm="1">
        <f t="array" ref="BC57">INDEX(BallastFactorTable[Industrial BPA Reference Number],MATCH(1,(BallastFactorTable[Fixture Class]=J57)*(BallastFactorTable[Fixture Category]=K57)*(BallastFactorTable[Fixture Sub-category]=L57),0))</f>
        <v>#N/A</v>
      </c>
      <c r="BD57" s="264" t="str">
        <f t="shared" si="16"/>
        <v>Sector is blank</v>
      </c>
      <c r="BE57" s="269" t="str">
        <f>IF(ISBLANK(SectorField),"Sector is blank",IF(AM57="Row Not Used","",IF(OR(R57="No Controls",ISBLANK(R57)),"",INDEX(ControlsBPARefNoTable[Reference Number],MATCH(SectorField,ControlsBPARefNoTable[Sector],0)))))</f>
        <v>Sector is blank</v>
      </c>
      <c r="BF57" s="530" t="str">
        <f t="shared" si="17"/>
        <v/>
      </c>
      <c r="BG57" s="132" t="str">
        <f t="shared" si="18"/>
        <v/>
      </c>
      <c r="BH57" s="531" t="str">
        <f t="shared" si="19"/>
        <v/>
      </c>
      <c r="BI57" s="532"/>
      <c r="BJ57" s="538" t="str">
        <f t="shared" si="25"/>
        <v/>
      </c>
      <c r="BK57" s="539" t="str">
        <f t="shared" si="26"/>
        <v/>
      </c>
      <c r="BL57" s="547" t="str">
        <f t="shared" si="27"/>
        <v/>
      </c>
    </row>
    <row r="58" spans="1:64" x14ac:dyDescent="0.3">
      <c r="A58" s="133">
        <v>51</v>
      </c>
      <c r="B58" s="294"/>
      <c r="C58" s="313"/>
      <c r="D58" s="292"/>
      <c r="E58" s="284"/>
      <c r="F58" s="284"/>
      <c r="G58" s="295"/>
      <c r="H58" s="296"/>
      <c r="I58" s="297"/>
      <c r="J58" s="292"/>
      <c r="K58" s="284"/>
      <c r="L58" s="284"/>
      <c r="M58" s="295"/>
      <c r="N58" s="296"/>
      <c r="O58" s="296"/>
      <c r="P58" s="284"/>
      <c r="Q58" s="298"/>
      <c r="R58" s="292"/>
      <c r="S58" s="299"/>
      <c r="T58" s="300"/>
      <c r="U58" s="317" t="str">
        <f t="shared" si="1"/>
        <v/>
      </c>
      <c r="V58" s="301"/>
      <c r="W58" s="137" t="str">
        <f t="shared" si="2"/>
        <v/>
      </c>
      <c r="X58" s="589" t="str">
        <f t="shared" si="20"/>
        <v/>
      </c>
      <c r="Y58" s="581"/>
      <c r="Z58" s="251" t="str">
        <f t="shared" si="3"/>
        <v/>
      </c>
      <c r="AA58" s="138" t="str">
        <f t="shared" si="28"/>
        <v/>
      </c>
      <c r="AB58" s="243" t="str">
        <f t="shared" si="21"/>
        <v/>
      </c>
      <c r="AC58" s="141" t="str">
        <f t="shared" si="4"/>
        <v/>
      </c>
      <c r="AD58" s="138" t="str">
        <f t="shared" si="22"/>
        <v/>
      </c>
      <c r="AE58" s="243" t="str">
        <f t="shared" si="5"/>
        <v/>
      </c>
      <c r="AF58" s="342" t="str">
        <f>IF(AM58="Row Not Used","",INDEX(SpaceTable[Annual Hours],(MATCH(B58,SpaceTable[Space Name Concatenated Helper],0))))</f>
        <v/>
      </c>
      <c r="AG58" s="205" t="str">
        <f t="shared" si="6"/>
        <v/>
      </c>
      <c r="AH58" s="234" t="str">
        <f t="shared" si="7"/>
        <v/>
      </c>
      <c r="AI58" s="205" t="str">
        <f t="shared" si="8"/>
        <v/>
      </c>
      <c r="AJ58" s="234" t="str">
        <f t="shared" si="9"/>
        <v/>
      </c>
      <c r="AK58" s="144" t="str">
        <f>IF(AM58="Row Not Used","",INDEX(SpaceTable[Row],(MATCH(B58,SpaceTable[Space Name Concatenated Helper],0))))</f>
        <v/>
      </c>
      <c r="AL58" s="238" t="str">
        <f>IF(AM58="Row Not Used","",INDEX(SpaceTable[HVAC Factor],(MATCH(B58,SpaceTable[Space Name Concatenated Helper],0))))</f>
        <v/>
      </c>
      <c r="AM58" s="520" t="str">
        <f t="shared" si="10"/>
        <v>Row Not Used</v>
      </c>
      <c r="AN58" s="512" t="e" cm="1">
        <f t="array" ref="AN58">INDEX(BallastFactorTable[Ballast Factor],MATCH(1,(BallastFactorTable[Fixture Class]=D58)*(BallastFactorTable[Fixture Category]=E58)*(BallastFactorTable[Fixture Sub-category]=F58),0))</f>
        <v>#N/A</v>
      </c>
      <c r="AO58" s="143" t="str">
        <f t="shared" si="23"/>
        <v/>
      </c>
      <c r="AP58" s="501" t="e" cm="1">
        <f t="array" ref="AP58">INDEX(BallastFactorTable[Wattage Range Name],MATCH(1,(BallastFactorTable[Fixture Class]=D58)*(BallastFactorTable[Fixture Category]=E58)*(BallastFactorTable[Fixture Sub-category]=F58),0))</f>
        <v>#N/A</v>
      </c>
      <c r="AQ58" s="515" t="str">
        <f t="shared" ca="1" si="11"/>
        <v>Okay</v>
      </c>
      <c r="AR58" s="512">
        <f t="shared" si="12"/>
        <v>0</v>
      </c>
      <c r="AS58" s="511" t="str">
        <f>IF(OR(Measures!AM58="Row Not Used",Measures!C58="Controls Only",Measures!C58="Decommissioning"),"",_xlfn.CONCAT(P58," ",Q58))</f>
        <v/>
      </c>
      <c r="AT58" s="264" t="str">
        <f t="shared" si="13"/>
        <v>None</v>
      </c>
      <c r="AU58" s="229">
        <f>IF(OR(AM58="Row Not Used",AM58="Controls Only"),0,INDEX(IncentiveRateTable[Incentive Rate],MATCH(AT58,IncentiveRateTable[Incentive Name],0)))</f>
        <v>0</v>
      </c>
      <c r="AV58" s="133" t="str">
        <f>IF(OR(AM58="Row Not Used",AM58="Controls Only"),"None",INDEX(IncentiveRateTable[Incentive Unit],MATCH(AT58,IncentiveRateTable[Incentive Name],0)))</f>
        <v>None</v>
      </c>
      <c r="AW58" s="578">
        <f t="shared" si="24"/>
        <v>0</v>
      </c>
      <c r="AX58" s="264" t="str">
        <f t="shared" si="14"/>
        <v>None</v>
      </c>
      <c r="AY58" s="229">
        <f>IF(OR(AM58="Row Not Used",AM58="Fixtures Only",AM58="Decommissioning"),0,INDEX(IncentiveRateTable[Incentive Rate],MATCH(AX58,IncentiveRateTable[Incentive Name],0)))</f>
        <v>0</v>
      </c>
      <c r="AZ58" s="133" t="str">
        <f>IF(OR(AM58="Row Not Used",AM58="Fixtures Only",AM58="Decommissioning"),"None",INDEX(IncentiveRateTable[Incentive Unit],MATCH(AX58,IncentiveRateTable[Incentive Name],0)))</f>
        <v>None</v>
      </c>
      <c r="BA58" s="465">
        <f t="shared" si="15"/>
        <v>0</v>
      </c>
      <c r="BB58" s="264" t="e" cm="1">
        <f t="array" ref="BB58">INDEX(BallastFactorTable[Commercial BPA Reference Number],MATCH(1,(BallastFactorTable[Fixture Class]=J58)*(BallastFactorTable[Fixture Category]=K58)*(BallastFactorTable[Fixture Sub-category]=L58),0))</f>
        <v>#N/A</v>
      </c>
      <c r="BC58" s="133" t="e" cm="1">
        <f t="array" ref="BC58">INDEX(BallastFactorTable[Industrial BPA Reference Number],MATCH(1,(BallastFactorTable[Fixture Class]=J58)*(BallastFactorTable[Fixture Category]=K58)*(BallastFactorTable[Fixture Sub-category]=L58),0))</f>
        <v>#N/A</v>
      </c>
      <c r="BD58" s="264" t="str">
        <f t="shared" si="16"/>
        <v>Sector is blank</v>
      </c>
      <c r="BE58" s="269" t="str">
        <f>IF(ISBLANK(SectorField),"Sector is blank",IF(AM58="Row Not Used","",IF(OR(R58="No Controls",ISBLANK(R58)),"",INDEX(ControlsBPARefNoTable[Reference Number],MATCH(SectorField,ControlsBPARefNoTable[Sector],0)))))</f>
        <v>Sector is blank</v>
      </c>
      <c r="BF58" s="530" t="str">
        <f t="shared" si="17"/>
        <v/>
      </c>
      <c r="BG58" s="132" t="str">
        <f t="shared" si="18"/>
        <v/>
      </c>
      <c r="BH58" s="531" t="str">
        <f t="shared" si="19"/>
        <v/>
      </c>
      <c r="BI58" s="532"/>
      <c r="BJ58" s="538" t="str">
        <f t="shared" si="25"/>
        <v/>
      </c>
      <c r="BK58" s="539" t="str">
        <f t="shared" si="26"/>
        <v/>
      </c>
      <c r="BL58" s="547" t="str">
        <f t="shared" si="27"/>
        <v/>
      </c>
    </row>
    <row r="59" spans="1:64" x14ac:dyDescent="0.3">
      <c r="A59" s="133">
        <v>52</v>
      </c>
      <c r="B59" s="294"/>
      <c r="C59" s="313"/>
      <c r="D59" s="292"/>
      <c r="E59" s="284"/>
      <c r="F59" s="284"/>
      <c r="G59" s="295"/>
      <c r="H59" s="296"/>
      <c r="I59" s="297"/>
      <c r="J59" s="292"/>
      <c r="K59" s="284"/>
      <c r="L59" s="284"/>
      <c r="M59" s="295"/>
      <c r="N59" s="296"/>
      <c r="O59" s="296"/>
      <c r="P59" s="284"/>
      <c r="Q59" s="298"/>
      <c r="R59" s="292"/>
      <c r="S59" s="299"/>
      <c r="T59" s="300"/>
      <c r="U59" s="317" t="str">
        <f t="shared" si="1"/>
        <v/>
      </c>
      <c r="V59" s="301"/>
      <c r="W59" s="136" t="str">
        <f t="shared" si="2"/>
        <v/>
      </c>
      <c r="X59" s="588" t="str">
        <f t="shared" si="20"/>
        <v/>
      </c>
      <c r="Y59" s="580"/>
      <c r="Z59" s="251" t="str">
        <f t="shared" si="3"/>
        <v/>
      </c>
      <c r="AA59" s="138" t="str">
        <f t="shared" si="28"/>
        <v/>
      </c>
      <c r="AB59" s="243" t="str">
        <f t="shared" si="21"/>
        <v/>
      </c>
      <c r="AC59" s="141" t="str">
        <f t="shared" si="4"/>
        <v/>
      </c>
      <c r="AD59" s="138" t="str">
        <f t="shared" si="22"/>
        <v/>
      </c>
      <c r="AE59" s="243" t="str">
        <f t="shared" si="5"/>
        <v/>
      </c>
      <c r="AF59" s="342" t="str">
        <f>IF(AM59="Row Not Used","",INDEX(SpaceTable[Annual Hours],(MATCH(B59,SpaceTable[Space Name Concatenated Helper],0))))</f>
        <v/>
      </c>
      <c r="AG59" s="205" t="str">
        <f t="shared" si="6"/>
        <v/>
      </c>
      <c r="AH59" s="234" t="str">
        <f t="shared" si="7"/>
        <v/>
      </c>
      <c r="AI59" s="205" t="str">
        <f t="shared" si="8"/>
        <v/>
      </c>
      <c r="AJ59" s="234" t="str">
        <f t="shared" si="9"/>
        <v/>
      </c>
      <c r="AK59" s="144" t="str">
        <f>IF(AM59="Row Not Used","",INDEX(SpaceTable[Row],(MATCH(B59,SpaceTable[Space Name Concatenated Helper],0))))</f>
        <v/>
      </c>
      <c r="AL59" s="238" t="str">
        <f>IF(AM59="Row Not Used","",INDEX(SpaceTable[HVAC Factor],(MATCH(B59,SpaceTable[Space Name Concatenated Helper],0))))</f>
        <v/>
      </c>
      <c r="AM59" s="520" t="str">
        <f t="shared" si="10"/>
        <v>Row Not Used</v>
      </c>
      <c r="AN59" s="512" t="e" cm="1">
        <f t="array" ref="AN59">INDEX(BallastFactorTable[Ballast Factor],MATCH(1,(BallastFactorTable[Fixture Class]=D59)*(BallastFactorTable[Fixture Category]=E59)*(BallastFactorTable[Fixture Sub-category]=F59),0))</f>
        <v>#N/A</v>
      </c>
      <c r="AO59" s="143" t="str">
        <f t="shared" si="23"/>
        <v/>
      </c>
      <c r="AP59" s="501" t="e" cm="1">
        <f t="array" ref="AP59">INDEX(BallastFactorTable[Wattage Range Name],MATCH(1,(BallastFactorTable[Fixture Class]=D59)*(BallastFactorTable[Fixture Category]=E59)*(BallastFactorTable[Fixture Sub-category]=F59),0))</f>
        <v>#N/A</v>
      </c>
      <c r="AQ59" s="515" t="str">
        <f t="shared" ca="1" si="11"/>
        <v>Okay</v>
      </c>
      <c r="AR59" s="512">
        <f t="shared" si="12"/>
        <v>0</v>
      </c>
      <c r="AS59" s="511" t="str">
        <f>IF(OR(Measures!AM59="Row Not Used",Measures!C59="Controls Only",Measures!C59="Decommissioning"),"",_xlfn.CONCAT(P59," ",Q59))</f>
        <v/>
      </c>
      <c r="AT59" s="264" t="str">
        <f t="shared" si="13"/>
        <v>None</v>
      </c>
      <c r="AU59" s="229">
        <f>IF(OR(AM59="Row Not Used",AM59="Controls Only"),0,INDEX(IncentiveRateTable[Incentive Rate],MATCH(AT59,IncentiveRateTable[Incentive Name],0)))</f>
        <v>0</v>
      </c>
      <c r="AV59" s="133" t="str">
        <f>IF(OR(AM59="Row Not Used",AM59="Controls Only"),"None",INDEX(IncentiveRateTable[Incentive Unit],MATCH(AT59,IncentiveRateTable[Incentive Name],0)))</f>
        <v>None</v>
      </c>
      <c r="AW59" s="578">
        <f t="shared" si="24"/>
        <v>0</v>
      </c>
      <c r="AX59" s="264" t="str">
        <f t="shared" si="14"/>
        <v>None</v>
      </c>
      <c r="AY59" s="229">
        <f>IF(OR(AM59="Row Not Used",AM59="Fixtures Only",AM59="Decommissioning"),0,INDEX(IncentiveRateTable[Incentive Rate],MATCH(AX59,IncentiveRateTable[Incentive Name],0)))</f>
        <v>0</v>
      </c>
      <c r="AZ59" s="133" t="str">
        <f>IF(OR(AM59="Row Not Used",AM59="Fixtures Only",AM59="Decommissioning"),"None",INDEX(IncentiveRateTable[Incentive Unit],MATCH(AX59,IncentiveRateTable[Incentive Name],0)))</f>
        <v>None</v>
      </c>
      <c r="BA59" s="465">
        <f t="shared" si="15"/>
        <v>0</v>
      </c>
      <c r="BB59" s="264" t="e" cm="1">
        <f t="array" ref="BB59">INDEX(BallastFactorTable[Commercial BPA Reference Number],MATCH(1,(BallastFactorTable[Fixture Class]=J59)*(BallastFactorTable[Fixture Category]=K59)*(BallastFactorTable[Fixture Sub-category]=L59),0))</f>
        <v>#N/A</v>
      </c>
      <c r="BC59" s="133" t="e" cm="1">
        <f t="array" ref="BC59">INDEX(BallastFactorTable[Industrial BPA Reference Number],MATCH(1,(BallastFactorTable[Fixture Class]=J59)*(BallastFactorTable[Fixture Category]=K59)*(BallastFactorTable[Fixture Sub-category]=L59),0))</f>
        <v>#N/A</v>
      </c>
      <c r="BD59" s="264" t="str">
        <f t="shared" si="16"/>
        <v>Sector is blank</v>
      </c>
      <c r="BE59" s="269" t="str">
        <f>IF(ISBLANK(SectorField),"Sector is blank",IF(AM59="Row Not Used","",IF(OR(R59="No Controls",ISBLANK(R59)),"",INDEX(ControlsBPARefNoTable[Reference Number],MATCH(SectorField,ControlsBPARefNoTable[Sector],0)))))</f>
        <v>Sector is blank</v>
      </c>
      <c r="BF59" s="530" t="str">
        <f t="shared" si="17"/>
        <v/>
      </c>
      <c r="BG59" s="132" t="str">
        <f t="shared" si="18"/>
        <v/>
      </c>
      <c r="BH59" s="531" t="str">
        <f t="shared" si="19"/>
        <v/>
      </c>
      <c r="BI59" s="532"/>
      <c r="BJ59" s="538" t="str">
        <f t="shared" si="25"/>
        <v/>
      </c>
      <c r="BK59" s="539" t="str">
        <f t="shared" si="26"/>
        <v/>
      </c>
      <c r="BL59" s="547" t="str">
        <f t="shared" si="27"/>
        <v/>
      </c>
    </row>
    <row r="60" spans="1:64" x14ac:dyDescent="0.3">
      <c r="A60" s="133">
        <v>53</v>
      </c>
      <c r="B60" s="294"/>
      <c r="C60" s="313"/>
      <c r="D60" s="292"/>
      <c r="E60" s="284"/>
      <c r="F60" s="284"/>
      <c r="G60" s="295"/>
      <c r="H60" s="296"/>
      <c r="I60" s="297"/>
      <c r="J60" s="292"/>
      <c r="K60" s="284"/>
      <c r="L60" s="284"/>
      <c r="M60" s="295"/>
      <c r="N60" s="296"/>
      <c r="O60" s="296"/>
      <c r="P60" s="284"/>
      <c r="Q60" s="298"/>
      <c r="R60" s="292"/>
      <c r="S60" s="299"/>
      <c r="T60" s="300"/>
      <c r="U60" s="317" t="str">
        <f t="shared" si="1"/>
        <v/>
      </c>
      <c r="V60" s="301"/>
      <c r="W60" s="137" t="str">
        <f t="shared" si="2"/>
        <v/>
      </c>
      <c r="X60" s="589" t="str">
        <f t="shared" si="20"/>
        <v/>
      </c>
      <c r="Y60" s="581"/>
      <c r="Z60" s="251" t="str">
        <f t="shared" si="3"/>
        <v/>
      </c>
      <c r="AA60" s="138" t="str">
        <f t="shared" si="28"/>
        <v/>
      </c>
      <c r="AB60" s="243" t="str">
        <f t="shared" si="21"/>
        <v/>
      </c>
      <c r="AC60" s="141" t="str">
        <f t="shared" si="4"/>
        <v/>
      </c>
      <c r="AD60" s="138" t="str">
        <f t="shared" si="22"/>
        <v/>
      </c>
      <c r="AE60" s="243" t="str">
        <f t="shared" si="5"/>
        <v/>
      </c>
      <c r="AF60" s="342" t="str">
        <f>IF(AM60="Row Not Used","",INDEX(SpaceTable[Annual Hours],(MATCH(B60,SpaceTable[Space Name Concatenated Helper],0))))</f>
        <v/>
      </c>
      <c r="AG60" s="205" t="str">
        <f t="shared" si="6"/>
        <v/>
      </c>
      <c r="AH60" s="234" t="str">
        <f t="shared" si="7"/>
        <v/>
      </c>
      <c r="AI60" s="205" t="str">
        <f t="shared" si="8"/>
        <v/>
      </c>
      <c r="AJ60" s="234" t="str">
        <f t="shared" si="9"/>
        <v/>
      </c>
      <c r="AK60" s="144" t="str">
        <f>IF(AM60="Row Not Used","",INDEX(SpaceTable[Row],(MATCH(B60,SpaceTable[Space Name Concatenated Helper],0))))</f>
        <v/>
      </c>
      <c r="AL60" s="238" t="str">
        <f>IF(AM60="Row Not Used","",INDEX(SpaceTable[HVAC Factor],(MATCH(B60,SpaceTable[Space Name Concatenated Helper],0))))</f>
        <v/>
      </c>
      <c r="AM60" s="520" t="str">
        <f t="shared" si="10"/>
        <v>Row Not Used</v>
      </c>
      <c r="AN60" s="512" t="e" cm="1">
        <f t="array" ref="AN60">INDEX(BallastFactorTable[Ballast Factor],MATCH(1,(BallastFactorTable[Fixture Class]=D60)*(BallastFactorTable[Fixture Category]=E60)*(BallastFactorTable[Fixture Sub-category]=F60),0))</f>
        <v>#N/A</v>
      </c>
      <c r="AO60" s="143" t="str">
        <f t="shared" si="23"/>
        <v/>
      </c>
      <c r="AP60" s="501" t="e" cm="1">
        <f t="array" ref="AP60">INDEX(BallastFactorTable[Wattage Range Name],MATCH(1,(BallastFactorTable[Fixture Class]=D60)*(BallastFactorTable[Fixture Category]=E60)*(BallastFactorTable[Fixture Sub-category]=F60),0))</f>
        <v>#N/A</v>
      </c>
      <c r="AQ60" s="515" t="str">
        <f t="shared" ca="1" si="11"/>
        <v>Okay</v>
      </c>
      <c r="AR60" s="512">
        <f t="shared" si="12"/>
        <v>0</v>
      </c>
      <c r="AS60" s="511" t="str">
        <f>IF(OR(Measures!AM60="Row Not Used",Measures!C60="Controls Only",Measures!C60="Decommissioning"),"",_xlfn.CONCAT(P60," ",Q60))</f>
        <v/>
      </c>
      <c r="AT60" s="264" t="str">
        <f t="shared" si="13"/>
        <v>None</v>
      </c>
      <c r="AU60" s="229">
        <f>IF(OR(AM60="Row Not Used",AM60="Controls Only"),0,INDEX(IncentiveRateTable[Incentive Rate],MATCH(AT60,IncentiveRateTable[Incentive Name],0)))</f>
        <v>0</v>
      </c>
      <c r="AV60" s="133" t="str">
        <f>IF(OR(AM60="Row Not Used",AM60="Controls Only"),"None",INDEX(IncentiveRateTable[Incentive Unit],MATCH(AT60,IncentiveRateTable[Incentive Name],0)))</f>
        <v>None</v>
      </c>
      <c r="AW60" s="578">
        <f t="shared" si="24"/>
        <v>0</v>
      </c>
      <c r="AX60" s="264" t="str">
        <f t="shared" si="14"/>
        <v>None</v>
      </c>
      <c r="AY60" s="229">
        <f>IF(OR(AM60="Row Not Used",AM60="Fixtures Only",AM60="Decommissioning"),0,INDEX(IncentiveRateTable[Incentive Rate],MATCH(AX60,IncentiveRateTable[Incentive Name],0)))</f>
        <v>0</v>
      </c>
      <c r="AZ60" s="133" t="str">
        <f>IF(OR(AM60="Row Not Used",AM60="Fixtures Only",AM60="Decommissioning"),"None",INDEX(IncentiveRateTable[Incentive Unit],MATCH(AX60,IncentiveRateTable[Incentive Name],0)))</f>
        <v>None</v>
      </c>
      <c r="BA60" s="465">
        <f t="shared" si="15"/>
        <v>0</v>
      </c>
      <c r="BB60" s="264" t="e" cm="1">
        <f t="array" ref="BB60">INDEX(BallastFactorTable[Commercial BPA Reference Number],MATCH(1,(BallastFactorTable[Fixture Class]=J60)*(BallastFactorTable[Fixture Category]=K60)*(BallastFactorTable[Fixture Sub-category]=L60),0))</f>
        <v>#N/A</v>
      </c>
      <c r="BC60" s="133" t="e" cm="1">
        <f t="array" ref="BC60">INDEX(BallastFactorTable[Industrial BPA Reference Number],MATCH(1,(BallastFactorTable[Fixture Class]=J60)*(BallastFactorTable[Fixture Category]=K60)*(BallastFactorTable[Fixture Sub-category]=L60),0))</f>
        <v>#N/A</v>
      </c>
      <c r="BD60" s="264" t="str">
        <f t="shared" si="16"/>
        <v>Sector is blank</v>
      </c>
      <c r="BE60" s="269" t="str">
        <f>IF(ISBLANK(SectorField),"Sector is blank",IF(AM60="Row Not Used","",IF(OR(R60="No Controls",ISBLANK(R60)),"",INDEX(ControlsBPARefNoTable[Reference Number],MATCH(SectorField,ControlsBPARefNoTable[Sector],0)))))</f>
        <v>Sector is blank</v>
      </c>
      <c r="BF60" s="530" t="str">
        <f t="shared" si="17"/>
        <v/>
      </c>
      <c r="BG60" s="132" t="str">
        <f t="shared" si="18"/>
        <v/>
      </c>
      <c r="BH60" s="531" t="str">
        <f t="shared" si="19"/>
        <v/>
      </c>
      <c r="BI60" s="532"/>
      <c r="BJ60" s="538" t="str">
        <f t="shared" si="25"/>
        <v/>
      </c>
      <c r="BK60" s="539" t="str">
        <f t="shared" si="26"/>
        <v/>
      </c>
      <c r="BL60" s="547" t="str">
        <f t="shared" si="27"/>
        <v/>
      </c>
    </row>
    <row r="61" spans="1:64" x14ac:dyDescent="0.3">
      <c r="A61" s="133">
        <v>54</v>
      </c>
      <c r="B61" s="294"/>
      <c r="C61" s="313"/>
      <c r="D61" s="292"/>
      <c r="E61" s="284"/>
      <c r="F61" s="284"/>
      <c r="G61" s="295"/>
      <c r="H61" s="296"/>
      <c r="I61" s="297"/>
      <c r="J61" s="292"/>
      <c r="K61" s="284"/>
      <c r="L61" s="284"/>
      <c r="M61" s="295"/>
      <c r="N61" s="296"/>
      <c r="O61" s="296"/>
      <c r="P61" s="284"/>
      <c r="Q61" s="298"/>
      <c r="R61" s="292"/>
      <c r="S61" s="299"/>
      <c r="T61" s="300"/>
      <c r="U61" s="317" t="str">
        <f t="shared" si="1"/>
        <v/>
      </c>
      <c r="V61" s="301"/>
      <c r="W61" s="136" t="str">
        <f t="shared" si="2"/>
        <v/>
      </c>
      <c r="X61" s="588" t="str">
        <f t="shared" si="20"/>
        <v/>
      </c>
      <c r="Y61" s="580"/>
      <c r="Z61" s="251" t="str">
        <f t="shared" si="3"/>
        <v/>
      </c>
      <c r="AA61" s="138" t="str">
        <f t="shared" si="28"/>
        <v/>
      </c>
      <c r="AB61" s="243" t="str">
        <f t="shared" si="21"/>
        <v/>
      </c>
      <c r="AC61" s="141" t="str">
        <f t="shared" si="4"/>
        <v/>
      </c>
      <c r="AD61" s="138" t="str">
        <f t="shared" si="22"/>
        <v/>
      </c>
      <c r="AE61" s="243" t="str">
        <f t="shared" si="5"/>
        <v/>
      </c>
      <c r="AF61" s="342" t="str">
        <f>IF(AM61="Row Not Used","",INDEX(SpaceTable[Annual Hours],(MATCH(B61,SpaceTable[Space Name Concatenated Helper],0))))</f>
        <v/>
      </c>
      <c r="AG61" s="205" t="str">
        <f t="shared" si="6"/>
        <v/>
      </c>
      <c r="AH61" s="234" t="str">
        <f t="shared" si="7"/>
        <v/>
      </c>
      <c r="AI61" s="205" t="str">
        <f t="shared" si="8"/>
        <v/>
      </c>
      <c r="AJ61" s="234" t="str">
        <f t="shared" si="9"/>
        <v/>
      </c>
      <c r="AK61" s="144" t="str">
        <f>IF(AM61="Row Not Used","",INDEX(SpaceTable[Row],(MATCH(B61,SpaceTable[Space Name Concatenated Helper],0))))</f>
        <v/>
      </c>
      <c r="AL61" s="238" t="str">
        <f>IF(AM61="Row Not Used","",INDEX(SpaceTable[HVAC Factor],(MATCH(B61,SpaceTable[Space Name Concatenated Helper],0))))</f>
        <v/>
      </c>
      <c r="AM61" s="520" t="str">
        <f t="shared" si="10"/>
        <v>Row Not Used</v>
      </c>
      <c r="AN61" s="512" t="e" cm="1">
        <f t="array" ref="AN61">INDEX(BallastFactorTable[Ballast Factor],MATCH(1,(BallastFactorTable[Fixture Class]=D61)*(BallastFactorTable[Fixture Category]=E61)*(BallastFactorTable[Fixture Sub-category]=F61),0))</f>
        <v>#N/A</v>
      </c>
      <c r="AO61" s="143" t="str">
        <f t="shared" si="23"/>
        <v/>
      </c>
      <c r="AP61" s="501" t="e" cm="1">
        <f t="array" ref="AP61">INDEX(BallastFactorTable[Wattage Range Name],MATCH(1,(BallastFactorTable[Fixture Class]=D61)*(BallastFactorTable[Fixture Category]=E61)*(BallastFactorTable[Fixture Sub-category]=F61),0))</f>
        <v>#N/A</v>
      </c>
      <c r="AQ61" s="515" t="str">
        <f t="shared" ca="1" si="11"/>
        <v>Okay</v>
      </c>
      <c r="AR61" s="512">
        <f t="shared" si="12"/>
        <v>0</v>
      </c>
      <c r="AS61" s="511" t="str">
        <f>IF(OR(Measures!AM61="Row Not Used",Measures!C61="Controls Only",Measures!C61="Decommissioning"),"",_xlfn.CONCAT(P61," ",Q61))</f>
        <v/>
      </c>
      <c r="AT61" s="264" t="str">
        <f t="shared" si="13"/>
        <v>None</v>
      </c>
      <c r="AU61" s="229">
        <f>IF(OR(AM61="Row Not Used",AM61="Controls Only"),0,INDEX(IncentiveRateTable[Incentive Rate],MATCH(AT61,IncentiveRateTable[Incentive Name],0)))</f>
        <v>0</v>
      </c>
      <c r="AV61" s="133" t="str">
        <f>IF(OR(AM61="Row Not Used",AM61="Controls Only"),"None",INDEX(IncentiveRateTable[Incentive Unit],MATCH(AT61,IncentiveRateTable[Incentive Name],0)))</f>
        <v>None</v>
      </c>
      <c r="AW61" s="578">
        <f t="shared" si="24"/>
        <v>0</v>
      </c>
      <c r="AX61" s="264" t="str">
        <f t="shared" si="14"/>
        <v>None</v>
      </c>
      <c r="AY61" s="229">
        <f>IF(OR(AM61="Row Not Used",AM61="Fixtures Only",AM61="Decommissioning"),0,INDEX(IncentiveRateTable[Incentive Rate],MATCH(AX61,IncentiveRateTable[Incentive Name],0)))</f>
        <v>0</v>
      </c>
      <c r="AZ61" s="133" t="str">
        <f>IF(OR(AM61="Row Not Used",AM61="Fixtures Only",AM61="Decommissioning"),"None",INDEX(IncentiveRateTable[Incentive Unit],MATCH(AX61,IncentiveRateTable[Incentive Name],0)))</f>
        <v>None</v>
      </c>
      <c r="BA61" s="465">
        <f t="shared" si="15"/>
        <v>0</v>
      </c>
      <c r="BB61" s="264" t="e" cm="1">
        <f t="array" ref="BB61">INDEX(BallastFactorTable[Commercial BPA Reference Number],MATCH(1,(BallastFactorTable[Fixture Class]=J61)*(BallastFactorTable[Fixture Category]=K61)*(BallastFactorTable[Fixture Sub-category]=L61),0))</f>
        <v>#N/A</v>
      </c>
      <c r="BC61" s="133" t="e" cm="1">
        <f t="array" ref="BC61">INDEX(BallastFactorTable[Industrial BPA Reference Number],MATCH(1,(BallastFactorTable[Fixture Class]=J61)*(BallastFactorTable[Fixture Category]=K61)*(BallastFactorTable[Fixture Sub-category]=L61),0))</f>
        <v>#N/A</v>
      </c>
      <c r="BD61" s="264" t="str">
        <f t="shared" si="16"/>
        <v>Sector is blank</v>
      </c>
      <c r="BE61" s="269" t="str">
        <f>IF(ISBLANK(SectorField),"Sector is blank",IF(AM61="Row Not Used","",IF(OR(R61="No Controls",ISBLANK(R61)),"",INDEX(ControlsBPARefNoTable[Reference Number],MATCH(SectorField,ControlsBPARefNoTable[Sector],0)))))</f>
        <v>Sector is blank</v>
      </c>
      <c r="BF61" s="530" t="str">
        <f t="shared" si="17"/>
        <v/>
      </c>
      <c r="BG61" s="132" t="str">
        <f t="shared" si="18"/>
        <v/>
      </c>
      <c r="BH61" s="531" t="str">
        <f t="shared" si="19"/>
        <v/>
      </c>
      <c r="BI61" s="532"/>
      <c r="BJ61" s="538" t="str">
        <f t="shared" si="25"/>
        <v/>
      </c>
      <c r="BK61" s="539" t="str">
        <f t="shared" si="26"/>
        <v/>
      </c>
      <c r="BL61" s="547" t="str">
        <f t="shared" si="27"/>
        <v/>
      </c>
    </row>
    <row r="62" spans="1:64" x14ac:dyDescent="0.3">
      <c r="A62" s="133">
        <v>55</v>
      </c>
      <c r="B62" s="294"/>
      <c r="C62" s="313"/>
      <c r="D62" s="292"/>
      <c r="E62" s="284"/>
      <c r="F62" s="284"/>
      <c r="G62" s="295"/>
      <c r="H62" s="296"/>
      <c r="I62" s="297"/>
      <c r="J62" s="292"/>
      <c r="K62" s="284"/>
      <c r="L62" s="284"/>
      <c r="M62" s="295"/>
      <c r="N62" s="296"/>
      <c r="O62" s="296"/>
      <c r="P62" s="284"/>
      <c r="Q62" s="298"/>
      <c r="R62" s="292"/>
      <c r="S62" s="299"/>
      <c r="T62" s="300"/>
      <c r="U62" s="317" t="str">
        <f t="shared" si="1"/>
        <v/>
      </c>
      <c r="V62" s="301"/>
      <c r="W62" s="137" t="str">
        <f t="shared" si="2"/>
        <v/>
      </c>
      <c r="X62" s="589" t="str">
        <f t="shared" si="20"/>
        <v/>
      </c>
      <c r="Y62" s="581"/>
      <c r="Z62" s="251" t="str">
        <f t="shared" si="3"/>
        <v/>
      </c>
      <c r="AA62" s="138" t="str">
        <f t="shared" si="28"/>
        <v/>
      </c>
      <c r="AB62" s="243" t="str">
        <f t="shared" si="21"/>
        <v/>
      </c>
      <c r="AC62" s="141" t="str">
        <f t="shared" si="4"/>
        <v/>
      </c>
      <c r="AD62" s="138" t="str">
        <f t="shared" si="22"/>
        <v/>
      </c>
      <c r="AE62" s="243" t="str">
        <f t="shared" si="5"/>
        <v/>
      </c>
      <c r="AF62" s="342" t="str">
        <f>IF(AM62="Row Not Used","",INDEX(SpaceTable[Annual Hours],(MATCH(B62,SpaceTable[Space Name Concatenated Helper],0))))</f>
        <v/>
      </c>
      <c r="AG62" s="205" t="str">
        <f t="shared" si="6"/>
        <v/>
      </c>
      <c r="AH62" s="234" t="str">
        <f t="shared" si="7"/>
        <v/>
      </c>
      <c r="AI62" s="205" t="str">
        <f t="shared" si="8"/>
        <v/>
      </c>
      <c r="AJ62" s="234" t="str">
        <f t="shared" si="9"/>
        <v/>
      </c>
      <c r="AK62" s="144" t="str">
        <f>IF(AM62="Row Not Used","",INDEX(SpaceTable[Row],(MATCH(B62,SpaceTable[Space Name Concatenated Helper],0))))</f>
        <v/>
      </c>
      <c r="AL62" s="238" t="str">
        <f>IF(AM62="Row Not Used","",INDEX(SpaceTable[HVAC Factor],(MATCH(B62,SpaceTable[Space Name Concatenated Helper],0))))</f>
        <v/>
      </c>
      <c r="AM62" s="520" t="str">
        <f t="shared" si="10"/>
        <v>Row Not Used</v>
      </c>
      <c r="AN62" s="512" t="e" cm="1">
        <f t="array" ref="AN62">INDEX(BallastFactorTable[Ballast Factor],MATCH(1,(BallastFactorTable[Fixture Class]=D62)*(BallastFactorTable[Fixture Category]=E62)*(BallastFactorTable[Fixture Sub-category]=F62),0))</f>
        <v>#N/A</v>
      </c>
      <c r="AO62" s="143" t="str">
        <f t="shared" si="23"/>
        <v/>
      </c>
      <c r="AP62" s="501" t="e" cm="1">
        <f t="array" ref="AP62">INDEX(BallastFactorTable[Wattage Range Name],MATCH(1,(BallastFactorTable[Fixture Class]=D62)*(BallastFactorTable[Fixture Category]=E62)*(BallastFactorTable[Fixture Sub-category]=F62),0))</f>
        <v>#N/A</v>
      </c>
      <c r="AQ62" s="515" t="str">
        <f t="shared" ca="1" si="11"/>
        <v>Okay</v>
      </c>
      <c r="AR62" s="512">
        <f t="shared" si="12"/>
        <v>0</v>
      </c>
      <c r="AS62" s="511" t="str">
        <f>IF(OR(Measures!AM62="Row Not Used",Measures!C62="Controls Only",Measures!C62="Decommissioning"),"",_xlfn.CONCAT(P62," ",Q62))</f>
        <v/>
      </c>
      <c r="AT62" s="264" t="str">
        <f t="shared" si="13"/>
        <v>None</v>
      </c>
      <c r="AU62" s="229">
        <f>IF(OR(AM62="Row Not Used",AM62="Controls Only"),0,INDEX(IncentiveRateTable[Incentive Rate],MATCH(AT62,IncentiveRateTable[Incentive Name],0)))</f>
        <v>0</v>
      </c>
      <c r="AV62" s="133" t="str">
        <f>IF(OR(AM62="Row Not Used",AM62="Controls Only"),"None",INDEX(IncentiveRateTable[Incentive Unit],MATCH(AT62,IncentiveRateTable[Incentive Name],0)))</f>
        <v>None</v>
      </c>
      <c r="AW62" s="578">
        <f t="shared" si="24"/>
        <v>0</v>
      </c>
      <c r="AX62" s="264" t="str">
        <f t="shared" si="14"/>
        <v>None</v>
      </c>
      <c r="AY62" s="229">
        <f>IF(OR(AM62="Row Not Used",AM62="Fixtures Only",AM62="Decommissioning"),0,INDEX(IncentiveRateTable[Incentive Rate],MATCH(AX62,IncentiveRateTable[Incentive Name],0)))</f>
        <v>0</v>
      </c>
      <c r="AZ62" s="133" t="str">
        <f>IF(OR(AM62="Row Not Used",AM62="Fixtures Only",AM62="Decommissioning"),"None",INDEX(IncentiveRateTable[Incentive Unit],MATCH(AX62,IncentiveRateTable[Incentive Name],0)))</f>
        <v>None</v>
      </c>
      <c r="BA62" s="465">
        <f t="shared" si="15"/>
        <v>0</v>
      </c>
      <c r="BB62" s="264" t="e" cm="1">
        <f t="array" ref="BB62">INDEX(BallastFactorTable[Commercial BPA Reference Number],MATCH(1,(BallastFactorTable[Fixture Class]=J62)*(BallastFactorTable[Fixture Category]=K62)*(BallastFactorTable[Fixture Sub-category]=L62),0))</f>
        <v>#N/A</v>
      </c>
      <c r="BC62" s="133" t="e" cm="1">
        <f t="array" ref="BC62">INDEX(BallastFactorTable[Industrial BPA Reference Number],MATCH(1,(BallastFactorTable[Fixture Class]=J62)*(BallastFactorTable[Fixture Category]=K62)*(BallastFactorTable[Fixture Sub-category]=L62),0))</f>
        <v>#N/A</v>
      </c>
      <c r="BD62" s="264" t="str">
        <f t="shared" si="16"/>
        <v>Sector is blank</v>
      </c>
      <c r="BE62" s="269" t="str">
        <f>IF(ISBLANK(SectorField),"Sector is blank",IF(AM62="Row Not Used","",IF(OR(R62="No Controls",ISBLANK(R62)),"",INDEX(ControlsBPARefNoTable[Reference Number],MATCH(SectorField,ControlsBPARefNoTable[Sector],0)))))</f>
        <v>Sector is blank</v>
      </c>
      <c r="BF62" s="530" t="str">
        <f t="shared" si="17"/>
        <v/>
      </c>
      <c r="BG62" s="132" t="str">
        <f t="shared" si="18"/>
        <v/>
      </c>
      <c r="BH62" s="531" t="str">
        <f t="shared" si="19"/>
        <v/>
      </c>
      <c r="BI62" s="532"/>
      <c r="BJ62" s="538" t="str">
        <f t="shared" si="25"/>
        <v/>
      </c>
      <c r="BK62" s="539" t="str">
        <f t="shared" si="26"/>
        <v/>
      </c>
      <c r="BL62" s="547" t="str">
        <f t="shared" si="27"/>
        <v/>
      </c>
    </row>
    <row r="63" spans="1:64" x14ac:dyDescent="0.3">
      <c r="A63" s="133">
        <v>56</v>
      </c>
      <c r="B63" s="294"/>
      <c r="C63" s="313"/>
      <c r="D63" s="292"/>
      <c r="E63" s="284"/>
      <c r="F63" s="284"/>
      <c r="G63" s="295"/>
      <c r="H63" s="296"/>
      <c r="I63" s="297"/>
      <c r="J63" s="292"/>
      <c r="K63" s="284"/>
      <c r="L63" s="284"/>
      <c r="M63" s="295"/>
      <c r="N63" s="296"/>
      <c r="O63" s="296"/>
      <c r="P63" s="284"/>
      <c r="Q63" s="298"/>
      <c r="R63" s="292"/>
      <c r="S63" s="299"/>
      <c r="T63" s="300"/>
      <c r="U63" s="317" t="str">
        <f t="shared" si="1"/>
        <v/>
      </c>
      <c r="V63" s="301"/>
      <c r="W63" s="136" t="str">
        <f t="shared" si="2"/>
        <v/>
      </c>
      <c r="X63" s="588" t="str">
        <f t="shared" si="20"/>
        <v/>
      </c>
      <c r="Y63" s="580"/>
      <c r="Z63" s="251" t="str">
        <f t="shared" si="3"/>
        <v/>
      </c>
      <c r="AA63" s="138" t="str">
        <f t="shared" si="28"/>
        <v/>
      </c>
      <c r="AB63" s="243" t="str">
        <f t="shared" si="21"/>
        <v/>
      </c>
      <c r="AC63" s="141" t="str">
        <f t="shared" si="4"/>
        <v/>
      </c>
      <c r="AD63" s="138" t="str">
        <f t="shared" si="22"/>
        <v/>
      </c>
      <c r="AE63" s="243" t="str">
        <f t="shared" si="5"/>
        <v/>
      </c>
      <c r="AF63" s="342" t="str">
        <f>IF(AM63="Row Not Used","",INDEX(SpaceTable[Annual Hours],(MATCH(B63,SpaceTable[Space Name Concatenated Helper],0))))</f>
        <v/>
      </c>
      <c r="AG63" s="205" t="str">
        <f t="shared" si="6"/>
        <v/>
      </c>
      <c r="AH63" s="234" t="str">
        <f t="shared" si="7"/>
        <v/>
      </c>
      <c r="AI63" s="205" t="str">
        <f t="shared" si="8"/>
        <v/>
      </c>
      <c r="AJ63" s="234" t="str">
        <f t="shared" si="9"/>
        <v/>
      </c>
      <c r="AK63" s="144" t="str">
        <f>IF(AM63="Row Not Used","",INDEX(SpaceTable[Row],(MATCH(B63,SpaceTable[Space Name Concatenated Helper],0))))</f>
        <v/>
      </c>
      <c r="AL63" s="238" t="str">
        <f>IF(AM63="Row Not Used","",INDEX(SpaceTable[HVAC Factor],(MATCH(B63,SpaceTable[Space Name Concatenated Helper],0))))</f>
        <v/>
      </c>
      <c r="AM63" s="520" t="str">
        <f t="shared" si="10"/>
        <v>Row Not Used</v>
      </c>
      <c r="AN63" s="512" t="e" cm="1">
        <f t="array" ref="AN63">INDEX(BallastFactorTable[Ballast Factor],MATCH(1,(BallastFactorTable[Fixture Class]=D63)*(BallastFactorTable[Fixture Category]=E63)*(BallastFactorTable[Fixture Sub-category]=F63),0))</f>
        <v>#N/A</v>
      </c>
      <c r="AO63" s="143" t="str">
        <f t="shared" si="23"/>
        <v/>
      </c>
      <c r="AP63" s="501" t="e" cm="1">
        <f t="array" ref="AP63">INDEX(BallastFactorTable[Wattage Range Name],MATCH(1,(BallastFactorTable[Fixture Class]=D63)*(BallastFactorTable[Fixture Category]=E63)*(BallastFactorTable[Fixture Sub-category]=F63),0))</f>
        <v>#N/A</v>
      </c>
      <c r="AQ63" s="515" t="str">
        <f t="shared" ca="1" si="11"/>
        <v>Okay</v>
      </c>
      <c r="AR63" s="512">
        <f t="shared" si="12"/>
        <v>0</v>
      </c>
      <c r="AS63" s="511" t="str">
        <f>IF(OR(Measures!AM63="Row Not Used",Measures!C63="Controls Only",Measures!C63="Decommissioning"),"",_xlfn.CONCAT(P63," ",Q63))</f>
        <v/>
      </c>
      <c r="AT63" s="264" t="str">
        <f t="shared" si="13"/>
        <v>None</v>
      </c>
      <c r="AU63" s="229">
        <f>IF(OR(AM63="Row Not Used",AM63="Controls Only"),0,INDEX(IncentiveRateTable[Incentive Rate],MATCH(AT63,IncentiveRateTable[Incentive Name],0)))</f>
        <v>0</v>
      </c>
      <c r="AV63" s="133" t="str">
        <f>IF(OR(AM63="Row Not Used",AM63="Controls Only"),"None",INDEX(IncentiveRateTable[Incentive Unit],MATCH(AT63,IncentiveRateTable[Incentive Name],0)))</f>
        <v>None</v>
      </c>
      <c r="AW63" s="578">
        <f t="shared" si="24"/>
        <v>0</v>
      </c>
      <c r="AX63" s="264" t="str">
        <f t="shared" si="14"/>
        <v>None</v>
      </c>
      <c r="AY63" s="229">
        <f>IF(OR(AM63="Row Not Used",AM63="Fixtures Only",AM63="Decommissioning"),0,INDEX(IncentiveRateTable[Incentive Rate],MATCH(AX63,IncentiveRateTable[Incentive Name],0)))</f>
        <v>0</v>
      </c>
      <c r="AZ63" s="133" t="str">
        <f>IF(OR(AM63="Row Not Used",AM63="Fixtures Only",AM63="Decommissioning"),"None",INDEX(IncentiveRateTable[Incentive Unit],MATCH(AX63,IncentiveRateTable[Incentive Name],0)))</f>
        <v>None</v>
      </c>
      <c r="BA63" s="465">
        <f t="shared" si="15"/>
        <v>0</v>
      </c>
      <c r="BB63" s="264" t="e" cm="1">
        <f t="array" ref="BB63">INDEX(BallastFactorTable[Commercial BPA Reference Number],MATCH(1,(BallastFactorTable[Fixture Class]=J63)*(BallastFactorTable[Fixture Category]=K63)*(BallastFactorTable[Fixture Sub-category]=L63),0))</f>
        <v>#N/A</v>
      </c>
      <c r="BC63" s="133" t="e" cm="1">
        <f t="array" ref="BC63">INDEX(BallastFactorTable[Industrial BPA Reference Number],MATCH(1,(BallastFactorTable[Fixture Class]=J63)*(BallastFactorTable[Fixture Category]=K63)*(BallastFactorTable[Fixture Sub-category]=L63),0))</f>
        <v>#N/A</v>
      </c>
      <c r="BD63" s="264" t="str">
        <f t="shared" si="16"/>
        <v>Sector is blank</v>
      </c>
      <c r="BE63" s="269" t="str">
        <f>IF(ISBLANK(SectorField),"Sector is blank",IF(AM63="Row Not Used","",IF(OR(R63="No Controls",ISBLANK(R63)),"",INDEX(ControlsBPARefNoTable[Reference Number],MATCH(SectorField,ControlsBPARefNoTable[Sector],0)))))</f>
        <v>Sector is blank</v>
      </c>
      <c r="BF63" s="530" t="str">
        <f t="shared" si="17"/>
        <v/>
      </c>
      <c r="BG63" s="132" t="str">
        <f t="shared" si="18"/>
        <v/>
      </c>
      <c r="BH63" s="531" t="str">
        <f t="shared" si="19"/>
        <v/>
      </c>
      <c r="BI63" s="532"/>
      <c r="BJ63" s="538" t="str">
        <f t="shared" si="25"/>
        <v/>
      </c>
      <c r="BK63" s="539" t="str">
        <f t="shared" si="26"/>
        <v/>
      </c>
      <c r="BL63" s="547" t="str">
        <f t="shared" si="27"/>
        <v/>
      </c>
    </row>
    <row r="64" spans="1:64" x14ac:dyDescent="0.3">
      <c r="A64" s="133">
        <v>57</v>
      </c>
      <c r="B64" s="294"/>
      <c r="C64" s="313"/>
      <c r="D64" s="292"/>
      <c r="E64" s="284"/>
      <c r="F64" s="284"/>
      <c r="G64" s="295"/>
      <c r="H64" s="296"/>
      <c r="I64" s="297"/>
      <c r="J64" s="292"/>
      <c r="K64" s="284"/>
      <c r="L64" s="284"/>
      <c r="M64" s="295"/>
      <c r="N64" s="296"/>
      <c r="O64" s="296"/>
      <c r="P64" s="284"/>
      <c r="Q64" s="298"/>
      <c r="R64" s="292"/>
      <c r="S64" s="299"/>
      <c r="T64" s="300"/>
      <c r="U64" s="317" t="str">
        <f t="shared" si="1"/>
        <v/>
      </c>
      <c r="V64" s="301"/>
      <c r="W64" s="137" t="str">
        <f t="shared" si="2"/>
        <v/>
      </c>
      <c r="X64" s="589" t="str">
        <f t="shared" si="20"/>
        <v/>
      </c>
      <c r="Y64" s="581"/>
      <c r="Z64" s="251" t="str">
        <f t="shared" si="3"/>
        <v/>
      </c>
      <c r="AA64" s="138" t="str">
        <f t="shared" si="28"/>
        <v/>
      </c>
      <c r="AB64" s="243" t="str">
        <f t="shared" si="21"/>
        <v/>
      </c>
      <c r="AC64" s="141" t="str">
        <f t="shared" si="4"/>
        <v/>
      </c>
      <c r="AD64" s="138" t="str">
        <f t="shared" si="22"/>
        <v/>
      </c>
      <c r="AE64" s="243" t="str">
        <f t="shared" si="5"/>
        <v/>
      </c>
      <c r="AF64" s="342" t="str">
        <f>IF(AM64="Row Not Used","",INDEX(SpaceTable[Annual Hours],(MATCH(B64,SpaceTable[Space Name Concatenated Helper],0))))</f>
        <v/>
      </c>
      <c r="AG64" s="205" t="str">
        <f t="shared" si="6"/>
        <v/>
      </c>
      <c r="AH64" s="234" t="str">
        <f t="shared" si="7"/>
        <v/>
      </c>
      <c r="AI64" s="205" t="str">
        <f t="shared" si="8"/>
        <v/>
      </c>
      <c r="AJ64" s="234" t="str">
        <f t="shared" si="9"/>
        <v/>
      </c>
      <c r="AK64" s="144" t="str">
        <f>IF(AM64="Row Not Used","",INDEX(SpaceTable[Row],(MATCH(B64,SpaceTable[Space Name Concatenated Helper],0))))</f>
        <v/>
      </c>
      <c r="AL64" s="238" t="str">
        <f>IF(AM64="Row Not Used","",INDEX(SpaceTable[HVAC Factor],(MATCH(B64,SpaceTable[Space Name Concatenated Helper],0))))</f>
        <v/>
      </c>
      <c r="AM64" s="520" t="str">
        <f t="shared" si="10"/>
        <v>Row Not Used</v>
      </c>
      <c r="AN64" s="512" t="e" cm="1">
        <f t="array" ref="AN64">INDEX(BallastFactorTable[Ballast Factor],MATCH(1,(BallastFactorTable[Fixture Class]=D64)*(BallastFactorTable[Fixture Category]=E64)*(BallastFactorTable[Fixture Sub-category]=F64),0))</f>
        <v>#N/A</v>
      </c>
      <c r="AO64" s="143" t="str">
        <f t="shared" si="23"/>
        <v/>
      </c>
      <c r="AP64" s="501" t="e" cm="1">
        <f t="array" ref="AP64">INDEX(BallastFactorTable[Wattage Range Name],MATCH(1,(BallastFactorTable[Fixture Class]=D64)*(BallastFactorTable[Fixture Category]=E64)*(BallastFactorTable[Fixture Sub-category]=F64),0))</f>
        <v>#N/A</v>
      </c>
      <c r="AQ64" s="515" t="str">
        <f t="shared" ca="1" si="11"/>
        <v>Okay</v>
      </c>
      <c r="AR64" s="512">
        <f t="shared" si="12"/>
        <v>0</v>
      </c>
      <c r="AS64" s="511" t="str">
        <f>IF(OR(Measures!AM64="Row Not Used",Measures!C64="Controls Only",Measures!C64="Decommissioning"),"",_xlfn.CONCAT(P64," ",Q64))</f>
        <v/>
      </c>
      <c r="AT64" s="264" t="str">
        <f t="shared" si="13"/>
        <v>None</v>
      </c>
      <c r="AU64" s="229">
        <f>IF(OR(AM64="Row Not Used",AM64="Controls Only"),0,INDEX(IncentiveRateTable[Incentive Rate],MATCH(AT64,IncentiveRateTable[Incentive Name],0)))</f>
        <v>0</v>
      </c>
      <c r="AV64" s="133" t="str">
        <f>IF(OR(AM64="Row Not Used",AM64="Controls Only"),"None",INDEX(IncentiveRateTable[Incentive Unit],MATCH(AT64,IncentiveRateTable[Incentive Name],0)))</f>
        <v>None</v>
      </c>
      <c r="AW64" s="578">
        <f t="shared" si="24"/>
        <v>0</v>
      </c>
      <c r="AX64" s="264" t="str">
        <f t="shared" si="14"/>
        <v>None</v>
      </c>
      <c r="AY64" s="229">
        <f>IF(OR(AM64="Row Not Used",AM64="Fixtures Only",AM64="Decommissioning"),0,INDEX(IncentiveRateTable[Incentive Rate],MATCH(AX64,IncentiveRateTable[Incentive Name],0)))</f>
        <v>0</v>
      </c>
      <c r="AZ64" s="133" t="str">
        <f>IF(OR(AM64="Row Not Used",AM64="Fixtures Only",AM64="Decommissioning"),"None",INDEX(IncentiveRateTable[Incentive Unit],MATCH(AX64,IncentiveRateTable[Incentive Name],0)))</f>
        <v>None</v>
      </c>
      <c r="BA64" s="465">
        <f t="shared" si="15"/>
        <v>0</v>
      </c>
      <c r="BB64" s="264" t="e" cm="1">
        <f t="array" ref="BB64">INDEX(BallastFactorTable[Commercial BPA Reference Number],MATCH(1,(BallastFactorTable[Fixture Class]=J64)*(BallastFactorTable[Fixture Category]=K64)*(BallastFactorTable[Fixture Sub-category]=L64),0))</f>
        <v>#N/A</v>
      </c>
      <c r="BC64" s="133" t="e" cm="1">
        <f t="array" ref="BC64">INDEX(BallastFactorTable[Industrial BPA Reference Number],MATCH(1,(BallastFactorTable[Fixture Class]=J64)*(BallastFactorTable[Fixture Category]=K64)*(BallastFactorTable[Fixture Sub-category]=L64),0))</f>
        <v>#N/A</v>
      </c>
      <c r="BD64" s="264" t="str">
        <f t="shared" si="16"/>
        <v>Sector is blank</v>
      </c>
      <c r="BE64" s="269" t="str">
        <f>IF(ISBLANK(SectorField),"Sector is blank",IF(AM64="Row Not Used","",IF(OR(R64="No Controls",ISBLANK(R64)),"",INDEX(ControlsBPARefNoTable[Reference Number],MATCH(SectorField,ControlsBPARefNoTable[Sector],0)))))</f>
        <v>Sector is blank</v>
      </c>
      <c r="BF64" s="530" t="str">
        <f t="shared" si="17"/>
        <v/>
      </c>
      <c r="BG64" s="132" t="str">
        <f t="shared" si="18"/>
        <v/>
      </c>
      <c r="BH64" s="531" t="str">
        <f t="shared" si="19"/>
        <v/>
      </c>
      <c r="BI64" s="532"/>
      <c r="BJ64" s="538" t="str">
        <f t="shared" si="25"/>
        <v/>
      </c>
      <c r="BK64" s="539" t="str">
        <f t="shared" si="26"/>
        <v/>
      </c>
      <c r="BL64" s="547" t="str">
        <f t="shared" si="27"/>
        <v/>
      </c>
    </row>
    <row r="65" spans="1:64" x14ac:dyDescent="0.3">
      <c r="A65" s="133">
        <v>58</v>
      </c>
      <c r="B65" s="294"/>
      <c r="C65" s="313"/>
      <c r="D65" s="292"/>
      <c r="E65" s="284"/>
      <c r="F65" s="284"/>
      <c r="G65" s="295"/>
      <c r="H65" s="296"/>
      <c r="I65" s="297"/>
      <c r="J65" s="292"/>
      <c r="K65" s="284"/>
      <c r="L65" s="284"/>
      <c r="M65" s="295"/>
      <c r="N65" s="296"/>
      <c r="O65" s="296"/>
      <c r="P65" s="284"/>
      <c r="Q65" s="298"/>
      <c r="R65" s="292"/>
      <c r="S65" s="299"/>
      <c r="T65" s="300"/>
      <c r="U65" s="317" t="str">
        <f t="shared" si="1"/>
        <v/>
      </c>
      <c r="V65" s="301"/>
      <c r="W65" s="136" t="str">
        <f t="shared" si="2"/>
        <v/>
      </c>
      <c r="X65" s="588" t="str">
        <f t="shared" si="20"/>
        <v/>
      </c>
      <c r="Y65" s="580"/>
      <c r="Z65" s="251" t="str">
        <f t="shared" si="3"/>
        <v/>
      </c>
      <c r="AA65" s="138" t="str">
        <f t="shared" si="28"/>
        <v/>
      </c>
      <c r="AB65" s="243" t="str">
        <f t="shared" si="21"/>
        <v/>
      </c>
      <c r="AC65" s="141" t="str">
        <f t="shared" si="4"/>
        <v/>
      </c>
      <c r="AD65" s="138" t="str">
        <f t="shared" si="22"/>
        <v/>
      </c>
      <c r="AE65" s="243" t="str">
        <f t="shared" si="5"/>
        <v/>
      </c>
      <c r="AF65" s="342" t="str">
        <f>IF(AM65="Row Not Used","",INDEX(SpaceTable[Annual Hours],(MATCH(B65,SpaceTable[Space Name Concatenated Helper],0))))</f>
        <v/>
      </c>
      <c r="AG65" s="205" t="str">
        <f t="shared" si="6"/>
        <v/>
      </c>
      <c r="AH65" s="234" t="str">
        <f t="shared" si="7"/>
        <v/>
      </c>
      <c r="AI65" s="205" t="str">
        <f t="shared" si="8"/>
        <v/>
      </c>
      <c r="AJ65" s="234" t="str">
        <f t="shared" si="9"/>
        <v/>
      </c>
      <c r="AK65" s="144" t="str">
        <f>IF(AM65="Row Not Used","",INDEX(SpaceTable[Row],(MATCH(B65,SpaceTable[Space Name Concatenated Helper],0))))</f>
        <v/>
      </c>
      <c r="AL65" s="238" t="str">
        <f>IF(AM65="Row Not Used","",INDEX(SpaceTable[HVAC Factor],(MATCH(B65,SpaceTable[Space Name Concatenated Helper],0))))</f>
        <v/>
      </c>
      <c r="AM65" s="520" t="str">
        <f t="shared" si="10"/>
        <v>Row Not Used</v>
      </c>
      <c r="AN65" s="512" t="e" cm="1">
        <f t="array" ref="AN65">INDEX(BallastFactorTable[Ballast Factor],MATCH(1,(BallastFactorTable[Fixture Class]=D65)*(BallastFactorTable[Fixture Category]=E65)*(BallastFactorTable[Fixture Sub-category]=F65),0))</f>
        <v>#N/A</v>
      </c>
      <c r="AO65" s="143" t="str">
        <f t="shared" si="23"/>
        <v/>
      </c>
      <c r="AP65" s="501" t="e" cm="1">
        <f t="array" ref="AP65">INDEX(BallastFactorTable[Wattage Range Name],MATCH(1,(BallastFactorTable[Fixture Class]=D65)*(BallastFactorTable[Fixture Category]=E65)*(BallastFactorTable[Fixture Sub-category]=F65),0))</f>
        <v>#N/A</v>
      </c>
      <c r="AQ65" s="515" t="str">
        <f t="shared" ca="1" si="11"/>
        <v>Okay</v>
      </c>
      <c r="AR65" s="512">
        <f t="shared" si="12"/>
        <v>0</v>
      </c>
      <c r="AS65" s="511" t="str">
        <f>IF(OR(Measures!AM65="Row Not Used",Measures!C65="Controls Only",Measures!C65="Decommissioning"),"",_xlfn.CONCAT(P65," ",Q65))</f>
        <v/>
      </c>
      <c r="AT65" s="264" t="str">
        <f t="shared" si="13"/>
        <v>None</v>
      </c>
      <c r="AU65" s="229">
        <f>IF(OR(AM65="Row Not Used",AM65="Controls Only"),0,INDEX(IncentiveRateTable[Incentive Rate],MATCH(AT65,IncentiveRateTable[Incentive Name],0)))</f>
        <v>0</v>
      </c>
      <c r="AV65" s="133" t="str">
        <f>IF(OR(AM65="Row Not Used",AM65="Controls Only"),"None",INDEX(IncentiveRateTable[Incentive Unit],MATCH(AT65,IncentiveRateTable[Incentive Name],0)))</f>
        <v>None</v>
      </c>
      <c r="AW65" s="578">
        <f t="shared" si="24"/>
        <v>0</v>
      </c>
      <c r="AX65" s="264" t="str">
        <f t="shared" si="14"/>
        <v>None</v>
      </c>
      <c r="AY65" s="229">
        <f>IF(OR(AM65="Row Not Used",AM65="Fixtures Only",AM65="Decommissioning"),0,INDEX(IncentiveRateTable[Incentive Rate],MATCH(AX65,IncentiveRateTable[Incentive Name],0)))</f>
        <v>0</v>
      </c>
      <c r="AZ65" s="133" t="str">
        <f>IF(OR(AM65="Row Not Used",AM65="Fixtures Only",AM65="Decommissioning"),"None",INDEX(IncentiveRateTable[Incentive Unit],MATCH(AX65,IncentiveRateTable[Incentive Name],0)))</f>
        <v>None</v>
      </c>
      <c r="BA65" s="465">
        <f t="shared" si="15"/>
        <v>0</v>
      </c>
      <c r="BB65" s="264" t="e" cm="1">
        <f t="array" ref="BB65">INDEX(BallastFactorTable[Commercial BPA Reference Number],MATCH(1,(BallastFactorTable[Fixture Class]=J65)*(BallastFactorTable[Fixture Category]=K65)*(BallastFactorTable[Fixture Sub-category]=L65),0))</f>
        <v>#N/A</v>
      </c>
      <c r="BC65" s="133" t="e" cm="1">
        <f t="array" ref="BC65">INDEX(BallastFactorTable[Industrial BPA Reference Number],MATCH(1,(BallastFactorTable[Fixture Class]=J65)*(BallastFactorTable[Fixture Category]=K65)*(BallastFactorTable[Fixture Sub-category]=L65),0))</f>
        <v>#N/A</v>
      </c>
      <c r="BD65" s="264" t="str">
        <f t="shared" si="16"/>
        <v>Sector is blank</v>
      </c>
      <c r="BE65" s="269" t="str">
        <f>IF(ISBLANK(SectorField),"Sector is blank",IF(AM65="Row Not Used","",IF(OR(R65="No Controls",ISBLANK(R65)),"",INDEX(ControlsBPARefNoTable[Reference Number],MATCH(SectorField,ControlsBPARefNoTable[Sector],0)))))</f>
        <v>Sector is blank</v>
      </c>
      <c r="BF65" s="530" t="str">
        <f t="shared" si="17"/>
        <v/>
      </c>
      <c r="BG65" s="132" t="str">
        <f t="shared" si="18"/>
        <v/>
      </c>
      <c r="BH65" s="531" t="str">
        <f t="shared" si="19"/>
        <v/>
      </c>
      <c r="BI65" s="532"/>
      <c r="BJ65" s="538" t="str">
        <f t="shared" si="25"/>
        <v/>
      </c>
      <c r="BK65" s="539" t="str">
        <f t="shared" si="26"/>
        <v/>
      </c>
      <c r="BL65" s="547" t="str">
        <f t="shared" si="27"/>
        <v/>
      </c>
    </row>
    <row r="66" spans="1:64" x14ac:dyDescent="0.3">
      <c r="A66" s="133">
        <v>59</v>
      </c>
      <c r="B66" s="294"/>
      <c r="C66" s="313"/>
      <c r="D66" s="292"/>
      <c r="E66" s="284"/>
      <c r="F66" s="284"/>
      <c r="G66" s="295"/>
      <c r="H66" s="296"/>
      <c r="I66" s="297"/>
      <c r="J66" s="292"/>
      <c r="K66" s="284"/>
      <c r="L66" s="284"/>
      <c r="M66" s="295"/>
      <c r="N66" s="296"/>
      <c r="O66" s="296"/>
      <c r="P66" s="284"/>
      <c r="Q66" s="298"/>
      <c r="R66" s="292"/>
      <c r="S66" s="299"/>
      <c r="T66" s="300"/>
      <c r="U66" s="317" t="str">
        <f t="shared" si="1"/>
        <v/>
      </c>
      <c r="V66" s="301"/>
      <c r="W66" s="137" t="str">
        <f t="shared" si="2"/>
        <v/>
      </c>
      <c r="X66" s="589" t="str">
        <f t="shared" si="20"/>
        <v/>
      </c>
      <c r="Y66" s="581"/>
      <c r="Z66" s="251" t="str">
        <f t="shared" si="3"/>
        <v/>
      </c>
      <c r="AA66" s="138" t="str">
        <f t="shared" si="28"/>
        <v/>
      </c>
      <c r="AB66" s="243" t="str">
        <f t="shared" si="21"/>
        <v/>
      </c>
      <c r="AC66" s="141" t="str">
        <f t="shared" si="4"/>
        <v/>
      </c>
      <c r="AD66" s="138" t="str">
        <f t="shared" si="22"/>
        <v/>
      </c>
      <c r="AE66" s="243" t="str">
        <f t="shared" si="5"/>
        <v/>
      </c>
      <c r="AF66" s="342" t="str">
        <f>IF(AM66="Row Not Used","",INDEX(SpaceTable[Annual Hours],(MATCH(B66,SpaceTable[Space Name Concatenated Helper],0))))</f>
        <v/>
      </c>
      <c r="AG66" s="205" t="str">
        <f t="shared" si="6"/>
        <v/>
      </c>
      <c r="AH66" s="234" t="str">
        <f t="shared" si="7"/>
        <v/>
      </c>
      <c r="AI66" s="205" t="str">
        <f t="shared" si="8"/>
        <v/>
      </c>
      <c r="AJ66" s="234" t="str">
        <f t="shared" si="9"/>
        <v/>
      </c>
      <c r="AK66" s="144" t="str">
        <f>IF(AM66="Row Not Used","",INDEX(SpaceTable[Row],(MATCH(B66,SpaceTable[Space Name Concatenated Helper],0))))</f>
        <v/>
      </c>
      <c r="AL66" s="238" t="str">
        <f>IF(AM66="Row Not Used","",INDEX(SpaceTable[HVAC Factor],(MATCH(B66,SpaceTable[Space Name Concatenated Helper],0))))</f>
        <v/>
      </c>
      <c r="AM66" s="520" t="str">
        <f t="shared" si="10"/>
        <v>Row Not Used</v>
      </c>
      <c r="AN66" s="512" t="e" cm="1">
        <f t="array" ref="AN66">INDEX(BallastFactorTable[Ballast Factor],MATCH(1,(BallastFactorTable[Fixture Class]=D66)*(BallastFactorTable[Fixture Category]=E66)*(BallastFactorTable[Fixture Sub-category]=F66),0))</f>
        <v>#N/A</v>
      </c>
      <c r="AO66" s="143" t="str">
        <f t="shared" si="23"/>
        <v/>
      </c>
      <c r="AP66" s="501" t="e" cm="1">
        <f t="array" ref="AP66">INDEX(BallastFactorTable[Wattage Range Name],MATCH(1,(BallastFactorTable[Fixture Class]=D66)*(BallastFactorTable[Fixture Category]=E66)*(BallastFactorTable[Fixture Sub-category]=F66),0))</f>
        <v>#N/A</v>
      </c>
      <c r="AQ66" s="515" t="str">
        <f t="shared" ca="1" si="11"/>
        <v>Okay</v>
      </c>
      <c r="AR66" s="512">
        <f t="shared" si="12"/>
        <v>0</v>
      </c>
      <c r="AS66" s="511" t="str">
        <f>IF(OR(Measures!AM66="Row Not Used",Measures!C66="Controls Only",Measures!C66="Decommissioning"),"",_xlfn.CONCAT(P66," ",Q66))</f>
        <v/>
      </c>
      <c r="AT66" s="264" t="str">
        <f t="shared" si="13"/>
        <v>None</v>
      </c>
      <c r="AU66" s="229">
        <f>IF(OR(AM66="Row Not Used",AM66="Controls Only"),0,INDEX(IncentiveRateTable[Incentive Rate],MATCH(AT66,IncentiveRateTable[Incentive Name],0)))</f>
        <v>0</v>
      </c>
      <c r="AV66" s="133" t="str">
        <f>IF(OR(AM66="Row Not Used",AM66="Controls Only"),"None",INDEX(IncentiveRateTable[Incentive Unit],MATCH(AT66,IncentiveRateTable[Incentive Name],0)))</f>
        <v>None</v>
      </c>
      <c r="AW66" s="578">
        <f t="shared" si="24"/>
        <v>0</v>
      </c>
      <c r="AX66" s="264" t="str">
        <f t="shared" si="14"/>
        <v>None</v>
      </c>
      <c r="AY66" s="229">
        <f>IF(OR(AM66="Row Not Used",AM66="Fixtures Only",AM66="Decommissioning"),0,INDEX(IncentiveRateTable[Incentive Rate],MATCH(AX66,IncentiveRateTable[Incentive Name],0)))</f>
        <v>0</v>
      </c>
      <c r="AZ66" s="133" t="str">
        <f>IF(OR(AM66="Row Not Used",AM66="Fixtures Only",AM66="Decommissioning"),"None",INDEX(IncentiveRateTable[Incentive Unit],MATCH(AX66,IncentiveRateTable[Incentive Name],0)))</f>
        <v>None</v>
      </c>
      <c r="BA66" s="465">
        <f t="shared" si="15"/>
        <v>0</v>
      </c>
      <c r="BB66" s="264" t="e" cm="1">
        <f t="array" ref="BB66">INDEX(BallastFactorTable[Commercial BPA Reference Number],MATCH(1,(BallastFactorTable[Fixture Class]=J66)*(BallastFactorTable[Fixture Category]=K66)*(BallastFactorTable[Fixture Sub-category]=L66),0))</f>
        <v>#N/A</v>
      </c>
      <c r="BC66" s="133" t="e" cm="1">
        <f t="array" ref="BC66">INDEX(BallastFactorTable[Industrial BPA Reference Number],MATCH(1,(BallastFactorTable[Fixture Class]=J66)*(BallastFactorTable[Fixture Category]=K66)*(BallastFactorTable[Fixture Sub-category]=L66),0))</f>
        <v>#N/A</v>
      </c>
      <c r="BD66" s="264" t="str">
        <f t="shared" si="16"/>
        <v>Sector is blank</v>
      </c>
      <c r="BE66" s="269" t="str">
        <f>IF(ISBLANK(SectorField),"Sector is blank",IF(AM66="Row Not Used","",IF(OR(R66="No Controls",ISBLANK(R66)),"",INDEX(ControlsBPARefNoTable[Reference Number],MATCH(SectorField,ControlsBPARefNoTable[Sector],0)))))</f>
        <v>Sector is blank</v>
      </c>
      <c r="BF66" s="530" t="str">
        <f t="shared" si="17"/>
        <v/>
      </c>
      <c r="BG66" s="132" t="str">
        <f t="shared" si="18"/>
        <v/>
      </c>
      <c r="BH66" s="531" t="str">
        <f t="shared" si="19"/>
        <v/>
      </c>
      <c r="BI66" s="532"/>
      <c r="BJ66" s="538" t="str">
        <f t="shared" si="25"/>
        <v/>
      </c>
      <c r="BK66" s="539" t="str">
        <f t="shared" si="26"/>
        <v/>
      </c>
      <c r="BL66" s="547" t="str">
        <f t="shared" si="27"/>
        <v/>
      </c>
    </row>
    <row r="67" spans="1:64" x14ac:dyDescent="0.3">
      <c r="A67" s="133">
        <v>60</v>
      </c>
      <c r="B67" s="294"/>
      <c r="C67" s="313"/>
      <c r="D67" s="292"/>
      <c r="E67" s="284"/>
      <c r="F67" s="284"/>
      <c r="G67" s="295"/>
      <c r="H67" s="296"/>
      <c r="I67" s="297"/>
      <c r="J67" s="292"/>
      <c r="K67" s="284"/>
      <c r="L67" s="284"/>
      <c r="M67" s="295"/>
      <c r="N67" s="296"/>
      <c r="O67" s="296"/>
      <c r="P67" s="284"/>
      <c r="Q67" s="298"/>
      <c r="R67" s="292"/>
      <c r="S67" s="299"/>
      <c r="T67" s="300"/>
      <c r="U67" s="317" t="str">
        <f t="shared" si="1"/>
        <v/>
      </c>
      <c r="V67" s="301"/>
      <c r="W67" s="136" t="str">
        <f t="shared" si="2"/>
        <v/>
      </c>
      <c r="X67" s="588" t="str">
        <f t="shared" si="20"/>
        <v/>
      </c>
      <c r="Y67" s="580"/>
      <c r="Z67" s="251" t="str">
        <f t="shared" si="3"/>
        <v/>
      </c>
      <c r="AA67" s="138" t="str">
        <f t="shared" si="28"/>
        <v/>
      </c>
      <c r="AB67" s="243" t="str">
        <f t="shared" si="21"/>
        <v/>
      </c>
      <c r="AC67" s="141" t="str">
        <f t="shared" si="4"/>
        <v/>
      </c>
      <c r="AD67" s="138" t="str">
        <f t="shared" si="22"/>
        <v/>
      </c>
      <c r="AE67" s="243" t="str">
        <f t="shared" si="5"/>
        <v/>
      </c>
      <c r="AF67" s="342" t="str">
        <f>IF(AM67="Row Not Used","",INDEX(SpaceTable[Annual Hours],(MATCH(B67,SpaceTable[Space Name Concatenated Helper],0))))</f>
        <v/>
      </c>
      <c r="AG67" s="205" t="str">
        <f t="shared" si="6"/>
        <v/>
      </c>
      <c r="AH67" s="234" t="str">
        <f t="shared" si="7"/>
        <v/>
      </c>
      <c r="AI67" s="205" t="str">
        <f t="shared" si="8"/>
        <v/>
      </c>
      <c r="AJ67" s="234" t="str">
        <f t="shared" si="9"/>
        <v/>
      </c>
      <c r="AK67" s="144" t="str">
        <f>IF(AM67="Row Not Used","",INDEX(SpaceTable[Row],(MATCH(B67,SpaceTable[Space Name Concatenated Helper],0))))</f>
        <v/>
      </c>
      <c r="AL67" s="238" t="str">
        <f>IF(AM67="Row Not Used","",INDEX(SpaceTable[HVAC Factor],(MATCH(B67,SpaceTable[Space Name Concatenated Helper],0))))</f>
        <v/>
      </c>
      <c r="AM67" s="520" t="str">
        <f t="shared" si="10"/>
        <v>Row Not Used</v>
      </c>
      <c r="AN67" s="512" t="e" cm="1">
        <f t="array" ref="AN67">INDEX(BallastFactorTable[Ballast Factor],MATCH(1,(BallastFactorTable[Fixture Class]=D67)*(BallastFactorTable[Fixture Category]=E67)*(BallastFactorTable[Fixture Sub-category]=F67),0))</f>
        <v>#N/A</v>
      </c>
      <c r="AO67" s="143" t="str">
        <f t="shared" si="23"/>
        <v/>
      </c>
      <c r="AP67" s="501" t="e" cm="1">
        <f t="array" ref="AP67">INDEX(BallastFactorTable[Wattage Range Name],MATCH(1,(BallastFactorTable[Fixture Class]=D67)*(BallastFactorTable[Fixture Category]=E67)*(BallastFactorTable[Fixture Sub-category]=F67),0))</f>
        <v>#N/A</v>
      </c>
      <c r="AQ67" s="515" t="str">
        <f t="shared" ca="1" si="11"/>
        <v>Okay</v>
      </c>
      <c r="AR67" s="512">
        <f t="shared" si="12"/>
        <v>0</v>
      </c>
      <c r="AS67" s="511" t="str">
        <f>IF(OR(Measures!AM67="Row Not Used",Measures!C67="Controls Only",Measures!C67="Decommissioning"),"",_xlfn.CONCAT(P67," ",Q67))</f>
        <v/>
      </c>
      <c r="AT67" s="264" t="str">
        <f t="shared" si="13"/>
        <v>None</v>
      </c>
      <c r="AU67" s="229">
        <f>IF(OR(AM67="Row Not Used",AM67="Controls Only"),0,INDEX(IncentiveRateTable[Incentive Rate],MATCH(AT67,IncentiveRateTable[Incentive Name],0)))</f>
        <v>0</v>
      </c>
      <c r="AV67" s="133" t="str">
        <f>IF(OR(AM67="Row Not Used",AM67="Controls Only"),"None",INDEX(IncentiveRateTable[Incentive Unit],MATCH(AT67,IncentiveRateTable[Incentive Name],0)))</f>
        <v>None</v>
      </c>
      <c r="AW67" s="578">
        <f t="shared" si="24"/>
        <v>0</v>
      </c>
      <c r="AX67" s="264" t="str">
        <f t="shared" si="14"/>
        <v>None</v>
      </c>
      <c r="AY67" s="229">
        <f>IF(OR(AM67="Row Not Used",AM67="Fixtures Only",AM67="Decommissioning"),0,INDEX(IncentiveRateTable[Incentive Rate],MATCH(AX67,IncentiveRateTable[Incentive Name],0)))</f>
        <v>0</v>
      </c>
      <c r="AZ67" s="133" t="str">
        <f>IF(OR(AM67="Row Not Used",AM67="Fixtures Only",AM67="Decommissioning"),"None",INDEX(IncentiveRateTable[Incentive Unit],MATCH(AX67,IncentiveRateTable[Incentive Name],0)))</f>
        <v>None</v>
      </c>
      <c r="BA67" s="465">
        <f t="shared" si="15"/>
        <v>0</v>
      </c>
      <c r="BB67" s="264" t="e" cm="1">
        <f t="array" ref="BB67">INDEX(BallastFactorTable[Commercial BPA Reference Number],MATCH(1,(BallastFactorTable[Fixture Class]=J67)*(BallastFactorTable[Fixture Category]=K67)*(BallastFactorTable[Fixture Sub-category]=L67),0))</f>
        <v>#N/A</v>
      </c>
      <c r="BC67" s="133" t="e" cm="1">
        <f t="array" ref="BC67">INDEX(BallastFactorTable[Industrial BPA Reference Number],MATCH(1,(BallastFactorTable[Fixture Class]=J67)*(BallastFactorTable[Fixture Category]=K67)*(BallastFactorTable[Fixture Sub-category]=L67),0))</f>
        <v>#N/A</v>
      </c>
      <c r="BD67" s="264" t="str">
        <f t="shared" si="16"/>
        <v>Sector is blank</v>
      </c>
      <c r="BE67" s="269" t="str">
        <f>IF(ISBLANK(SectorField),"Sector is blank",IF(AM67="Row Not Used","",IF(OR(R67="No Controls",ISBLANK(R67)),"",INDEX(ControlsBPARefNoTable[Reference Number],MATCH(SectorField,ControlsBPARefNoTable[Sector],0)))))</f>
        <v>Sector is blank</v>
      </c>
      <c r="BF67" s="530" t="str">
        <f t="shared" si="17"/>
        <v/>
      </c>
      <c r="BG67" s="132" t="str">
        <f t="shared" si="18"/>
        <v/>
      </c>
      <c r="BH67" s="531" t="str">
        <f t="shared" si="19"/>
        <v/>
      </c>
      <c r="BI67" s="532"/>
      <c r="BJ67" s="538" t="str">
        <f t="shared" si="25"/>
        <v/>
      </c>
      <c r="BK67" s="539" t="str">
        <f t="shared" si="26"/>
        <v/>
      </c>
      <c r="BL67" s="547" t="str">
        <f t="shared" si="27"/>
        <v/>
      </c>
    </row>
    <row r="68" spans="1:64" x14ac:dyDescent="0.3">
      <c r="A68" s="133">
        <v>61</v>
      </c>
      <c r="B68" s="294"/>
      <c r="C68" s="313"/>
      <c r="D68" s="292"/>
      <c r="E68" s="284"/>
      <c r="F68" s="284"/>
      <c r="G68" s="295"/>
      <c r="H68" s="296"/>
      <c r="I68" s="297"/>
      <c r="J68" s="292"/>
      <c r="K68" s="284"/>
      <c r="L68" s="284"/>
      <c r="M68" s="295"/>
      <c r="N68" s="296"/>
      <c r="O68" s="296"/>
      <c r="P68" s="284"/>
      <c r="Q68" s="298"/>
      <c r="R68" s="292"/>
      <c r="S68" s="299"/>
      <c r="T68" s="300"/>
      <c r="U68" s="317" t="str">
        <f t="shared" si="1"/>
        <v/>
      </c>
      <c r="V68" s="301"/>
      <c r="W68" s="137" t="str">
        <f t="shared" si="2"/>
        <v/>
      </c>
      <c r="X68" s="589" t="str">
        <f t="shared" si="20"/>
        <v/>
      </c>
      <c r="Y68" s="581"/>
      <c r="Z68" s="251" t="str">
        <f t="shared" si="3"/>
        <v/>
      </c>
      <c r="AA68" s="138" t="str">
        <f t="shared" si="28"/>
        <v/>
      </c>
      <c r="AB68" s="243" t="str">
        <f t="shared" si="21"/>
        <v/>
      </c>
      <c r="AC68" s="141" t="str">
        <f t="shared" si="4"/>
        <v/>
      </c>
      <c r="AD68" s="138" t="str">
        <f t="shared" si="22"/>
        <v/>
      </c>
      <c r="AE68" s="243" t="str">
        <f t="shared" si="5"/>
        <v/>
      </c>
      <c r="AF68" s="342" t="str">
        <f>IF(AM68="Row Not Used","",INDEX(SpaceTable[Annual Hours],(MATCH(B68,SpaceTable[Space Name Concatenated Helper],0))))</f>
        <v/>
      </c>
      <c r="AG68" s="205" t="str">
        <f t="shared" si="6"/>
        <v/>
      </c>
      <c r="AH68" s="234" t="str">
        <f t="shared" si="7"/>
        <v/>
      </c>
      <c r="AI68" s="205" t="str">
        <f t="shared" si="8"/>
        <v/>
      </c>
      <c r="AJ68" s="234" t="str">
        <f t="shared" si="9"/>
        <v/>
      </c>
      <c r="AK68" s="144" t="str">
        <f>IF(AM68="Row Not Used","",INDEX(SpaceTable[Row],(MATCH(B68,SpaceTable[Space Name Concatenated Helper],0))))</f>
        <v/>
      </c>
      <c r="AL68" s="238" t="str">
        <f>IF(AM68="Row Not Used","",INDEX(SpaceTable[HVAC Factor],(MATCH(B68,SpaceTable[Space Name Concatenated Helper],0))))</f>
        <v/>
      </c>
      <c r="AM68" s="520" t="str">
        <f t="shared" si="10"/>
        <v>Row Not Used</v>
      </c>
      <c r="AN68" s="512" t="e" cm="1">
        <f t="array" ref="AN68">INDEX(BallastFactorTable[Ballast Factor],MATCH(1,(BallastFactorTable[Fixture Class]=D68)*(BallastFactorTable[Fixture Category]=E68)*(BallastFactorTable[Fixture Sub-category]=F68),0))</f>
        <v>#N/A</v>
      </c>
      <c r="AO68" s="143" t="str">
        <f t="shared" si="23"/>
        <v/>
      </c>
      <c r="AP68" s="501" t="e" cm="1">
        <f t="array" ref="AP68">INDEX(BallastFactorTable[Wattage Range Name],MATCH(1,(BallastFactorTable[Fixture Class]=D68)*(BallastFactorTable[Fixture Category]=E68)*(BallastFactorTable[Fixture Sub-category]=F68),0))</f>
        <v>#N/A</v>
      </c>
      <c r="AQ68" s="515" t="str">
        <f t="shared" ca="1" si="11"/>
        <v>Okay</v>
      </c>
      <c r="AR68" s="512">
        <f t="shared" si="12"/>
        <v>0</v>
      </c>
      <c r="AS68" s="511" t="str">
        <f>IF(OR(Measures!AM68="Row Not Used",Measures!C68="Controls Only",Measures!C68="Decommissioning"),"",_xlfn.CONCAT(P68," ",Q68))</f>
        <v/>
      </c>
      <c r="AT68" s="264" t="str">
        <f t="shared" si="13"/>
        <v>None</v>
      </c>
      <c r="AU68" s="229">
        <f>IF(OR(AM68="Row Not Used",AM68="Controls Only"),0,INDEX(IncentiveRateTable[Incentive Rate],MATCH(AT68,IncentiveRateTable[Incentive Name],0)))</f>
        <v>0</v>
      </c>
      <c r="AV68" s="133" t="str">
        <f>IF(OR(AM68="Row Not Used",AM68="Controls Only"),"None",INDEX(IncentiveRateTable[Incentive Unit],MATCH(AT68,IncentiveRateTable[Incentive Name],0)))</f>
        <v>None</v>
      </c>
      <c r="AW68" s="578">
        <f t="shared" si="24"/>
        <v>0</v>
      </c>
      <c r="AX68" s="264" t="str">
        <f t="shared" si="14"/>
        <v>None</v>
      </c>
      <c r="AY68" s="229">
        <f>IF(OR(AM68="Row Not Used",AM68="Fixtures Only",AM68="Decommissioning"),0,INDEX(IncentiveRateTable[Incentive Rate],MATCH(AX68,IncentiveRateTable[Incentive Name],0)))</f>
        <v>0</v>
      </c>
      <c r="AZ68" s="133" t="str">
        <f>IF(OR(AM68="Row Not Used",AM68="Fixtures Only",AM68="Decommissioning"),"None",INDEX(IncentiveRateTable[Incentive Unit],MATCH(AX68,IncentiveRateTable[Incentive Name],0)))</f>
        <v>None</v>
      </c>
      <c r="BA68" s="465">
        <f t="shared" si="15"/>
        <v>0</v>
      </c>
      <c r="BB68" s="264" t="e" cm="1">
        <f t="array" ref="BB68">INDEX(BallastFactorTable[Commercial BPA Reference Number],MATCH(1,(BallastFactorTable[Fixture Class]=J68)*(BallastFactorTable[Fixture Category]=K68)*(BallastFactorTable[Fixture Sub-category]=L68),0))</f>
        <v>#N/A</v>
      </c>
      <c r="BC68" s="133" t="e" cm="1">
        <f t="array" ref="BC68">INDEX(BallastFactorTable[Industrial BPA Reference Number],MATCH(1,(BallastFactorTable[Fixture Class]=J68)*(BallastFactorTable[Fixture Category]=K68)*(BallastFactorTable[Fixture Sub-category]=L68),0))</f>
        <v>#N/A</v>
      </c>
      <c r="BD68" s="264" t="str">
        <f t="shared" si="16"/>
        <v>Sector is blank</v>
      </c>
      <c r="BE68" s="269" t="str">
        <f>IF(ISBLANK(SectorField),"Sector is blank",IF(AM68="Row Not Used","",IF(OR(R68="No Controls",ISBLANK(R68)),"",INDEX(ControlsBPARefNoTable[Reference Number],MATCH(SectorField,ControlsBPARefNoTable[Sector],0)))))</f>
        <v>Sector is blank</v>
      </c>
      <c r="BF68" s="530" t="str">
        <f t="shared" si="17"/>
        <v/>
      </c>
      <c r="BG68" s="132" t="str">
        <f t="shared" si="18"/>
        <v/>
      </c>
      <c r="BH68" s="531" t="str">
        <f t="shared" si="19"/>
        <v/>
      </c>
      <c r="BI68" s="532"/>
      <c r="BJ68" s="538" t="str">
        <f t="shared" si="25"/>
        <v/>
      </c>
      <c r="BK68" s="539" t="str">
        <f t="shared" si="26"/>
        <v/>
      </c>
      <c r="BL68" s="547" t="str">
        <f t="shared" si="27"/>
        <v/>
      </c>
    </row>
    <row r="69" spans="1:64" x14ac:dyDescent="0.3">
      <c r="A69" s="133">
        <v>62</v>
      </c>
      <c r="B69" s="294"/>
      <c r="C69" s="313"/>
      <c r="D69" s="292"/>
      <c r="E69" s="284"/>
      <c r="F69" s="284"/>
      <c r="G69" s="295"/>
      <c r="H69" s="296"/>
      <c r="I69" s="297"/>
      <c r="J69" s="292"/>
      <c r="K69" s="284"/>
      <c r="L69" s="284"/>
      <c r="M69" s="295"/>
      <c r="N69" s="296"/>
      <c r="O69" s="296"/>
      <c r="P69" s="284"/>
      <c r="Q69" s="298"/>
      <c r="R69" s="292"/>
      <c r="S69" s="299"/>
      <c r="T69" s="300"/>
      <c r="U69" s="317" t="str">
        <f t="shared" si="1"/>
        <v/>
      </c>
      <c r="V69" s="301"/>
      <c r="W69" s="136" t="str">
        <f t="shared" si="2"/>
        <v/>
      </c>
      <c r="X69" s="588" t="str">
        <f t="shared" si="20"/>
        <v/>
      </c>
      <c r="Y69" s="580"/>
      <c r="Z69" s="251" t="str">
        <f t="shared" si="3"/>
        <v/>
      </c>
      <c r="AA69" s="138" t="str">
        <f t="shared" si="28"/>
        <v/>
      </c>
      <c r="AB69" s="243" t="str">
        <f t="shared" si="21"/>
        <v/>
      </c>
      <c r="AC69" s="141" t="str">
        <f t="shared" si="4"/>
        <v/>
      </c>
      <c r="AD69" s="138" t="str">
        <f t="shared" si="22"/>
        <v/>
      </c>
      <c r="AE69" s="243" t="str">
        <f t="shared" si="5"/>
        <v/>
      </c>
      <c r="AF69" s="342" t="str">
        <f>IF(AM69="Row Not Used","",INDEX(SpaceTable[Annual Hours],(MATCH(B69,SpaceTable[Space Name Concatenated Helper],0))))</f>
        <v/>
      </c>
      <c r="AG69" s="205" t="str">
        <f t="shared" si="6"/>
        <v/>
      </c>
      <c r="AH69" s="234" t="str">
        <f t="shared" si="7"/>
        <v/>
      </c>
      <c r="AI69" s="205" t="str">
        <f t="shared" si="8"/>
        <v/>
      </c>
      <c r="AJ69" s="234" t="str">
        <f t="shared" si="9"/>
        <v/>
      </c>
      <c r="AK69" s="144" t="str">
        <f>IF(AM69="Row Not Used","",INDEX(SpaceTable[Row],(MATCH(B69,SpaceTable[Space Name Concatenated Helper],0))))</f>
        <v/>
      </c>
      <c r="AL69" s="238" t="str">
        <f>IF(AM69="Row Not Used","",INDEX(SpaceTable[HVAC Factor],(MATCH(B69,SpaceTable[Space Name Concatenated Helper],0))))</f>
        <v/>
      </c>
      <c r="AM69" s="520" t="str">
        <f t="shared" si="10"/>
        <v>Row Not Used</v>
      </c>
      <c r="AN69" s="512" t="e" cm="1">
        <f t="array" ref="AN69">INDEX(BallastFactorTable[Ballast Factor],MATCH(1,(BallastFactorTable[Fixture Class]=D69)*(BallastFactorTable[Fixture Category]=E69)*(BallastFactorTable[Fixture Sub-category]=F69),0))</f>
        <v>#N/A</v>
      </c>
      <c r="AO69" s="143" t="str">
        <f t="shared" si="23"/>
        <v/>
      </c>
      <c r="AP69" s="501" t="e" cm="1">
        <f t="array" ref="AP69">INDEX(BallastFactorTable[Wattage Range Name],MATCH(1,(BallastFactorTable[Fixture Class]=D69)*(BallastFactorTable[Fixture Category]=E69)*(BallastFactorTable[Fixture Sub-category]=F69),0))</f>
        <v>#N/A</v>
      </c>
      <c r="AQ69" s="515" t="str">
        <f t="shared" ca="1" si="11"/>
        <v>Okay</v>
      </c>
      <c r="AR69" s="512">
        <f t="shared" si="12"/>
        <v>0</v>
      </c>
      <c r="AS69" s="511" t="str">
        <f>IF(OR(Measures!AM69="Row Not Used",Measures!C69="Controls Only",Measures!C69="Decommissioning"),"",_xlfn.CONCAT(P69," ",Q69))</f>
        <v/>
      </c>
      <c r="AT69" s="264" t="str">
        <f t="shared" si="13"/>
        <v>None</v>
      </c>
      <c r="AU69" s="229">
        <f>IF(OR(AM69="Row Not Used",AM69="Controls Only"),0,INDEX(IncentiveRateTable[Incentive Rate],MATCH(AT69,IncentiveRateTable[Incentive Name],0)))</f>
        <v>0</v>
      </c>
      <c r="AV69" s="133" t="str">
        <f>IF(OR(AM69="Row Not Used",AM69="Controls Only"),"None",INDEX(IncentiveRateTable[Incentive Unit],MATCH(AT69,IncentiveRateTable[Incentive Name],0)))</f>
        <v>None</v>
      </c>
      <c r="AW69" s="578">
        <f t="shared" si="24"/>
        <v>0</v>
      </c>
      <c r="AX69" s="264" t="str">
        <f t="shared" si="14"/>
        <v>None</v>
      </c>
      <c r="AY69" s="229">
        <f>IF(OR(AM69="Row Not Used",AM69="Fixtures Only",AM69="Decommissioning"),0,INDEX(IncentiveRateTable[Incentive Rate],MATCH(AX69,IncentiveRateTable[Incentive Name],0)))</f>
        <v>0</v>
      </c>
      <c r="AZ69" s="133" t="str">
        <f>IF(OR(AM69="Row Not Used",AM69="Fixtures Only",AM69="Decommissioning"),"None",INDEX(IncentiveRateTable[Incentive Unit],MATCH(AX69,IncentiveRateTable[Incentive Name],0)))</f>
        <v>None</v>
      </c>
      <c r="BA69" s="465">
        <f t="shared" si="15"/>
        <v>0</v>
      </c>
      <c r="BB69" s="264" t="e" cm="1">
        <f t="array" ref="BB69">INDEX(BallastFactorTable[Commercial BPA Reference Number],MATCH(1,(BallastFactorTable[Fixture Class]=J69)*(BallastFactorTable[Fixture Category]=K69)*(BallastFactorTable[Fixture Sub-category]=L69),0))</f>
        <v>#N/A</v>
      </c>
      <c r="BC69" s="133" t="e" cm="1">
        <f t="array" ref="BC69">INDEX(BallastFactorTable[Industrial BPA Reference Number],MATCH(1,(BallastFactorTable[Fixture Class]=J69)*(BallastFactorTable[Fixture Category]=K69)*(BallastFactorTable[Fixture Sub-category]=L69),0))</f>
        <v>#N/A</v>
      </c>
      <c r="BD69" s="264" t="str">
        <f t="shared" si="16"/>
        <v>Sector is blank</v>
      </c>
      <c r="BE69" s="269" t="str">
        <f>IF(ISBLANK(SectorField),"Sector is blank",IF(AM69="Row Not Used","",IF(OR(R69="No Controls",ISBLANK(R69)),"",INDEX(ControlsBPARefNoTable[Reference Number],MATCH(SectorField,ControlsBPARefNoTable[Sector],0)))))</f>
        <v>Sector is blank</v>
      </c>
      <c r="BF69" s="530" t="str">
        <f t="shared" si="17"/>
        <v/>
      </c>
      <c r="BG69" s="132" t="str">
        <f t="shared" si="18"/>
        <v/>
      </c>
      <c r="BH69" s="531" t="str">
        <f t="shared" si="19"/>
        <v/>
      </c>
      <c r="BI69" s="532"/>
      <c r="BJ69" s="538" t="str">
        <f t="shared" si="25"/>
        <v/>
      </c>
      <c r="BK69" s="539" t="str">
        <f t="shared" si="26"/>
        <v/>
      </c>
      <c r="BL69" s="547" t="str">
        <f t="shared" si="27"/>
        <v/>
      </c>
    </row>
    <row r="70" spans="1:64" x14ac:dyDescent="0.3">
      <c r="A70" s="133">
        <v>63</v>
      </c>
      <c r="B70" s="294"/>
      <c r="C70" s="313"/>
      <c r="D70" s="292"/>
      <c r="E70" s="284"/>
      <c r="F70" s="284"/>
      <c r="G70" s="295"/>
      <c r="H70" s="296"/>
      <c r="I70" s="297"/>
      <c r="J70" s="292"/>
      <c r="K70" s="284"/>
      <c r="L70" s="284"/>
      <c r="M70" s="295"/>
      <c r="N70" s="296"/>
      <c r="O70" s="296"/>
      <c r="P70" s="284"/>
      <c r="Q70" s="298"/>
      <c r="R70" s="292"/>
      <c r="S70" s="299"/>
      <c r="T70" s="300"/>
      <c r="U70" s="317" t="str">
        <f t="shared" si="1"/>
        <v/>
      </c>
      <c r="V70" s="301"/>
      <c r="W70" s="137" t="str">
        <f t="shared" si="2"/>
        <v/>
      </c>
      <c r="X70" s="589" t="str">
        <f t="shared" si="20"/>
        <v/>
      </c>
      <c r="Y70" s="581"/>
      <c r="Z70" s="251" t="str">
        <f t="shared" si="3"/>
        <v/>
      </c>
      <c r="AA70" s="138" t="str">
        <f t="shared" si="28"/>
        <v/>
      </c>
      <c r="AB70" s="243" t="str">
        <f t="shared" si="21"/>
        <v/>
      </c>
      <c r="AC70" s="141" t="str">
        <f t="shared" si="4"/>
        <v/>
      </c>
      <c r="AD70" s="138" t="str">
        <f t="shared" si="22"/>
        <v/>
      </c>
      <c r="AE70" s="243" t="str">
        <f t="shared" si="5"/>
        <v/>
      </c>
      <c r="AF70" s="342" t="str">
        <f>IF(AM70="Row Not Used","",INDEX(SpaceTable[Annual Hours],(MATCH(B70,SpaceTable[Space Name Concatenated Helper],0))))</f>
        <v/>
      </c>
      <c r="AG70" s="205" t="str">
        <f t="shared" si="6"/>
        <v/>
      </c>
      <c r="AH70" s="234" t="str">
        <f t="shared" si="7"/>
        <v/>
      </c>
      <c r="AI70" s="205" t="str">
        <f t="shared" si="8"/>
        <v/>
      </c>
      <c r="AJ70" s="234" t="str">
        <f t="shared" si="9"/>
        <v/>
      </c>
      <c r="AK70" s="144" t="str">
        <f>IF(AM70="Row Not Used","",INDEX(SpaceTable[Row],(MATCH(B70,SpaceTable[Space Name Concatenated Helper],0))))</f>
        <v/>
      </c>
      <c r="AL70" s="238" t="str">
        <f>IF(AM70="Row Not Used","",INDEX(SpaceTable[HVAC Factor],(MATCH(B70,SpaceTable[Space Name Concatenated Helper],0))))</f>
        <v/>
      </c>
      <c r="AM70" s="520" t="str">
        <f t="shared" si="10"/>
        <v>Row Not Used</v>
      </c>
      <c r="AN70" s="512" t="e" cm="1">
        <f t="array" ref="AN70">INDEX(BallastFactorTable[Ballast Factor],MATCH(1,(BallastFactorTable[Fixture Class]=D70)*(BallastFactorTable[Fixture Category]=E70)*(BallastFactorTable[Fixture Sub-category]=F70),0))</f>
        <v>#N/A</v>
      </c>
      <c r="AO70" s="143" t="str">
        <f t="shared" si="23"/>
        <v/>
      </c>
      <c r="AP70" s="501" t="e" cm="1">
        <f t="array" ref="AP70">INDEX(BallastFactorTable[Wattage Range Name],MATCH(1,(BallastFactorTable[Fixture Class]=D70)*(BallastFactorTable[Fixture Category]=E70)*(BallastFactorTable[Fixture Sub-category]=F70),0))</f>
        <v>#N/A</v>
      </c>
      <c r="AQ70" s="515" t="str">
        <f t="shared" ca="1" si="11"/>
        <v>Okay</v>
      </c>
      <c r="AR70" s="512">
        <f t="shared" si="12"/>
        <v>0</v>
      </c>
      <c r="AS70" s="511" t="str">
        <f>IF(OR(Measures!AM70="Row Not Used",Measures!C70="Controls Only",Measures!C70="Decommissioning"),"",_xlfn.CONCAT(P70," ",Q70))</f>
        <v/>
      </c>
      <c r="AT70" s="264" t="str">
        <f t="shared" si="13"/>
        <v>None</v>
      </c>
      <c r="AU70" s="229">
        <f>IF(OR(AM70="Row Not Used",AM70="Controls Only"),0,INDEX(IncentiveRateTable[Incentive Rate],MATCH(AT70,IncentiveRateTable[Incentive Name],0)))</f>
        <v>0</v>
      </c>
      <c r="AV70" s="133" t="str">
        <f>IF(OR(AM70="Row Not Used",AM70="Controls Only"),"None",INDEX(IncentiveRateTable[Incentive Unit],MATCH(AT70,IncentiveRateTable[Incentive Name],0)))</f>
        <v>None</v>
      </c>
      <c r="AW70" s="578">
        <f t="shared" si="24"/>
        <v>0</v>
      </c>
      <c r="AX70" s="264" t="str">
        <f t="shared" si="14"/>
        <v>None</v>
      </c>
      <c r="AY70" s="229">
        <f>IF(OR(AM70="Row Not Used",AM70="Fixtures Only",AM70="Decommissioning"),0,INDEX(IncentiveRateTable[Incentive Rate],MATCH(AX70,IncentiveRateTable[Incentive Name],0)))</f>
        <v>0</v>
      </c>
      <c r="AZ70" s="133" t="str">
        <f>IF(OR(AM70="Row Not Used",AM70="Fixtures Only",AM70="Decommissioning"),"None",INDEX(IncentiveRateTable[Incentive Unit],MATCH(AX70,IncentiveRateTable[Incentive Name],0)))</f>
        <v>None</v>
      </c>
      <c r="BA70" s="465">
        <f t="shared" si="15"/>
        <v>0</v>
      </c>
      <c r="BB70" s="264" t="e" cm="1">
        <f t="array" ref="BB70">INDEX(BallastFactorTable[Commercial BPA Reference Number],MATCH(1,(BallastFactorTable[Fixture Class]=J70)*(BallastFactorTable[Fixture Category]=K70)*(BallastFactorTable[Fixture Sub-category]=L70),0))</f>
        <v>#N/A</v>
      </c>
      <c r="BC70" s="133" t="e" cm="1">
        <f t="array" ref="BC70">INDEX(BallastFactorTable[Industrial BPA Reference Number],MATCH(1,(BallastFactorTable[Fixture Class]=J70)*(BallastFactorTable[Fixture Category]=K70)*(BallastFactorTable[Fixture Sub-category]=L70),0))</f>
        <v>#N/A</v>
      </c>
      <c r="BD70" s="264" t="str">
        <f t="shared" si="16"/>
        <v>Sector is blank</v>
      </c>
      <c r="BE70" s="269" t="str">
        <f>IF(ISBLANK(SectorField),"Sector is blank",IF(AM70="Row Not Used","",IF(OR(R70="No Controls",ISBLANK(R70)),"",INDEX(ControlsBPARefNoTable[Reference Number],MATCH(SectorField,ControlsBPARefNoTable[Sector],0)))))</f>
        <v>Sector is blank</v>
      </c>
      <c r="BF70" s="530" t="str">
        <f t="shared" si="17"/>
        <v/>
      </c>
      <c r="BG70" s="132" t="str">
        <f t="shared" si="18"/>
        <v/>
      </c>
      <c r="BH70" s="531" t="str">
        <f t="shared" si="19"/>
        <v/>
      </c>
      <c r="BI70" s="532"/>
      <c r="BJ70" s="538" t="str">
        <f t="shared" si="25"/>
        <v/>
      </c>
      <c r="BK70" s="539" t="str">
        <f t="shared" si="26"/>
        <v/>
      </c>
      <c r="BL70" s="547" t="str">
        <f t="shared" si="27"/>
        <v/>
      </c>
    </row>
    <row r="71" spans="1:64" x14ac:dyDescent="0.3">
      <c r="A71" s="133">
        <v>64</v>
      </c>
      <c r="B71" s="294"/>
      <c r="C71" s="313"/>
      <c r="D71" s="292"/>
      <c r="E71" s="284"/>
      <c r="F71" s="284"/>
      <c r="G71" s="295"/>
      <c r="H71" s="296"/>
      <c r="I71" s="297"/>
      <c r="J71" s="292"/>
      <c r="K71" s="284"/>
      <c r="L71" s="284"/>
      <c r="M71" s="295"/>
      <c r="N71" s="296"/>
      <c r="O71" s="296"/>
      <c r="P71" s="284"/>
      <c r="Q71" s="298"/>
      <c r="R71" s="292"/>
      <c r="S71" s="299"/>
      <c r="T71" s="300"/>
      <c r="U71" s="317" t="str">
        <f t="shared" si="1"/>
        <v/>
      </c>
      <c r="V71" s="301"/>
      <c r="W71" s="136" t="str">
        <f t="shared" si="2"/>
        <v/>
      </c>
      <c r="X71" s="588" t="str">
        <f t="shared" si="20"/>
        <v/>
      </c>
      <c r="Y71" s="580"/>
      <c r="Z71" s="251" t="str">
        <f t="shared" si="3"/>
        <v/>
      </c>
      <c r="AA71" s="138" t="str">
        <f t="shared" si="28"/>
        <v/>
      </c>
      <c r="AB71" s="243" t="str">
        <f t="shared" si="21"/>
        <v/>
      </c>
      <c r="AC71" s="141" t="str">
        <f t="shared" si="4"/>
        <v/>
      </c>
      <c r="AD71" s="138" t="str">
        <f t="shared" si="22"/>
        <v/>
      </c>
      <c r="AE71" s="243" t="str">
        <f t="shared" si="5"/>
        <v/>
      </c>
      <c r="AF71" s="342" t="str">
        <f>IF(AM71="Row Not Used","",INDEX(SpaceTable[Annual Hours],(MATCH(B71,SpaceTable[Space Name Concatenated Helper],0))))</f>
        <v/>
      </c>
      <c r="AG71" s="205" t="str">
        <f t="shared" si="6"/>
        <v/>
      </c>
      <c r="AH71" s="234" t="str">
        <f t="shared" si="7"/>
        <v/>
      </c>
      <c r="AI71" s="205" t="str">
        <f t="shared" si="8"/>
        <v/>
      </c>
      <c r="AJ71" s="234" t="str">
        <f t="shared" si="9"/>
        <v/>
      </c>
      <c r="AK71" s="144" t="str">
        <f>IF(AM71="Row Not Used","",INDEX(SpaceTable[Row],(MATCH(B71,SpaceTable[Space Name Concatenated Helper],0))))</f>
        <v/>
      </c>
      <c r="AL71" s="238" t="str">
        <f>IF(AM71="Row Not Used","",INDEX(SpaceTable[HVAC Factor],(MATCH(B71,SpaceTable[Space Name Concatenated Helper],0))))</f>
        <v/>
      </c>
      <c r="AM71" s="520" t="str">
        <f t="shared" si="10"/>
        <v>Row Not Used</v>
      </c>
      <c r="AN71" s="512" t="e" cm="1">
        <f t="array" ref="AN71">INDEX(BallastFactorTable[Ballast Factor],MATCH(1,(BallastFactorTable[Fixture Class]=D71)*(BallastFactorTable[Fixture Category]=E71)*(BallastFactorTable[Fixture Sub-category]=F71),0))</f>
        <v>#N/A</v>
      </c>
      <c r="AO71" s="143" t="str">
        <f t="shared" si="23"/>
        <v/>
      </c>
      <c r="AP71" s="501" t="e" cm="1">
        <f t="array" ref="AP71">INDEX(BallastFactorTable[Wattage Range Name],MATCH(1,(BallastFactorTable[Fixture Class]=D71)*(BallastFactorTable[Fixture Category]=E71)*(BallastFactorTable[Fixture Sub-category]=F71),0))</f>
        <v>#N/A</v>
      </c>
      <c r="AQ71" s="515" t="str">
        <f t="shared" ca="1" si="11"/>
        <v>Okay</v>
      </c>
      <c r="AR71" s="512">
        <f t="shared" si="12"/>
        <v>0</v>
      </c>
      <c r="AS71" s="511" t="str">
        <f>IF(OR(Measures!AM71="Row Not Used",Measures!C71="Controls Only",Measures!C71="Decommissioning"),"",_xlfn.CONCAT(P71," ",Q71))</f>
        <v/>
      </c>
      <c r="AT71" s="264" t="str">
        <f t="shared" si="13"/>
        <v>None</v>
      </c>
      <c r="AU71" s="229">
        <f>IF(OR(AM71="Row Not Used",AM71="Controls Only"),0,INDEX(IncentiveRateTable[Incentive Rate],MATCH(AT71,IncentiveRateTable[Incentive Name],0)))</f>
        <v>0</v>
      </c>
      <c r="AV71" s="133" t="str">
        <f>IF(OR(AM71="Row Not Used",AM71="Controls Only"),"None",INDEX(IncentiveRateTable[Incentive Unit],MATCH(AT71,IncentiveRateTable[Incentive Name],0)))</f>
        <v>None</v>
      </c>
      <c r="AW71" s="578">
        <f t="shared" si="24"/>
        <v>0</v>
      </c>
      <c r="AX71" s="264" t="str">
        <f t="shared" si="14"/>
        <v>None</v>
      </c>
      <c r="AY71" s="229">
        <f>IF(OR(AM71="Row Not Used",AM71="Fixtures Only",AM71="Decommissioning"),0,INDEX(IncentiveRateTable[Incentive Rate],MATCH(AX71,IncentiveRateTable[Incentive Name],0)))</f>
        <v>0</v>
      </c>
      <c r="AZ71" s="133" t="str">
        <f>IF(OR(AM71="Row Not Used",AM71="Fixtures Only",AM71="Decommissioning"),"None",INDEX(IncentiveRateTable[Incentive Unit],MATCH(AX71,IncentiveRateTable[Incentive Name],0)))</f>
        <v>None</v>
      </c>
      <c r="BA71" s="465">
        <f t="shared" si="15"/>
        <v>0</v>
      </c>
      <c r="BB71" s="264" t="e" cm="1">
        <f t="array" ref="BB71">INDEX(BallastFactorTable[Commercial BPA Reference Number],MATCH(1,(BallastFactorTable[Fixture Class]=J71)*(BallastFactorTable[Fixture Category]=K71)*(BallastFactorTable[Fixture Sub-category]=L71),0))</f>
        <v>#N/A</v>
      </c>
      <c r="BC71" s="133" t="e" cm="1">
        <f t="array" ref="BC71">INDEX(BallastFactorTable[Industrial BPA Reference Number],MATCH(1,(BallastFactorTable[Fixture Class]=J71)*(BallastFactorTable[Fixture Category]=K71)*(BallastFactorTable[Fixture Sub-category]=L71),0))</f>
        <v>#N/A</v>
      </c>
      <c r="BD71" s="264" t="str">
        <f t="shared" si="16"/>
        <v>Sector is blank</v>
      </c>
      <c r="BE71" s="269" t="str">
        <f>IF(ISBLANK(SectorField),"Sector is blank",IF(AM71="Row Not Used","",IF(OR(R71="No Controls",ISBLANK(R71)),"",INDEX(ControlsBPARefNoTable[Reference Number],MATCH(SectorField,ControlsBPARefNoTable[Sector],0)))))</f>
        <v>Sector is blank</v>
      </c>
      <c r="BF71" s="530" t="str">
        <f t="shared" si="17"/>
        <v/>
      </c>
      <c r="BG71" s="132" t="str">
        <f t="shared" si="18"/>
        <v/>
      </c>
      <c r="BH71" s="531" t="str">
        <f t="shared" si="19"/>
        <v/>
      </c>
      <c r="BI71" s="532"/>
      <c r="BJ71" s="538" t="str">
        <f t="shared" si="25"/>
        <v/>
      </c>
      <c r="BK71" s="539" t="str">
        <f t="shared" si="26"/>
        <v/>
      </c>
      <c r="BL71" s="547" t="str">
        <f t="shared" si="27"/>
        <v/>
      </c>
    </row>
    <row r="72" spans="1:64" x14ac:dyDescent="0.3">
      <c r="A72" s="133">
        <v>65</v>
      </c>
      <c r="B72" s="294"/>
      <c r="C72" s="313"/>
      <c r="D72" s="292"/>
      <c r="E72" s="284"/>
      <c r="F72" s="284"/>
      <c r="G72" s="295"/>
      <c r="H72" s="296"/>
      <c r="I72" s="297"/>
      <c r="J72" s="292"/>
      <c r="K72" s="284"/>
      <c r="L72" s="284"/>
      <c r="M72" s="295"/>
      <c r="N72" s="296"/>
      <c r="O72" s="296"/>
      <c r="P72" s="284"/>
      <c r="Q72" s="298"/>
      <c r="R72" s="292"/>
      <c r="S72" s="299"/>
      <c r="T72" s="300"/>
      <c r="U72" s="317" t="str">
        <f t="shared" ref="U72:U135" si="29">IF(OR(ISBLANK(R72),R72="No Controls"),"",IF(R72="Networked Controls",CtrlPctHrsReductionNetworked,CtrlPctHrsReductionNonNetworked))</f>
        <v/>
      </c>
      <c r="V72" s="301"/>
      <c r="W72" s="137" t="str">
        <f t="shared" ref="W72:W135" si="30">IF(AM72="Row Not Used","",IF(OR(AM72="Fixtures Only",AM72="decommissioning"),Z72,IF(AM72="Controls Only",AC72,Z72+AC72)))</f>
        <v/>
      </c>
      <c r="X72" s="589" t="str">
        <f t="shared" si="20"/>
        <v/>
      </c>
      <c r="Y72" s="581"/>
      <c r="Z72" s="251" t="str">
        <f t="shared" ref="Z72:Z135" si="31">IF(OR(AM72="Row Not Used",AM72="Controls Only"),"",IF(AM72="Decommissioning",AH72,AH72-AJ72))</f>
        <v/>
      </c>
      <c r="AA72" s="138" t="str">
        <f t="shared" si="28"/>
        <v/>
      </c>
      <c r="AB72" s="243" t="str">
        <f t="shared" si="21"/>
        <v/>
      </c>
      <c r="AC72" s="141" t="str">
        <f t="shared" ref="AC72:AC135" si="32">IF(OR(AM72="Row Not Used",AM72="Fixtures Only",AM72="Decommissioning"),"",BA72)</f>
        <v/>
      </c>
      <c r="AD72" s="138" t="str">
        <f t="shared" si="22"/>
        <v/>
      </c>
      <c r="AE72" s="243" t="str">
        <f t="shared" ref="AE72:AE135" si="33">IF(AZ72="None","",IF(AC72&lt;0,0,ROUND(AY72*AC72,2)))</f>
        <v/>
      </c>
      <c r="AF72" s="342" t="str">
        <f>IF(AM72="Row Not Used","",INDEX(SpaceTable[Annual Hours],(MATCH(B72,SpaceTable[Space Name Concatenated Helper],0))))</f>
        <v/>
      </c>
      <c r="AG72" s="205" t="str">
        <f t="shared" ref="AG72:AG135" si="34">IF(AM72="Row Not Used","",G72*H72*AO72)</f>
        <v/>
      </c>
      <c r="AH72" s="234" t="str">
        <f t="shared" ref="AH72:AH135" si="35">IF(AM72="Row Not Used","",(AG72*I72*AF72*AL72)/kWhConversion)</f>
        <v/>
      </c>
      <c r="AI72" s="205" t="str">
        <f t="shared" ref="AI72:AI135" si="36">IF(OR(AM72="Row Not Used",AM72="Controls Only",AM72="Decommissioning"),"",M72*N72)</f>
        <v/>
      </c>
      <c r="AJ72" s="234" t="str">
        <f t="shared" ref="AJ72:AJ135" si="37">IF(OR(AM72="Row Not Used",AM72="Controls Only",AM72="Decommissioning"),"",(AI72*O72*AF72*AL72)/kWhConversion)</f>
        <v/>
      </c>
      <c r="AK72" s="144" t="str">
        <f>IF(AM72="Row Not Used","",INDEX(SpaceTable[Row],(MATCH(B72,SpaceTable[Space Name Concatenated Helper],0))))</f>
        <v/>
      </c>
      <c r="AL72" s="238" t="str">
        <f>IF(AM72="Row Not Used","",INDEX(SpaceTable[HVAC Factor],(MATCH(B72,SpaceTable[Space Name Concatenated Helper],0))))</f>
        <v/>
      </c>
      <c r="AM72" s="520" t="str">
        <f t="shared" ref="AM72:AM135" si="38">IF(OR(ISBLANK(C72),ISBLANK(B72)),"Row Not Used",IF(C72="Controls Only","Controls Only",IF(C72="Decommissioning","Decommissioning",IF(AND(C72="Fixtures",OR(R72="No Controls",ISBLANK(R72))),"Fixtures Only","Fixtures with Controls"))))</f>
        <v>Row Not Used</v>
      </c>
      <c r="AN72" s="512" t="e" cm="1">
        <f t="array" ref="AN72">INDEX(BallastFactorTable[Ballast Factor],MATCH(1,(BallastFactorTable[Fixture Class]=D72)*(BallastFactorTable[Fixture Category]=E72)*(BallastFactorTable[Fixture Sub-category]=F72),0))</f>
        <v>#N/A</v>
      </c>
      <c r="AO72" s="143" t="str">
        <f t="shared" si="23"/>
        <v/>
      </c>
      <c r="AP72" s="501" t="e" cm="1">
        <f t="array" ref="AP72">INDEX(BallastFactorTable[Wattage Range Name],MATCH(1,(BallastFactorTable[Fixture Class]=D72)*(BallastFactorTable[Fixture Category]=E72)*(BallastFactorTable[Fixture Sub-category]=F72),0))</f>
        <v>#N/A</v>
      </c>
      <c r="AQ72" s="515" t="str">
        <f t="shared" ref="AQ72:AQ135" ca="1" si="39">IF(G72="Type in the wattage.","Invalid",IF(OR(AM72="Row Not Used",D72="LED",ISBLANK(G72)),"Okay",IFERROR(_xlfn.XMATCH(G72,INDIRECT(AP72),0),"Invalid")))</f>
        <v>Okay</v>
      </c>
      <c r="AR72" s="512">
        <f t="shared" ref="AR72:AR135" si="40">IF(AM72="Row Not Used",0,IF(AM72="Decommissioning",I72,IF(AT72="LED Tube",N72*O72,O72)))</f>
        <v>0</v>
      </c>
      <c r="AS72" s="511" t="str">
        <f>IF(OR(Measures!AM72="Row Not Used",Measures!C72="Controls Only",Measures!C72="Decommissioning"),"",_xlfn.CONCAT(P72," ",Q72))</f>
        <v/>
      </c>
      <c r="AT72" s="264" t="str">
        <f t="shared" ref="AT72:AT135" si="41">IF(OR(AM72="Row Not Used",AM72="Controls Only"),"None",IF(K72="Tube","LED Tube",IF(K72="Exit Sign","LED Exit Sign",IF(RateClassField="Small General (B)","Standard B",IF(RateClassField="General (G)","Standard G",IF(RateClassField="High Voltage (HVG)","Standard HVG","Error"))))))</f>
        <v>None</v>
      </c>
      <c r="AU72" s="229">
        <f>IF(OR(AM72="Row Not Used",AM72="Controls Only"),0,INDEX(IncentiveRateTable[Incentive Rate],MATCH(AT72,IncentiveRateTable[Incentive Name],0)))</f>
        <v>0</v>
      </c>
      <c r="AV72" s="133" t="str">
        <f>IF(OR(AM72="Row Not Used",AM72="Controls Only"),"None",INDEX(IncentiveRateTable[Incentive Unit],MATCH(AT72,IncentiveRateTable[Incentive Name],0)))</f>
        <v>None</v>
      </c>
      <c r="AW72" s="578">
        <f t="shared" si="24"/>
        <v>0</v>
      </c>
      <c r="AX72" s="264" t="str">
        <f t="shared" ref="AX72:AX135" si="42">IF(OR(AM72="Row Not Used",AM72="Fixtures Only",AM72="Decommissioning"),"None",IF(RateClassField="Small General (B)","Standard B",IF(RateClassField="General (G)","Standard G",IF(RateClassField="High Voltage (HVG)","Standard HVG","Error"))))</f>
        <v>None</v>
      </c>
      <c r="AY72" s="229">
        <f>IF(OR(AM72="Row Not Used",AM72="Fixtures Only",AM72="Decommissioning"),0,INDEX(IncentiveRateTable[Incentive Rate],MATCH(AX72,IncentiveRateTable[Incentive Name],0)))</f>
        <v>0</v>
      </c>
      <c r="AZ72" s="133" t="str">
        <f>IF(OR(AM72="Row Not Used",AM72="Fixtures Only",AM72="Decommissioning"),"None",INDEX(IncentiveRateTable[Incentive Unit],MATCH(AX72,IncentiveRateTable[Incentive Name],0)))</f>
        <v>None</v>
      </c>
      <c r="BA72" s="465">
        <f t="shared" ref="BA72:BA135" si="43">IF(OR(AM72="Row Not Used",AM72="Decommissioning",AM72="Fixtures Only"),0,IF(AM72="Controls Only",IF(R72="Multi-function",AH72*U72*T72,AH72*U72),IF(R72="Multi-function",AJ72*U72*T72,AJ72*U72)))</f>
        <v>0</v>
      </c>
      <c r="BB72" s="264" t="e" cm="1">
        <f t="array" ref="BB72">INDEX(BallastFactorTable[Commercial BPA Reference Number],MATCH(1,(BallastFactorTable[Fixture Class]=J72)*(BallastFactorTable[Fixture Category]=K72)*(BallastFactorTable[Fixture Sub-category]=L72),0))</f>
        <v>#N/A</v>
      </c>
      <c r="BC72" s="133" t="e" cm="1">
        <f t="array" ref="BC72">INDEX(BallastFactorTable[Industrial BPA Reference Number],MATCH(1,(BallastFactorTable[Fixture Class]=J72)*(BallastFactorTable[Fixture Category]=K72)*(BallastFactorTable[Fixture Sub-category]=L72),0))</f>
        <v>#N/A</v>
      </c>
      <c r="BD72" s="264" t="str">
        <f t="shared" ref="BD72:BD135" si="44">IF(ISBLANK(SectorField),"Sector is blank",IF(OR(AM72="Row Not Used",AM72="Controls Only"),"",IF(AM72="Decommissioning","Not Reported to BPA",IF(SectorField="Commercial",BB72,IF(SectorField="Industrial",BC72,"Unknown")))))</f>
        <v>Sector is blank</v>
      </c>
      <c r="BE72" s="269" t="str">
        <f>IF(ISBLANK(SectorField),"Sector is blank",IF(AM72="Row Not Used","",IF(OR(R72="No Controls",ISBLANK(R72)),"",INDEX(ControlsBPARefNoTable[Reference Number],MATCH(SectorField,ControlsBPARefNoTable[Sector],0)))))</f>
        <v>Sector is blank</v>
      </c>
      <c r="BF72" s="530" t="str">
        <f t="shared" ref="BF72:BF135" si="45">IF(AM72="Row Not Used","",COUNTA(D72:I72)=$BF$6)</f>
        <v/>
      </c>
      <c r="BG72" s="132" t="str">
        <f t="shared" ref="BG72:BG135" si="46">IF(AM72="Row Not Used","",IF(OR(AM72="Controls Only",AM72="Decommissioning"),TRUE,COUNTA(J72:Q72)=$BG$6))</f>
        <v/>
      </c>
      <c r="BH72" s="531" t="str">
        <f t="shared" ref="BH72:BH135" si="47">IF(AM72="Row Not Used","",IF(OR(AM72="Fixtures Only",AM72="Decommissioning"),TRUE,IF(R72="Multi-function",COUNTA(R72:T72)=$BH$6,COUNTA(R72:T72)=$BH$6-1)))</f>
        <v/>
      </c>
      <c r="BI72" s="532"/>
      <c r="BJ72" s="538" t="str">
        <f t="shared" si="25"/>
        <v/>
      </c>
      <c r="BK72" s="539" t="str">
        <f t="shared" si="26"/>
        <v/>
      </c>
      <c r="BL72" s="547" t="str">
        <f t="shared" si="27"/>
        <v/>
      </c>
    </row>
    <row r="73" spans="1:64" x14ac:dyDescent="0.3">
      <c r="A73" s="133">
        <v>66</v>
      </c>
      <c r="B73" s="294"/>
      <c r="C73" s="313"/>
      <c r="D73" s="292"/>
      <c r="E73" s="284"/>
      <c r="F73" s="284"/>
      <c r="G73" s="295"/>
      <c r="H73" s="296"/>
      <c r="I73" s="297"/>
      <c r="J73" s="292"/>
      <c r="K73" s="284"/>
      <c r="L73" s="284"/>
      <c r="M73" s="295"/>
      <c r="N73" s="296"/>
      <c r="O73" s="296"/>
      <c r="P73" s="284"/>
      <c r="Q73" s="298"/>
      <c r="R73" s="292"/>
      <c r="S73" s="299"/>
      <c r="T73" s="300"/>
      <c r="U73" s="317" t="str">
        <f t="shared" si="29"/>
        <v/>
      </c>
      <c r="V73" s="301"/>
      <c r="W73" s="136" t="str">
        <f t="shared" si="30"/>
        <v/>
      </c>
      <c r="X73" s="588" t="str">
        <f t="shared" ref="X73:X136" si="48">IF(AM73="Row Not Used","",IFERROR(ROUND(W73/AH73,2),0))</f>
        <v/>
      </c>
      <c r="Y73" s="580"/>
      <c r="Z73" s="251" t="str">
        <f t="shared" si="31"/>
        <v/>
      </c>
      <c r="AA73" s="138" t="str">
        <f t="shared" si="28"/>
        <v/>
      </c>
      <c r="AB73" s="243" t="str">
        <f t="shared" ref="AB73:AB136" si="49">IF(AV73="None","",AW73)</f>
        <v/>
      </c>
      <c r="AC73" s="141" t="str">
        <f t="shared" si="32"/>
        <v/>
      </c>
      <c r="AD73" s="138" t="str">
        <f t="shared" ref="AD73:AD136" si="50">IF(OR(AM73="Row Not Used",AM73="Fixtures Only",AM73="Decommissioning"),"",IFERROR(ROUND(AC73/AH73,2),0))</f>
        <v/>
      </c>
      <c r="AE73" s="243" t="str">
        <f t="shared" si="33"/>
        <v/>
      </c>
      <c r="AF73" s="342" t="str">
        <f>IF(AM73="Row Not Used","",INDEX(SpaceTable[Annual Hours],(MATCH(B73,SpaceTable[Space Name Concatenated Helper],0))))</f>
        <v/>
      </c>
      <c r="AG73" s="205" t="str">
        <f t="shared" si="34"/>
        <v/>
      </c>
      <c r="AH73" s="234" t="str">
        <f t="shared" si="35"/>
        <v/>
      </c>
      <c r="AI73" s="205" t="str">
        <f t="shared" si="36"/>
        <v/>
      </c>
      <c r="AJ73" s="234" t="str">
        <f t="shared" si="37"/>
        <v/>
      </c>
      <c r="AK73" s="144" t="str">
        <f>IF(AM73="Row Not Used","",INDEX(SpaceTable[Row],(MATCH(B73,SpaceTable[Space Name Concatenated Helper],0))))</f>
        <v/>
      </c>
      <c r="AL73" s="238" t="str">
        <f>IF(AM73="Row Not Used","",INDEX(SpaceTable[HVAC Factor],(MATCH(B73,SpaceTable[Space Name Concatenated Helper],0))))</f>
        <v/>
      </c>
      <c r="AM73" s="520" t="str">
        <f t="shared" si="38"/>
        <v>Row Not Used</v>
      </c>
      <c r="AN73" s="512" t="e" cm="1">
        <f t="array" ref="AN73">INDEX(BallastFactorTable[Ballast Factor],MATCH(1,(BallastFactorTable[Fixture Class]=D73)*(BallastFactorTable[Fixture Category]=E73)*(BallastFactorTable[Fixture Sub-category]=F73),0))</f>
        <v>#N/A</v>
      </c>
      <c r="AO73" s="143" t="str">
        <f t="shared" ref="AO73:AO136" si="51">IF(AM73="Row Not Used","",IFERROR(AN73,0))</f>
        <v/>
      </c>
      <c r="AP73" s="501" t="e" cm="1">
        <f t="array" ref="AP73">INDEX(BallastFactorTable[Wattage Range Name],MATCH(1,(BallastFactorTable[Fixture Class]=D73)*(BallastFactorTable[Fixture Category]=E73)*(BallastFactorTable[Fixture Sub-category]=F73),0))</f>
        <v>#N/A</v>
      </c>
      <c r="AQ73" s="515" t="str">
        <f t="shared" ca="1" si="39"/>
        <v>Okay</v>
      </c>
      <c r="AR73" s="512">
        <f t="shared" si="40"/>
        <v>0</v>
      </c>
      <c r="AS73" s="511" t="str">
        <f>IF(OR(Measures!AM73="Row Not Used",Measures!C73="Controls Only",Measures!C73="Decommissioning"),"",_xlfn.CONCAT(P73," ",Q73))</f>
        <v/>
      </c>
      <c r="AT73" s="264" t="str">
        <f t="shared" si="41"/>
        <v>None</v>
      </c>
      <c r="AU73" s="229">
        <f>IF(OR(AM73="Row Not Used",AM73="Controls Only"),0,INDEX(IncentiveRateTable[Incentive Rate],MATCH(AT73,IncentiveRateTable[Incentive Name],0)))</f>
        <v>0</v>
      </c>
      <c r="AV73" s="133" t="str">
        <f>IF(OR(AM73="Row Not Used",AM73="Controls Only"),"None",INDEX(IncentiveRateTable[Incentive Unit],MATCH(AT73,IncentiveRateTable[Incentive Name],0)))</f>
        <v>None</v>
      </c>
      <c r="AW73" s="578">
        <f t="shared" ref="AW73:AW136" si="52">IF(AV73="None",0,IF(AND(OR(AV73="Per Tube",AV73="Per Fixture"),Z73=0),0,IF(AV73="Per kWh Saved",ROUND(AU73*Z73,2),IF(AND(AV73="Per Tube",Z73&lt;0),-ROUND(AU73*N73*O73,2),IF(AV73="Per Tube",ROUND(AU73*N73*O73,2),IF(AND(AV73="Per Fixture",Z73&lt;0),-ROUND(AU73*O73,2),IF(AV73="Per Fixture",ROUND(AU73*O73,2),0)))))))</f>
        <v>0</v>
      </c>
      <c r="AX73" s="264" t="str">
        <f t="shared" si="42"/>
        <v>None</v>
      </c>
      <c r="AY73" s="229">
        <f>IF(OR(AM73="Row Not Used",AM73="Fixtures Only",AM73="Decommissioning"),0,INDEX(IncentiveRateTable[Incentive Rate],MATCH(AX73,IncentiveRateTable[Incentive Name],0)))</f>
        <v>0</v>
      </c>
      <c r="AZ73" s="133" t="str">
        <f>IF(OR(AM73="Row Not Used",AM73="Fixtures Only",AM73="Decommissioning"),"None",INDEX(IncentiveRateTable[Incentive Unit],MATCH(AX73,IncentiveRateTable[Incentive Name],0)))</f>
        <v>None</v>
      </c>
      <c r="BA73" s="465">
        <f t="shared" si="43"/>
        <v>0</v>
      </c>
      <c r="BB73" s="264" t="e" cm="1">
        <f t="array" ref="BB73">INDEX(BallastFactorTable[Commercial BPA Reference Number],MATCH(1,(BallastFactorTable[Fixture Class]=J73)*(BallastFactorTable[Fixture Category]=K73)*(BallastFactorTable[Fixture Sub-category]=L73),0))</f>
        <v>#N/A</v>
      </c>
      <c r="BC73" s="133" t="e" cm="1">
        <f t="array" ref="BC73">INDEX(BallastFactorTable[Industrial BPA Reference Number],MATCH(1,(BallastFactorTable[Fixture Class]=J73)*(BallastFactorTable[Fixture Category]=K73)*(BallastFactorTable[Fixture Sub-category]=L73),0))</f>
        <v>#N/A</v>
      </c>
      <c r="BD73" s="264" t="str">
        <f t="shared" si="44"/>
        <v>Sector is blank</v>
      </c>
      <c r="BE73" s="269" t="str">
        <f>IF(ISBLANK(SectorField),"Sector is blank",IF(AM73="Row Not Used","",IF(OR(R73="No Controls",ISBLANK(R73)),"",INDEX(ControlsBPARefNoTable[Reference Number],MATCH(SectorField,ControlsBPARefNoTable[Sector],0)))))</f>
        <v>Sector is blank</v>
      </c>
      <c r="BF73" s="530" t="str">
        <f t="shared" si="45"/>
        <v/>
      </c>
      <c r="BG73" s="132" t="str">
        <f t="shared" si="46"/>
        <v/>
      </c>
      <c r="BH73" s="531" t="str">
        <f t="shared" si="47"/>
        <v/>
      </c>
      <c r="BI73" s="532"/>
      <c r="BJ73" s="538" t="str">
        <f t="shared" ref="BJ73:BJ136" si="53">IF(LEN(BF73)=0,"",IF(BF73=FALSE,"Missing info","Okay"))</f>
        <v/>
      </c>
      <c r="BK73" s="539" t="str">
        <f t="shared" ref="BK73:BK136" si="54">IF(LEN(BG73)=0,"",IF(BG73=FALSE,"Missing info","Okay"))</f>
        <v/>
      </c>
      <c r="BL73" s="547" t="str">
        <f t="shared" ref="BL73:BL136" si="55">IF(LEN(BH73)=0,"",IF(BH73=FALSE,"Missing info","Okay"))</f>
        <v/>
      </c>
    </row>
    <row r="74" spans="1:64" x14ac:dyDescent="0.3">
      <c r="A74" s="133">
        <v>67</v>
      </c>
      <c r="B74" s="294"/>
      <c r="C74" s="313"/>
      <c r="D74" s="292"/>
      <c r="E74" s="284"/>
      <c r="F74" s="284"/>
      <c r="G74" s="295"/>
      <c r="H74" s="296"/>
      <c r="I74" s="297"/>
      <c r="J74" s="292"/>
      <c r="K74" s="284"/>
      <c r="L74" s="284"/>
      <c r="M74" s="295"/>
      <c r="N74" s="296"/>
      <c r="O74" s="296"/>
      <c r="P74" s="284"/>
      <c r="Q74" s="298"/>
      <c r="R74" s="292"/>
      <c r="S74" s="299"/>
      <c r="T74" s="300"/>
      <c r="U74" s="317" t="str">
        <f t="shared" si="29"/>
        <v/>
      </c>
      <c r="V74" s="301"/>
      <c r="W74" s="137" t="str">
        <f t="shared" si="30"/>
        <v/>
      </c>
      <c r="X74" s="589" t="str">
        <f t="shared" si="48"/>
        <v/>
      </c>
      <c r="Y74" s="581"/>
      <c r="Z74" s="251" t="str">
        <f t="shared" si="31"/>
        <v/>
      </c>
      <c r="AA74" s="138" t="str">
        <f t="shared" ref="AA74:AA137" si="56">IF(OR(AM74="Row Not Used",AM74="Controls Only"),"",IFERROR(ROUND(Z74/AH74,2),0))</f>
        <v/>
      </c>
      <c r="AB74" s="243" t="str">
        <f t="shared" si="49"/>
        <v/>
      </c>
      <c r="AC74" s="141" t="str">
        <f t="shared" si="32"/>
        <v/>
      </c>
      <c r="AD74" s="138" t="str">
        <f t="shared" si="50"/>
        <v/>
      </c>
      <c r="AE74" s="243" t="str">
        <f t="shared" si="33"/>
        <v/>
      </c>
      <c r="AF74" s="342" t="str">
        <f>IF(AM74="Row Not Used","",INDEX(SpaceTable[Annual Hours],(MATCH(B74,SpaceTable[Space Name Concatenated Helper],0))))</f>
        <v/>
      </c>
      <c r="AG74" s="205" t="str">
        <f t="shared" si="34"/>
        <v/>
      </c>
      <c r="AH74" s="234" t="str">
        <f t="shared" si="35"/>
        <v/>
      </c>
      <c r="AI74" s="205" t="str">
        <f t="shared" si="36"/>
        <v/>
      </c>
      <c r="AJ74" s="234" t="str">
        <f t="shared" si="37"/>
        <v/>
      </c>
      <c r="AK74" s="144" t="str">
        <f>IF(AM74="Row Not Used","",INDEX(SpaceTable[Row],(MATCH(B74,SpaceTable[Space Name Concatenated Helper],0))))</f>
        <v/>
      </c>
      <c r="AL74" s="238" t="str">
        <f>IF(AM74="Row Not Used","",INDEX(SpaceTable[HVAC Factor],(MATCH(B74,SpaceTable[Space Name Concatenated Helper],0))))</f>
        <v/>
      </c>
      <c r="AM74" s="520" t="str">
        <f t="shared" si="38"/>
        <v>Row Not Used</v>
      </c>
      <c r="AN74" s="512" t="e" cm="1">
        <f t="array" ref="AN74">INDEX(BallastFactorTable[Ballast Factor],MATCH(1,(BallastFactorTable[Fixture Class]=D74)*(BallastFactorTable[Fixture Category]=E74)*(BallastFactorTable[Fixture Sub-category]=F74),0))</f>
        <v>#N/A</v>
      </c>
      <c r="AO74" s="143" t="str">
        <f t="shared" si="51"/>
        <v/>
      </c>
      <c r="AP74" s="501" t="e" cm="1">
        <f t="array" ref="AP74">INDEX(BallastFactorTable[Wattage Range Name],MATCH(1,(BallastFactorTable[Fixture Class]=D74)*(BallastFactorTable[Fixture Category]=E74)*(BallastFactorTable[Fixture Sub-category]=F74),0))</f>
        <v>#N/A</v>
      </c>
      <c r="AQ74" s="515" t="str">
        <f t="shared" ca="1" si="39"/>
        <v>Okay</v>
      </c>
      <c r="AR74" s="512">
        <f t="shared" si="40"/>
        <v>0</v>
      </c>
      <c r="AS74" s="511" t="str">
        <f>IF(OR(Measures!AM74="Row Not Used",Measures!C74="Controls Only",Measures!C74="Decommissioning"),"",_xlfn.CONCAT(P74," ",Q74))</f>
        <v/>
      </c>
      <c r="AT74" s="264" t="str">
        <f t="shared" si="41"/>
        <v>None</v>
      </c>
      <c r="AU74" s="229">
        <f>IF(OR(AM74="Row Not Used",AM74="Controls Only"),0,INDEX(IncentiveRateTable[Incentive Rate],MATCH(AT74,IncentiveRateTable[Incentive Name],0)))</f>
        <v>0</v>
      </c>
      <c r="AV74" s="133" t="str">
        <f>IF(OR(AM74="Row Not Used",AM74="Controls Only"),"None",INDEX(IncentiveRateTable[Incentive Unit],MATCH(AT74,IncentiveRateTable[Incentive Name],0)))</f>
        <v>None</v>
      </c>
      <c r="AW74" s="578">
        <f t="shared" si="52"/>
        <v>0</v>
      </c>
      <c r="AX74" s="264" t="str">
        <f t="shared" si="42"/>
        <v>None</v>
      </c>
      <c r="AY74" s="229">
        <f>IF(OR(AM74="Row Not Used",AM74="Fixtures Only",AM74="Decommissioning"),0,INDEX(IncentiveRateTable[Incentive Rate],MATCH(AX74,IncentiveRateTable[Incentive Name],0)))</f>
        <v>0</v>
      </c>
      <c r="AZ74" s="133" t="str">
        <f>IF(OR(AM74="Row Not Used",AM74="Fixtures Only",AM74="Decommissioning"),"None",INDEX(IncentiveRateTable[Incentive Unit],MATCH(AX74,IncentiveRateTable[Incentive Name],0)))</f>
        <v>None</v>
      </c>
      <c r="BA74" s="465">
        <f t="shared" si="43"/>
        <v>0</v>
      </c>
      <c r="BB74" s="264" t="e" cm="1">
        <f t="array" ref="BB74">INDEX(BallastFactorTable[Commercial BPA Reference Number],MATCH(1,(BallastFactorTable[Fixture Class]=J74)*(BallastFactorTable[Fixture Category]=K74)*(BallastFactorTable[Fixture Sub-category]=L74),0))</f>
        <v>#N/A</v>
      </c>
      <c r="BC74" s="133" t="e" cm="1">
        <f t="array" ref="BC74">INDEX(BallastFactorTable[Industrial BPA Reference Number],MATCH(1,(BallastFactorTable[Fixture Class]=J74)*(BallastFactorTable[Fixture Category]=K74)*(BallastFactorTable[Fixture Sub-category]=L74),0))</f>
        <v>#N/A</v>
      </c>
      <c r="BD74" s="264" t="str">
        <f t="shared" si="44"/>
        <v>Sector is blank</v>
      </c>
      <c r="BE74" s="269" t="str">
        <f>IF(ISBLANK(SectorField),"Sector is blank",IF(AM74="Row Not Used","",IF(OR(R74="No Controls",ISBLANK(R74)),"",INDEX(ControlsBPARefNoTable[Reference Number],MATCH(SectorField,ControlsBPARefNoTable[Sector],0)))))</f>
        <v>Sector is blank</v>
      </c>
      <c r="BF74" s="530" t="str">
        <f t="shared" si="45"/>
        <v/>
      </c>
      <c r="BG74" s="132" t="str">
        <f t="shared" si="46"/>
        <v/>
      </c>
      <c r="BH74" s="531" t="str">
        <f t="shared" si="47"/>
        <v/>
      </c>
      <c r="BI74" s="532"/>
      <c r="BJ74" s="538" t="str">
        <f t="shared" si="53"/>
        <v/>
      </c>
      <c r="BK74" s="539" t="str">
        <f t="shared" si="54"/>
        <v/>
      </c>
      <c r="BL74" s="547" t="str">
        <f t="shared" si="55"/>
        <v/>
      </c>
    </row>
    <row r="75" spans="1:64" x14ac:dyDescent="0.3">
      <c r="A75" s="133">
        <v>68</v>
      </c>
      <c r="B75" s="294"/>
      <c r="C75" s="313"/>
      <c r="D75" s="292"/>
      <c r="E75" s="284"/>
      <c r="F75" s="284"/>
      <c r="G75" s="295"/>
      <c r="H75" s="296"/>
      <c r="I75" s="297"/>
      <c r="J75" s="292"/>
      <c r="K75" s="284"/>
      <c r="L75" s="284"/>
      <c r="M75" s="295"/>
      <c r="N75" s="296"/>
      <c r="O75" s="296"/>
      <c r="P75" s="284"/>
      <c r="Q75" s="298"/>
      <c r="R75" s="292"/>
      <c r="S75" s="299"/>
      <c r="T75" s="300"/>
      <c r="U75" s="317" t="str">
        <f t="shared" si="29"/>
        <v/>
      </c>
      <c r="V75" s="301"/>
      <c r="W75" s="136" t="str">
        <f t="shared" si="30"/>
        <v/>
      </c>
      <c r="X75" s="588" t="str">
        <f t="shared" si="48"/>
        <v/>
      </c>
      <c r="Y75" s="580"/>
      <c r="Z75" s="251" t="str">
        <f t="shared" si="31"/>
        <v/>
      </c>
      <c r="AA75" s="138" t="str">
        <f t="shared" si="56"/>
        <v/>
      </c>
      <c r="AB75" s="243" t="str">
        <f t="shared" si="49"/>
        <v/>
      </c>
      <c r="AC75" s="141" t="str">
        <f t="shared" si="32"/>
        <v/>
      </c>
      <c r="AD75" s="138" t="str">
        <f t="shared" si="50"/>
        <v/>
      </c>
      <c r="AE75" s="243" t="str">
        <f t="shared" si="33"/>
        <v/>
      </c>
      <c r="AF75" s="342" t="str">
        <f>IF(AM75="Row Not Used","",INDEX(SpaceTable[Annual Hours],(MATCH(B75,SpaceTable[Space Name Concatenated Helper],0))))</f>
        <v/>
      </c>
      <c r="AG75" s="205" t="str">
        <f t="shared" si="34"/>
        <v/>
      </c>
      <c r="AH75" s="234" t="str">
        <f t="shared" si="35"/>
        <v/>
      </c>
      <c r="AI75" s="205" t="str">
        <f t="shared" si="36"/>
        <v/>
      </c>
      <c r="AJ75" s="234" t="str">
        <f t="shared" si="37"/>
        <v/>
      </c>
      <c r="AK75" s="144" t="str">
        <f>IF(AM75="Row Not Used","",INDEX(SpaceTable[Row],(MATCH(B75,SpaceTable[Space Name Concatenated Helper],0))))</f>
        <v/>
      </c>
      <c r="AL75" s="238" t="str">
        <f>IF(AM75="Row Not Used","",INDEX(SpaceTable[HVAC Factor],(MATCH(B75,SpaceTable[Space Name Concatenated Helper],0))))</f>
        <v/>
      </c>
      <c r="AM75" s="520" t="str">
        <f t="shared" si="38"/>
        <v>Row Not Used</v>
      </c>
      <c r="AN75" s="512" t="e" cm="1">
        <f t="array" ref="AN75">INDEX(BallastFactorTable[Ballast Factor],MATCH(1,(BallastFactorTable[Fixture Class]=D75)*(BallastFactorTable[Fixture Category]=E75)*(BallastFactorTable[Fixture Sub-category]=F75),0))</f>
        <v>#N/A</v>
      </c>
      <c r="AO75" s="143" t="str">
        <f t="shared" si="51"/>
        <v/>
      </c>
      <c r="AP75" s="501" t="e" cm="1">
        <f t="array" ref="AP75">INDEX(BallastFactorTable[Wattage Range Name],MATCH(1,(BallastFactorTable[Fixture Class]=D75)*(BallastFactorTable[Fixture Category]=E75)*(BallastFactorTable[Fixture Sub-category]=F75),0))</f>
        <v>#N/A</v>
      </c>
      <c r="AQ75" s="515" t="str">
        <f t="shared" ca="1" si="39"/>
        <v>Okay</v>
      </c>
      <c r="AR75" s="512">
        <f t="shared" si="40"/>
        <v>0</v>
      </c>
      <c r="AS75" s="511" t="str">
        <f>IF(OR(Measures!AM75="Row Not Used",Measures!C75="Controls Only",Measures!C75="Decommissioning"),"",_xlfn.CONCAT(P75," ",Q75))</f>
        <v/>
      </c>
      <c r="AT75" s="264" t="str">
        <f t="shared" si="41"/>
        <v>None</v>
      </c>
      <c r="AU75" s="229">
        <f>IF(OR(AM75="Row Not Used",AM75="Controls Only"),0,INDEX(IncentiveRateTable[Incentive Rate],MATCH(AT75,IncentiveRateTable[Incentive Name],0)))</f>
        <v>0</v>
      </c>
      <c r="AV75" s="133" t="str">
        <f>IF(OR(AM75="Row Not Used",AM75="Controls Only"),"None",INDEX(IncentiveRateTable[Incentive Unit],MATCH(AT75,IncentiveRateTable[Incentive Name],0)))</f>
        <v>None</v>
      </c>
      <c r="AW75" s="578">
        <f t="shared" si="52"/>
        <v>0</v>
      </c>
      <c r="AX75" s="264" t="str">
        <f t="shared" si="42"/>
        <v>None</v>
      </c>
      <c r="AY75" s="229">
        <f>IF(OR(AM75="Row Not Used",AM75="Fixtures Only",AM75="Decommissioning"),0,INDEX(IncentiveRateTable[Incentive Rate],MATCH(AX75,IncentiveRateTable[Incentive Name],0)))</f>
        <v>0</v>
      </c>
      <c r="AZ75" s="133" t="str">
        <f>IF(OR(AM75="Row Not Used",AM75="Fixtures Only",AM75="Decommissioning"),"None",INDEX(IncentiveRateTable[Incentive Unit],MATCH(AX75,IncentiveRateTable[Incentive Name],0)))</f>
        <v>None</v>
      </c>
      <c r="BA75" s="465">
        <f t="shared" si="43"/>
        <v>0</v>
      </c>
      <c r="BB75" s="264" t="e" cm="1">
        <f t="array" ref="BB75">INDEX(BallastFactorTable[Commercial BPA Reference Number],MATCH(1,(BallastFactorTable[Fixture Class]=J75)*(BallastFactorTable[Fixture Category]=K75)*(BallastFactorTable[Fixture Sub-category]=L75),0))</f>
        <v>#N/A</v>
      </c>
      <c r="BC75" s="133" t="e" cm="1">
        <f t="array" ref="BC75">INDEX(BallastFactorTable[Industrial BPA Reference Number],MATCH(1,(BallastFactorTable[Fixture Class]=J75)*(BallastFactorTable[Fixture Category]=K75)*(BallastFactorTable[Fixture Sub-category]=L75),0))</f>
        <v>#N/A</v>
      </c>
      <c r="BD75" s="264" t="str">
        <f t="shared" si="44"/>
        <v>Sector is blank</v>
      </c>
      <c r="BE75" s="269" t="str">
        <f>IF(ISBLANK(SectorField),"Sector is blank",IF(AM75="Row Not Used","",IF(OR(R75="No Controls",ISBLANK(R75)),"",INDEX(ControlsBPARefNoTable[Reference Number],MATCH(SectorField,ControlsBPARefNoTable[Sector],0)))))</f>
        <v>Sector is blank</v>
      </c>
      <c r="BF75" s="530" t="str">
        <f t="shared" si="45"/>
        <v/>
      </c>
      <c r="BG75" s="132" t="str">
        <f t="shared" si="46"/>
        <v/>
      </c>
      <c r="BH75" s="531" t="str">
        <f t="shared" si="47"/>
        <v/>
      </c>
      <c r="BI75" s="532"/>
      <c r="BJ75" s="538" t="str">
        <f t="shared" si="53"/>
        <v/>
      </c>
      <c r="BK75" s="539" t="str">
        <f t="shared" si="54"/>
        <v/>
      </c>
      <c r="BL75" s="547" t="str">
        <f t="shared" si="55"/>
        <v/>
      </c>
    </row>
    <row r="76" spans="1:64" x14ac:dyDescent="0.3">
      <c r="A76" s="133">
        <v>69</v>
      </c>
      <c r="B76" s="294"/>
      <c r="C76" s="313"/>
      <c r="D76" s="292"/>
      <c r="E76" s="284"/>
      <c r="F76" s="284"/>
      <c r="G76" s="295"/>
      <c r="H76" s="296"/>
      <c r="I76" s="297"/>
      <c r="J76" s="292"/>
      <c r="K76" s="284"/>
      <c r="L76" s="284"/>
      <c r="M76" s="295"/>
      <c r="N76" s="296"/>
      <c r="O76" s="296"/>
      <c r="P76" s="284"/>
      <c r="Q76" s="298"/>
      <c r="R76" s="292"/>
      <c r="S76" s="299"/>
      <c r="T76" s="300"/>
      <c r="U76" s="317" t="str">
        <f t="shared" si="29"/>
        <v/>
      </c>
      <c r="V76" s="301"/>
      <c r="W76" s="137" t="str">
        <f t="shared" si="30"/>
        <v/>
      </c>
      <c r="X76" s="589" t="str">
        <f t="shared" si="48"/>
        <v/>
      </c>
      <c r="Y76" s="581"/>
      <c r="Z76" s="251" t="str">
        <f t="shared" si="31"/>
        <v/>
      </c>
      <c r="AA76" s="138" t="str">
        <f t="shared" si="56"/>
        <v/>
      </c>
      <c r="AB76" s="243" t="str">
        <f t="shared" si="49"/>
        <v/>
      </c>
      <c r="AC76" s="141" t="str">
        <f t="shared" si="32"/>
        <v/>
      </c>
      <c r="AD76" s="138" t="str">
        <f t="shared" si="50"/>
        <v/>
      </c>
      <c r="AE76" s="243" t="str">
        <f t="shared" si="33"/>
        <v/>
      </c>
      <c r="AF76" s="342" t="str">
        <f>IF(AM76="Row Not Used","",INDEX(SpaceTable[Annual Hours],(MATCH(B76,SpaceTable[Space Name Concatenated Helper],0))))</f>
        <v/>
      </c>
      <c r="AG76" s="205" t="str">
        <f t="shared" si="34"/>
        <v/>
      </c>
      <c r="AH76" s="234" t="str">
        <f t="shared" si="35"/>
        <v/>
      </c>
      <c r="AI76" s="205" t="str">
        <f t="shared" si="36"/>
        <v/>
      </c>
      <c r="AJ76" s="234" t="str">
        <f t="shared" si="37"/>
        <v/>
      </c>
      <c r="AK76" s="144" t="str">
        <f>IF(AM76="Row Not Used","",INDEX(SpaceTable[Row],(MATCH(B76,SpaceTable[Space Name Concatenated Helper],0))))</f>
        <v/>
      </c>
      <c r="AL76" s="238" t="str">
        <f>IF(AM76="Row Not Used","",INDEX(SpaceTable[HVAC Factor],(MATCH(B76,SpaceTable[Space Name Concatenated Helper],0))))</f>
        <v/>
      </c>
      <c r="AM76" s="520" t="str">
        <f t="shared" si="38"/>
        <v>Row Not Used</v>
      </c>
      <c r="AN76" s="512" t="e" cm="1">
        <f t="array" ref="AN76">INDEX(BallastFactorTable[Ballast Factor],MATCH(1,(BallastFactorTable[Fixture Class]=D76)*(BallastFactorTable[Fixture Category]=E76)*(BallastFactorTable[Fixture Sub-category]=F76),0))</f>
        <v>#N/A</v>
      </c>
      <c r="AO76" s="143" t="str">
        <f t="shared" si="51"/>
        <v/>
      </c>
      <c r="AP76" s="501" t="e" cm="1">
        <f t="array" ref="AP76">INDEX(BallastFactorTable[Wattage Range Name],MATCH(1,(BallastFactorTable[Fixture Class]=D76)*(BallastFactorTable[Fixture Category]=E76)*(BallastFactorTable[Fixture Sub-category]=F76),0))</f>
        <v>#N/A</v>
      </c>
      <c r="AQ76" s="515" t="str">
        <f t="shared" ca="1" si="39"/>
        <v>Okay</v>
      </c>
      <c r="AR76" s="512">
        <f t="shared" si="40"/>
        <v>0</v>
      </c>
      <c r="AS76" s="511" t="str">
        <f>IF(OR(Measures!AM76="Row Not Used",Measures!C76="Controls Only",Measures!C76="Decommissioning"),"",_xlfn.CONCAT(P76," ",Q76))</f>
        <v/>
      </c>
      <c r="AT76" s="264" t="str">
        <f t="shared" si="41"/>
        <v>None</v>
      </c>
      <c r="AU76" s="229">
        <f>IF(OR(AM76="Row Not Used",AM76="Controls Only"),0,INDEX(IncentiveRateTable[Incentive Rate],MATCH(AT76,IncentiveRateTable[Incentive Name],0)))</f>
        <v>0</v>
      </c>
      <c r="AV76" s="133" t="str">
        <f>IF(OR(AM76="Row Not Used",AM76="Controls Only"),"None",INDEX(IncentiveRateTable[Incentive Unit],MATCH(AT76,IncentiveRateTable[Incentive Name],0)))</f>
        <v>None</v>
      </c>
      <c r="AW76" s="578">
        <f t="shared" si="52"/>
        <v>0</v>
      </c>
      <c r="AX76" s="264" t="str">
        <f t="shared" si="42"/>
        <v>None</v>
      </c>
      <c r="AY76" s="229">
        <f>IF(OR(AM76="Row Not Used",AM76="Fixtures Only",AM76="Decommissioning"),0,INDEX(IncentiveRateTable[Incentive Rate],MATCH(AX76,IncentiveRateTable[Incentive Name],0)))</f>
        <v>0</v>
      </c>
      <c r="AZ76" s="133" t="str">
        <f>IF(OR(AM76="Row Not Used",AM76="Fixtures Only",AM76="Decommissioning"),"None",INDEX(IncentiveRateTable[Incentive Unit],MATCH(AX76,IncentiveRateTable[Incentive Name],0)))</f>
        <v>None</v>
      </c>
      <c r="BA76" s="465">
        <f t="shared" si="43"/>
        <v>0</v>
      </c>
      <c r="BB76" s="264" t="e" cm="1">
        <f t="array" ref="BB76">INDEX(BallastFactorTable[Commercial BPA Reference Number],MATCH(1,(BallastFactorTable[Fixture Class]=J76)*(BallastFactorTable[Fixture Category]=K76)*(BallastFactorTable[Fixture Sub-category]=L76),0))</f>
        <v>#N/A</v>
      </c>
      <c r="BC76" s="133" t="e" cm="1">
        <f t="array" ref="BC76">INDEX(BallastFactorTable[Industrial BPA Reference Number],MATCH(1,(BallastFactorTable[Fixture Class]=J76)*(BallastFactorTable[Fixture Category]=K76)*(BallastFactorTable[Fixture Sub-category]=L76),0))</f>
        <v>#N/A</v>
      </c>
      <c r="BD76" s="264" t="str">
        <f t="shared" si="44"/>
        <v>Sector is blank</v>
      </c>
      <c r="BE76" s="269" t="str">
        <f>IF(ISBLANK(SectorField),"Sector is blank",IF(AM76="Row Not Used","",IF(OR(R76="No Controls",ISBLANK(R76)),"",INDEX(ControlsBPARefNoTable[Reference Number],MATCH(SectorField,ControlsBPARefNoTable[Sector],0)))))</f>
        <v>Sector is blank</v>
      </c>
      <c r="BF76" s="530" t="str">
        <f t="shared" si="45"/>
        <v/>
      </c>
      <c r="BG76" s="132" t="str">
        <f t="shared" si="46"/>
        <v/>
      </c>
      <c r="BH76" s="531" t="str">
        <f t="shared" si="47"/>
        <v/>
      </c>
      <c r="BI76" s="532"/>
      <c r="BJ76" s="538" t="str">
        <f t="shared" si="53"/>
        <v/>
      </c>
      <c r="BK76" s="539" t="str">
        <f t="shared" si="54"/>
        <v/>
      </c>
      <c r="BL76" s="547" t="str">
        <f t="shared" si="55"/>
        <v/>
      </c>
    </row>
    <row r="77" spans="1:64" x14ac:dyDescent="0.3">
      <c r="A77" s="133">
        <v>70</v>
      </c>
      <c r="B77" s="294"/>
      <c r="C77" s="313"/>
      <c r="D77" s="292"/>
      <c r="E77" s="284"/>
      <c r="F77" s="284"/>
      <c r="G77" s="295"/>
      <c r="H77" s="296"/>
      <c r="I77" s="297"/>
      <c r="J77" s="292"/>
      <c r="K77" s="284"/>
      <c r="L77" s="284"/>
      <c r="M77" s="295"/>
      <c r="N77" s="296"/>
      <c r="O77" s="296"/>
      <c r="P77" s="284"/>
      <c r="Q77" s="298"/>
      <c r="R77" s="292"/>
      <c r="S77" s="299"/>
      <c r="T77" s="300"/>
      <c r="U77" s="317" t="str">
        <f t="shared" si="29"/>
        <v/>
      </c>
      <c r="V77" s="301"/>
      <c r="W77" s="136" t="str">
        <f t="shared" si="30"/>
        <v/>
      </c>
      <c r="X77" s="588" t="str">
        <f t="shared" si="48"/>
        <v/>
      </c>
      <c r="Y77" s="580"/>
      <c r="Z77" s="251" t="str">
        <f t="shared" si="31"/>
        <v/>
      </c>
      <c r="AA77" s="138" t="str">
        <f t="shared" si="56"/>
        <v/>
      </c>
      <c r="AB77" s="243" t="str">
        <f t="shared" si="49"/>
        <v/>
      </c>
      <c r="AC77" s="141" t="str">
        <f t="shared" si="32"/>
        <v/>
      </c>
      <c r="AD77" s="138" t="str">
        <f t="shared" si="50"/>
        <v/>
      </c>
      <c r="AE77" s="243" t="str">
        <f t="shared" si="33"/>
        <v/>
      </c>
      <c r="AF77" s="342" t="str">
        <f>IF(AM77="Row Not Used","",INDEX(SpaceTable[Annual Hours],(MATCH(B77,SpaceTable[Space Name Concatenated Helper],0))))</f>
        <v/>
      </c>
      <c r="AG77" s="205" t="str">
        <f t="shared" si="34"/>
        <v/>
      </c>
      <c r="AH77" s="234" t="str">
        <f t="shared" si="35"/>
        <v/>
      </c>
      <c r="AI77" s="205" t="str">
        <f t="shared" si="36"/>
        <v/>
      </c>
      <c r="AJ77" s="234" t="str">
        <f t="shared" si="37"/>
        <v/>
      </c>
      <c r="AK77" s="144" t="str">
        <f>IF(AM77="Row Not Used","",INDEX(SpaceTable[Row],(MATCH(B77,SpaceTable[Space Name Concatenated Helper],0))))</f>
        <v/>
      </c>
      <c r="AL77" s="238" t="str">
        <f>IF(AM77="Row Not Used","",INDEX(SpaceTable[HVAC Factor],(MATCH(B77,SpaceTable[Space Name Concatenated Helper],0))))</f>
        <v/>
      </c>
      <c r="AM77" s="520" t="str">
        <f t="shared" si="38"/>
        <v>Row Not Used</v>
      </c>
      <c r="AN77" s="512" t="e" cm="1">
        <f t="array" ref="AN77">INDEX(BallastFactorTable[Ballast Factor],MATCH(1,(BallastFactorTable[Fixture Class]=D77)*(BallastFactorTable[Fixture Category]=E77)*(BallastFactorTable[Fixture Sub-category]=F77),0))</f>
        <v>#N/A</v>
      </c>
      <c r="AO77" s="143" t="str">
        <f t="shared" si="51"/>
        <v/>
      </c>
      <c r="AP77" s="501" t="e" cm="1">
        <f t="array" ref="AP77">INDEX(BallastFactorTable[Wattage Range Name],MATCH(1,(BallastFactorTable[Fixture Class]=D77)*(BallastFactorTable[Fixture Category]=E77)*(BallastFactorTable[Fixture Sub-category]=F77),0))</f>
        <v>#N/A</v>
      </c>
      <c r="AQ77" s="515" t="str">
        <f t="shared" ca="1" si="39"/>
        <v>Okay</v>
      </c>
      <c r="AR77" s="512">
        <f t="shared" si="40"/>
        <v>0</v>
      </c>
      <c r="AS77" s="511" t="str">
        <f>IF(OR(Measures!AM77="Row Not Used",Measures!C77="Controls Only",Measures!C77="Decommissioning"),"",_xlfn.CONCAT(P77," ",Q77))</f>
        <v/>
      </c>
      <c r="AT77" s="264" t="str">
        <f t="shared" si="41"/>
        <v>None</v>
      </c>
      <c r="AU77" s="229">
        <f>IF(OR(AM77="Row Not Used",AM77="Controls Only"),0,INDEX(IncentiveRateTable[Incentive Rate],MATCH(AT77,IncentiveRateTable[Incentive Name],0)))</f>
        <v>0</v>
      </c>
      <c r="AV77" s="133" t="str">
        <f>IF(OR(AM77="Row Not Used",AM77="Controls Only"),"None",INDEX(IncentiveRateTable[Incentive Unit],MATCH(AT77,IncentiveRateTable[Incentive Name],0)))</f>
        <v>None</v>
      </c>
      <c r="AW77" s="578">
        <f t="shared" si="52"/>
        <v>0</v>
      </c>
      <c r="AX77" s="264" t="str">
        <f t="shared" si="42"/>
        <v>None</v>
      </c>
      <c r="AY77" s="229">
        <f>IF(OR(AM77="Row Not Used",AM77="Fixtures Only",AM77="Decommissioning"),0,INDEX(IncentiveRateTable[Incentive Rate],MATCH(AX77,IncentiveRateTable[Incentive Name],0)))</f>
        <v>0</v>
      </c>
      <c r="AZ77" s="133" t="str">
        <f>IF(OR(AM77="Row Not Used",AM77="Fixtures Only",AM77="Decommissioning"),"None",INDEX(IncentiveRateTable[Incentive Unit],MATCH(AX77,IncentiveRateTable[Incentive Name],0)))</f>
        <v>None</v>
      </c>
      <c r="BA77" s="465">
        <f t="shared" si="43"/>
        <v>0</v>
      </c>
      <c r="BB77" s="264" t="e" cm="1">
        <f t="array" ref="BB77">INDEX(BallastFactorTable[Commercial BPA Reference Number],MATCH(1,(BallastFactorTable[Fixture Class]=J77)*(BallastFactorTable[Fixture Category]=K77)*(BallastFactorTable[Fixture Sub-category]=L77),0))</f>
        <v>#N/A</v>
      </c>
      <c r="BC77" s="133" t="e" cm="1">
        <f t="array" ref="BC77">INDEX(BallastFactorTable[Industrial BPA Reference Number],MATCH(1,(BallastFactorTable[Fixture Class]=J77)*(BallastFactorTable[Fixture Category]=K77)*(BallastFactorTable[Fixture Sub-category]=L77),0))</f>
        <v>#N/A</v>
      </c>
      <c r="BD77" s="264" t="str">
        <f t="shared" si="44"/>
        <v>Sector is blank</v>
      </c>
      <c r="BE77" s="269" t="str">
        <f>IF(ISBLANK(SectorField),"Sector is blank",IF(AM77="Row Not Used","",IF(OR(R77="No Controls",ISBLANK(R77)),"",INDEX(ControlsBPARefNoTable[Reference Number],MATCH(SectorField,ControlsBPARefNoTable[Sector],0)))))</f>
        <v>Sector is blank</v>
      </c>
      <c r="BF77" s="530" t="str">
        <f t="shared" si="45"/>
        <v/>
      </c>
      <c r="BG77" s="132" t="str">
        <f t="shared" si="46"/>
        <v/>
      </c>
      <c r="BH77" s="531" t="str">
        <f t="shared" si="47"/>
        <v/>
      </c>
      <c r="BI77" s="532"/>
      <c r="BJ77" s="538" t="str">
        <f t="shared" si="53"/>
        <v/>
      </c>
      <c r="BK77" s="539" t="str">
        <f t="shared" si="54"/>
        <v/>
      </c>
      <c r="BL77" s="547" t="str">
        <f t="shared" si="55"/>
        <v/>
      </c>
    </row>
    <row r="78" spans="1:64" x14ac:dyDescent="0.3">
      <c r="A78" s="133">
        <v>71</v>
      </c>
      <c r="B78" s="294"/>
      <c r="C78" s="313"/>
      <c r="D78" s="292"/>
      <c r="E78" s="284"/>
      <c r="F78" s="284"/>
      <c r="G78" s="295"/>
      <c r="H78" s="296"/>
      <c r="I78" s="297"/>
      <c r="J78" s="292"/>
      <c r="K78" s="284"/>
      <c r="L78" s="284"/>
      <c r="M78" s="295"/>
      <c r="N78" s="296"/>
      <c r="O78" s="296"/>
      <c r="P78" s="284"/>
      <c r="Q78" s="298"/>
      <c r="R78" s="292"/>
      <c r="S78" s="299"/>
      <c r="T78" s="300"/>
      <c r="U78" s="317" t="str">
        <f t="shared" si="29"/>
        <v/>
      </c>
      <c r="V78" s="301"/>
      <c r="W78" s="137" t="str">
        <f t="shared" si="30"/>
        <v/>
      </c>
      <c r="X78" s="589" t="str">
        <f t="shared" si="48"/>
        <v/>
      </c>
      <c r="Y78" s="581"/>
      <c r="Z78" s="251" t="str">
        <f t="shared" si="31"/>
        <v/>
      </c>
      <c r="AA78" s="138" t="str">
        <f t="shared" si="56"/>
        <v/>
      </c>
      <c r="AB78" s="243" t="str">
        <f t="shared" si="49"/>
        <v/>
      </c>
      <c r="AC78" s="141" t="str">
        <f t="shared" si="32"/>
        <v/>
      </c>
      <c r="AD78" s="138" t="str">
        <f t="shared" si="50"/>
        <v/>
      </c>
      <c r="AE78" s="243" t="str">
        <f t="shared" si="33"/>
        <v/>
      </c>
      <c r="AF78" s="342" t="str">
        <f>IF(AM78="Row Not Used","",INDEX(SpaceTable[Annual Hours],(MATCH(B78,SpaceTable[Space Name Concatenated Helper],0))))</f>
        <v/>
      </c>
      <c r="AG78" s="205" t="str">
        <f t="shared" si="34"/>
        <v/>
      </c>
      <c r="AH78" s="234" t="str">
        <f t="shared" si="35"/>
        <v/>
      </c>
      <c r="AI78" s="205" t="str">
        <f t="shared" si="36"/>
        <v/>
      </c>
      <c r="AJ78" s="234" t="str">
        <f t="shared" si="37"/>
        <v/>
      </c>
      <c r="AK78" s="144" t="str">
        <f>IF(AM78="Row Not Used","",INDEX(SpaceTable[Row],(MATCH(B78,SpaceTable[Space Name Concatenated Helper],0))))</f>
        <v/>
      </c>
      <c r="AL78" s="238" t="str">
        <f>IF(AM78="Row Not Used","",INDEX(SpaceTable[HVAC Factor],(MATCH(B78,SpaceTable[Space Name Concatenated Helper],0))))</f>
        <v/>
      </c>
      <c r="AM78" s="520" t="str">
        <f t="shared" si="38"/>
        <v>Row Not Used</v>
      </c>
      <c r="AN78" s="512" t="e" cm="1">
        <f t="array" ref="AN78">INDEX(BallastFactorTable[Ballast Factor],MATCH(1,(BallastFactorTable[Fixture Class]=D78)*(BallastFactorTable[Fixture Category]=E78)*(BallastFactorTable[Fixture Sub-category]=F78),0))</f>
        <v>#N/A</v>
      </c>
      <c r="AO78" s="143" t="str">
        <f t="shared" si="51"/>
        <v/>
      </c>
      <c r="AP78" s="501" t="e" cm="1">
        <f t="array" ref="AP78">INDEX(BallastFactorTable[Wattage Range Name],MATCH(1,(BallastFactorTable[Fixture Class]=D78)*(BallastFactorTable[Fixture Category]=E78)*(BallastFactorTable[Fixture Sub-category]=F78),0))</f>
        <v>#N/A</v>
      </c>
      <c r="AQ78" s="515" t="str">
        <f t="shared" ca="1" si="39"/>
        <v>Okay</v>
      </c>
      <c r="AR78" s="512">
        <f t="shared" si="40"/>
        <v>0</v>
      </c>
      <c r="AS78" s="511" t="str">
        <f>IF(OR(Measures!AM78="Row Not Used",Measures!C78="Controls Only",Measures!C78="Decommissioning"),"",_xlfn.CONCAT(P78," ",Q78))</f>
        <v/>
      </c>
      <c r="AT78" s="264" t="str">
        <f t="shared" si="41"/>
        <v>None</v>
      </c>
      <c r="AU78" s="229">
        <f>IF(OR(AM78="Row Not Used",AM78="Controls Only"),0,INDEX(IncentiveRateTable[Incentive Rate],MATCH(AT78,IncentiveRateTable[Incentive Name],0)))</f>
        <v>0</v>
      </c>
      <c r="AV78" s="133" t="str">
        <f>IF(OR(AM78="Row Not Used",AM78="Controls Only"),"None",INDEX(IncentiveRateTable[Incentive Unit],MATCH(AT78,IncentiveRateTable[Incentive Name],0)))</f>
        <v>None</v>
      </c>
      <c r="AW78" s="578">
        <f t="shared" si="52"/>
        <v>0</v>
      </c>
      <c r="AX78" s="264" t="str">
        <f t="shared" si="42"/>
        <v>None</v>
      </c>
      <c r="AY78" s="229">
        <f>IF(OR(AM78="Row Not Used",AM78="Fixtures Only",AM78="Decommissioning"),0,INDEX(IncentiveRateTable[Incentive Rate],MATCH(AX78,IncentiveRateTable[Incentive Name],0)))</f>
        <v>0</v>
      </c>
      <c r="AZ78" s="133" t="str">
        <f>IF(OR(AM78="Row Not Used",AM78="Fixtures Only",AM78="Decommissioning"),"None",INDEX(IncentiveRateTable[Incentive Unit],MATCH(AX78,IncentiveRateTable[Incentive Name],0)))</f>
        <v>None</v>
      </c>
      <c r="BA78" s="465">
        <f t="shared" si="43"/>
        <v>0</v>
      </c>
      <c r="BB78" s="264" t="e" cm="1">
        <f t="array" ref="BB78">INDEX(BallastFactorTable[Commercial BPA Reference Number],MATCH(1,(BallastFactorTable[Fixture Class]=J78)*(BallastFactorTable[Fixture Category]=K78)*(BallastFactorTable[Fixture Sub-category]=L78),0))</f>
        <v>#N/A</v>
      </c>
      <c r="BC78" s="133" t="e" cm="1">
        <f t="array" ref="BC78">INDEX(BallastFactorTable[Industrial BPA Reference Number],MATCH(1,(BallastFactorTable[Fixture Class]=J78)*(BallastFactorTable[Fixture Category]=K78)*(BallastFactorTable[Fixture Sub-category]=L78),0))</f>
        <v>#N/A</v>
      </c>
      <c r="BD78" s="264" t="str">
        <f t="shared" si="44"/>
        <v>Sector is blank</v>
      </c>
      <c r="BE78" s="269" t="str">
        <f>IF(ISBLANK(SectorField),"Sector is blank",IF(AM78="Row Not Used","",IF(OR(R78="No Controls",ISBLANK(R78)),"",INDEX(ControlsBPARefNoTable[Reference Number],MATCH(SectorField,ControlsBPARefNoTable[Sector],0)))))</f>
        <v>Sector is blank</v>
      </c>
      <c r="BF78" s="530" t="str">
        <f t="shared" si="45"/>
        <v/>
      </c>
      <c r="BG78" s="132" t="str">
        <f t="shared" si="46"/>
        <v/>
      </c>
      <c r="BH78" s="531" t="str">
        <f t="shared" si="47"/>
        <v/>
      </c>
      <c r="BI78" s="532"/>
      <c r="BJ78" s="538" t="str">
        <f t="shared" si="53"/>
        <v/>
      </c>
      <c r="BK78" s="539" t="str">
        <f t="shared" si="54"/>
        <v/>
      </c>
      <c r="BL78" s="547" t="str">
        <f t="shared" si="55"/>
        <v/>
      </c>
    </row>
    <row r="79" spans="1:64" x14ac:dyDescent="0.3">
      <c r="A79" s="133">
        <v>72</v>
      </c>
      <c r="B79" s="294"/>
      <c r="C79" s="313"/>
      <c r="D79" s="292"/>
      <c r="E79" s="284"/>
      <c r="F79" s="284"/>
      <c r="G79" s="295"/>
      <c r="H79" s="296"/>
      <c r="I79" s="297"/>
      <c r="J79" s="292"/>
      <c r="K79" s="284"/>
      <c r="L79" s="284"/>
      <c r="M79" s="295"/>
      <c r="N79" s="296"/>
      <c r="O79" s="296"/>
      <c r="P79" s="284"/>
      <c r="Q79" s="298"/>
      <c r="R79" s="292"/>
      <c r="S79" s="299"/>
      <c r="T79" s="300"/>
      <c r="U79" s="317" t="str">
        <f t="shared" si="29"/>
        <v/>
      </c>
      <c r="V79" s="301"/>
      <c r="W79" s="136" t="str">
        <f t="shared" si="30"/>
        <v/>
      </c>
      <c r="X79" s="588" t="str">
        <f t="shared" si="48"/>
        <v/>
      </c>
      <c r="Y79" s="580"/>
      <c r="Z79" s="251" t="str">
        <f t="shared" si="31"/>
        <v/>
      </c>
      <c r="AA79" s="138" t="str">
        <f t="shared" si="56"/>
        <v/>
      </c>
      <c r="AB79" s="243" t="str">
        <f t="shared" si="49"/>
        <v/>
      </c>
      <c r="AC79" s="141" t="str">
        <f t="shared" si="32"/>
        <v/>
      </c>
      <c r="AD79" s="138" t="str">
        <f t="shared" si="50"/>
        <v/>
      </c>
      <c r="AE79" s="243" t="str">
        <f t="shared" si="33"/>
        <v/>
      </c>
      <c r="AF79" s="342" t="str">
        <f>IF(AM79="Row Not Used","",INDEX(SpaceTable[Annual Hours],(MATCH(B79,SpaceTable[Space Name Concatenated Helper],0))))</f>
        <v/>
      </c>
      <c r="AG79" s="205" t="str">
        <f t="shared" si="34"/>
        <v/>
      </c>
      <c r="AH79" s="234" t="str">
        <f t="shared" si="35"/>
        <v/>
      </c>
      <c r="AI79" s="205" t="str">
        <f t="shared" si="36"/>
        <v/>
      </c>
      <c r="AJ79" s="234" t="str">
        <f t="shared" si="37"/>
        <v/>
      </c>
      <c r="AK79" s="144" t="str">
        <f>IF(AM79="Row Not Used","",INDEX(SpaceTable[Row],(MATCH(B79,SpaceTable[Space Name Concatenated Helper],0))))</f>
        <v/>
      </c>
      <c r="AL79" s="238" t="str">
        <f>IF(AM79="Row Not Used","",INDEX(SpaceTable[HVAC Factor],(MATCH(B79,SpaceTable[Space Name Concatenated Helper],0))))</f>
        <v/>
      </c>
      <c r="AM79" s="520" t="str">
        <f t="shared" si="38"/>
        <v>Row Not Used</v>
      </c>
      <c r="AN79" s="512" t="e" cm="1">
        <f t="array" ref="AN79">INDEX(BallastFactorTable[Ballast Factor],MATCH(1,(BallastFactorTable[Fixture Class]=D79)*(BallastFactorTable[Fixture Category]=E79)*(BallastFactorTable[Fixture Sub-category]=F79),0))</f>
        <v>#N/A</v>
      </c>
      <c r="AO79" s="143" t="str">
        <f t="shared" si="51"/>
        <v/>
      </c>
      <c r="AP79" s="501" t="e" cm="1">
        <f t="array" ref="AP79">INDEX(BallastFactorTable[Wattage Range Name],MATCH(1,(BallastFactorTable[Fixture Class]=D79)*(BallastFactorTable[Fixture Category]=E79)*(BallastFactorTable[Fixture Sub-category]=F79),0))</f>
        <v>#N/A</v>
      </c>
      <c r="AQ79" s="515" t="str">
        <f t="shared" ca="1" si="39"/>
        <v>Okay</v>
      </c>
      <c r="AR79" s="512">
        <f t="shared" si="40"/>
        <v>0</v>
      </c>
      <c r="AS79" s="511" t="str">
        <f>IF(OR(Measures!AM79="Row Not Used",Measures!C79="Controls Only",Measures!C79="Decommissioning"),"",_xlfn.CONCAT(P79," ",Q79))</f>
        <v/>
      </c>
      <c r="AT79" s="264" t="str">
        <f t="shared" si="41"/>
        <v>None</v>
      </c>
      <c r="AU79" s="229">
        <f>IF(OR(AM79="Row Not Used",AM79="Controls Only"),0,INDEX(IncentiveRateTable[Incentive Rate],MATCH(AT79,IncentiveRateTable[Incentive Name],0)))</f>
        <v>0</v>
      </c>
      <c r="AV79" s="133" t="str">
        <f>IF(OR(AM79="Row Not Used",AM79="Controls Only"),"None",INDEX(IncentiveRateTable[Incentive Unit],MATCH(AT79,IncentiveRateTable[Incentive Name],0)))</f>
        <v>None</v>
      </c>
      <c r="AW79" s="578">
        <f t="shared" si="52"/>
        <v>0</v>
      </c>
      <c r="AX79" s="264" t="str">
        <f t="shared" si="42"/>
        <v>None</v>
      </c>
      <c r="AY79" s="229">
        <f>IF(OR(AM79="Row Not Used",AM79="Fixtures Only",AM79="Decommissioning"),0,INDEX(IncentiveRateTable[Incentive Rate],MATCH(AX79,IncentiveRateTable[Incentive Name],0)))</f>
        <v>0</v>
      </c>
      <c r="AZ79" s="133" t="str">
        <f>IF(OR(AM79="Row Not Used",AM79="Fixtures Only",AM79="Decommissioning"),"None",INDEX(IncentiveRateTable[Incentive Unit],MATCH(AX79,IncentiveRateTable[Incentive Name],0)))</f>
        <v>None</v>
      </c>
      <c r="BA79" s="465">
        <f t="shared" si="43"/>
        <v>0</v>
      </c>
      <c r="BB79" s="264" t="e" cm="1">
        <f t="array" ref="BB79">INDEX(BallastFactorTable[Commercial BPA Reference Number],MATCH(1,(BallastFactorTable[Fixture Class]=J79)*(BallastFactorTable[Fixture Category]=K79)*(BallastFactorTable[Fixture Sub-category]=L79),0))</f>
        <v>#N/A</v>
      </c>
      <c r="BC79" s="133" t="e" cm="1">
        <f t="array" ref="BC79">INDEX(BallastFactorTable[Industrial BPA Reference Number],MATCH(1,(BallastFactorTable[Fixture Class]=J79)*(BallastFactorTable[Fixture Category]=K79)*(BallastFactorTable[Fixture Sub-category]=L79),0))</f>
        <v>#N/A</v>
      </c>
      <c r="BD79" s="264" t="str">
        <f t="shared" si="44"/>
        <v>Sector is blank</v>
      </c>
      <c r="BE79" s="269" t="str">
        <f>IF(ISBLANK(SectorField),"Sector is blank",IF(AM79="Row Not Used","",IF(OR(R79="No Controls",ISBLANK(R79)),"",INDEX(ControlsBPARefNoTable[Reference Number],MATCH(SectorField,ControlsBPARefNoTable[Sector],0)))))</f>
        <v>Sector is blank</v>
      </c>
      <c r="BF79" s="530" t="str">
        <f t="shared" si="45"/>
        <v/>
      </c>
      <c r="BG79" s="132" t="str">
        <f t="shared" si="46"/>
        <v/>
      </c>
      <c r="BH79" s="531" t="str">
        <f t="shared" si="47"/>
        <v/>
      </c>
      <c r="BI79" s="532"/>
      <c r="BJ79" s="538" t="str">
        <f t="shared" si="53"/>
        <v/>
      </c>
      <c r="BK79" s="539" t="str">
        <f t="shared" si="54"/>
        <v/>
      </c>
      <c r="BL79" s="547" t="str">
        <f t="shared" si="55"/>
        <v/>
      </c>
    </row>
    <row r="80" spans="1:64" x14ac:dyDescent="0.3">
      <c r="A80" s="133">
        <v>73</v>
      </c>
      <c r="B80" s="294"/>
      <c r="C80" s="313"/>
      <c r="D80" s="292"/>
      <c r="E80" s="284"/>
      <c r="F80" s="284"/>
      <c r="G80" s="295"/>
      <c r="H80" s="296"/>
      <c r="I80" s="297"/>
      <c r="J80" s="292"/>
      <c r="K80" s="284"/>
      <c r="L80" s="284"/>
      <c r="M80" s="295"/>
      <c r="N80" s="296"/>
      <c r="O80" s="296"/>
      <c r="P80" s="284"/>
      <c r="Q80" s="298"/>
      <c r="R80" s="292"/>
      <c r="S80" s="299"/>
      <c r="T80" s="300"/>
      <c r="U80" s="317" t="str">
        <f t="shared" si="29"/>
        <v/>
      </c>
      <c r="V80" s="301"/>
      <c r="W80" s="137" t="str">
        <f t="shared" si="30"/>
        <v/>
      </c>
      <c r="X80" s="589" t="str">
        <f t="shared" si="48"/>
        <v/>
      </c>
      <c r="Y80" s="581"/>
      <c r="Z80" s="251" t="str">
        <f t="shared" si="31"/>
        <v/>
      </c>
      <c r="AA80" s="138" t="str">
        <f t="shared" si="56"/>
        <v/>
      </c>
      <c r="AB80" s="243" t="str">
        <f t="shared" si="49"/>
        <v/>
      </c>
      <c r="AC80" s="141" t="str">
        <f t="shared" si="32"/>
        <v/>
      </c>
      <c r="AD80" s="138" t="str">
        <f t="shared" si="50"/>
        <v/>
      </c>
      <c r="AE80" s="243" t="str">
        <f t="shared" si="33"/>
        <v/>
      </c>
      <c r="AF80" s="342" t="str">
        <f>IF(AM80="Row Not Used","",INDEX(SpaceTable[Annual Hours],(MATCH(B80,SpaceTable[Space Name Concatenated Helper],0))))</f>
        <v/>
      </c>
      <c r="AG80" s="205" t="str">
        <f t="shared" si="34"/>
        <v/>
      </c>
      <c r="AH80" s="234" t="str">
        <f t="shared" si="35"/>
        <v/>
      </c>
      <c r="AI80" s="205" t="str">
        <f t="shared" si="36"/>
        <v/>
      </c>
      <c r="AJ80" s="234" t="str">
        <f t="shared" si="37"/>
        <v/>
      </c>
      <c r="AK80" s="144" t="str">
        <f>IF(AM80="Row Not Used","",INDEX(SpaceTable[Row],(MATCH(B80,SpaceTable[Space Name Concatenated Helper],0))))</f>
        <v/>
      </c>
      <c r="AL80" s="238" t="str">
        <f>IF(AM80="Row Not Used","",INDEX(SpaceTable[HVAC Factor],(MATCH(B80,SpaceTable[Space Name Concatenated Helper],0))))</f>
        <v/>
      </c>
      <c r="AM80" s="520" t="str">
        <f t="shared" si="38"/>
        <v>Row Not Used</v>
      </c>
      <c r="AN80" s="512" t="e" cm="1">
        <f t="array" ref="AN80">INDEX(BallastFactorTable[Ballast Factor],MATCH(1,(BallastFactorTable[Fixture Class]=D80)*(BallastFactorTable[Fixture Category]=E80)*(BallastFactorTable[Fixture Sub-category]=F80),0))</f>
        <v>#N/A</v>
      </c>
      <c r="AO80" s="143" t="str">
        <f t="shared" si="51"/>
        <v/>
      </c>
      <c r="AP80" s="501" t="e" cm="1">
        <f t="array" ref="AP80">INDEX(BallastFactorTable[Wattage Range Name],MATCH(1,(BallastFactorTable[Fixture Class]=D80)*(BallastFactorTable[Fixture Category]=E80)*(BallastFactorTable[Fixture Sub-category]=F80),0))</f>
        <v>#N/A</v>
      </c>
      <c r="AQ80" s="515" t="str">
        <f t="shared" ca="1" si="39"/>
        <v>Okay</v>
      </c>
      <c r="AR80" s="512">
        <f t="shared" si="40"/>
        <v>0</v>
      </c>
      <c r="AS80" s="511" t="str">
        <f>IF(OR(Measures!AM80="Row Not Used",Measures!C80="Controls Only",Measures!C80="Decommissioning"),"",_xlfn.CONCAT(P80," ",Q80))</f>
        <v/>
      </c>
      <c r="AT80" s="264" t="str">
        <f t="shared" si="41"/>
        <v>None</v>
      </c>
      <c r="AU80" s="229">
        <f>IF(OR(AM80="Row Not Used",AM80="Controls Only"),0,INDEX(IncentiveRateTable[Incentive Rate],MATCH(AT80,IncentiveRateTable[Incentive Name],0)))</f>
        <v>0</v>
      </c>
      <c r="AV80" s="133" t="str">
        <f>IF(OR(AM80="Row Not Used",AM80="Controls Only"),"None",INDEX(IncentiveRateTable[Incentive Unit],MATCH(AT80,IncentiveRateTable[Incentive Name],0)))</f>
        <v>None</v>
      </c>
      <c r="AW80" s="578">
        <f t="shared" si="52"/>
        <v>0</v>
      </c>
      <c r="AX80" s="264" t="str">
        <f t="shared" si="42"/>
        <v>None</v>
      </c>
      <c r="AY80" s="229">
        <f>IF(OR(AM80="Row Not Used",AM80="Fixtures Only",AM80="Decommissioning"),0,INDEX(IncentiveRateTable[Incentive Rate],MATCH(AX80,IncentiveRateTable[Incentive Name],0)))</f>
        <v>0</v>
      </c>
      <c r="AZ80" s="133" t="str">
        <f>IF(OR(AM80="Row Not Used",AM80="Fixtures Only",AM80="Decommissioning"),"None",INDEX(IncentiveRateTable[Incentive Unit],MATCH(AX80,IncentiveRateTable[Incentive Name],0)))</f>
        <v>None</v>
      </c>
      <c r="BA80" s="465">
        <f t="shared" si="43"/>
        <v>0</v>
      </c>
      <c r="BB80" s="264" t="e" cm="1">
        <f t="array" ref="BB80">INDEX(BallastFactorTable[Commercial BPA Reference Number],MATCH(1,(BallastFactorTable[Fixture Class]=J80)*(BallastFactorTable[Fixture Category]=K80)*(BallastFactorTable[Fixture Sub-category]=L80),0))</f>
        <v>#N/A</v>
      </c>
      <c r="BC80" s="133" t="e" cm="1">
        <f t="array" ref="BC80">INDEX(BallastFactorTable[Industrial BPA Reference Number],MATCH(1,(BallastFactorTable[Fixture Class]=J80)*(BallastFactorTable[Fixture Category]=K80)*(BallastFactorTable[Fixture Sub-category]=L80),0))</f>
        <v>#N/A</v>
      </c>
      <c r="BD80" s="264" t="str">
        <f t="shared" si="44"/>
        <v>Sector is blank</v>
      </c>
      <c r="BE80" s="269" t="str">
        <f>IF(ISBLANK(SectorField),"Sector is blank",IF(AM80="Row Not Used","",IF(OR(R80="No Controls",ISBLANK(R80)),"",INDEX(ControlsBPARefNoTable[Reference Number],MATCH(SectorField,ControlsBPARefNoTable[Sector],0)))))</f>
        <v>Sector is blank</v>
      </c>
      <c r="BF80" s="530" t="str">
        <f t="shared" si="45"/>
        <v/>
      </c>
      <c r="BG80" s="132" t="str">
        <f t="shared" si="46"/>
        <v/>
      </c>
      <c r="BH80" s="531" t="str">
        <f t="shared" si="47"/>
        <v/>
      </c>
      <c r="BI80" s="532"/>
      <c r="BJ80" s="538" t="str">
        <f t="shared" si="53"/>
        <v/>
      </c>
      <c r="BK80" s="539" t="str">
        <f t="shared" si="54"/>
        <v/>
      </c>
      <c r="BL80" s="547" t="str">
        <f t="shared" si="55"/>
        <v/>
      </c>
    </row>
    <row r="81" spans="1:64" x14ac:dyDescent="0.3">
      <c r="A81" s="133">
        <v>74</v>
      </c>
      <c r="B81" s="294"/>
      <c r="C81" s="313"/>
      <c r="D81" s="292"/>
      <c r="E81" s="284"/>
      <c r="F81" s="284"/>
      <c r="G81" s="295"/>
      <c r="H81" s="296"/>
      <c r="I81" s="297"/>
      <c r="J81" s="292"/>
      <c r="K81" s="284"/>
      <c r="L81" s="284"/>
      <c r="M81" s="295"/>
      <c r="N81" s="296"/>
      <c r="O81" s="296"/>
      <c r="P81" s="284"/>
      <c r="Q81" s="298"/>
      <c r="R81" s="292"/>
      <c r="S81" s="299"/>
      <c r="T81" s="300"/>
      <c r="U81" s="317" t="str">
        <f t="shared" si="29"/>
        <v/>
      </c>
      <c r="V81" s="301"/>
      <c r="W81" s="136" t="str">
        <f t="shared" si="30"/>
        <v/>
      </c>
      <c r="X81" s="588" t="str">
        <f t="shared" si="48"/>
        <v/>
      </c>
      <c r="Y81" s="580"/>
      <c r="Z81" s="251" t="str">
        <f t="shared" si="31"/>
        <v/>
      </c>
      <c r="AA81" s="138" t="str">
        <f t="shared" si="56"/>
        <v/>
      </c>
      <c r="AB81" s="243" t="str">
        <f t="shared" si="49"/>
        <v/>
      </c>
      <c r="AC81" s="141" t="str">
        <f t="shared" si="32"/>
        <v/>
      </c>
      <c r="AD81" s="138" t="str">
        <f t="shared" si="50"/>
        <v/>
      </c>
      <c r="AE81" s="243" t="str">
        <f t="shared" si="33"/>
        <v/>
      </c>
      <c r="AF81" s="342" t="str">
        <f>IF(AM81="Row Not Used","",INDEX(SpaceTable[Annual Hours],(MATCH(B81,SpaceTable[Space Name Concatenated Helper],0))))</f>
        <v/>
      </c>
      <c r="AG81" s="205" t="str">
        <f t="shared" si="34"/>
        <v/>
      </c>
      <c r="AH81" s="234" t="str">
        <f t="shared" si="35"/>
        <v/>
      </c>
      <c r="AI81" s="205" t="str">
        <f t="shared" si="36"/>
        <v/>
      </c>
      <c r="AJ81" s="234" t="str">
        <f t="shared" si="37"/>
        <v/>
      </c>
      <c r="AK81" s="144" t="str">
        <f>IF(AM81="Row Not Used","",INDEX(SpaceTable[Row],(MATCH(B81,SpaceTable[Space Name Concatenated Helper],0))))</f>
        <v/>
      </c>
      <c r="AL81" s="238" t="str">
        <f>IF(AM81="Row Not Used","",INDEX(SpaceTable[HVAC Factor],(MATCH(B81,SpaceTable[Space Name Concatenated Helper],0))))</f>
        <v/>
      </c>
      <c r="AM81" s="520" t="str">
        <f t="shared" si="38"/>
        <v>Row Not Used</v>
      </c>
      <c r="AN81" s="512" t="e" cm="1">
        <f t="array" ref="AN81">INDEX(BallastFactorTable[Ballast Factor],MATCH(1,(BallastFactorTable[Fixture Class]=D81)*(BallastFactorTable[Fixture Category]=E81)*(BallastFactorTable[Fixture Sub-category]=F81),0))</f>
        <v>#N/A</v>
      </c>
      <c r="AO81" s="143" t="str">
        <f t="shared" si="51"/>
        <v/>
      </c>
      <c r="AP81" s="501" t="e" cm="1">
        <f t="array" ref="AP81">INDEX(BallastFactorTable[Wattage Range Name],MATCH(1,(BallastFactorTable[Fixture Class]=D81)*(BallastFactorTable[Fixture Category]=E81)*(BallastFactorTable[Fixture Sub-category]=F81),0))</f>
        <v>#N/A</v>
      </c>
      <c r="AQ81" s="515" t="str">
        <f t="shared" ca="1" si="39"/>
        <v>Okay</v>
      </c>
      <c r="AR81" s="512">
        <f t="shared" si="40"/>
        <v>0</v>
      </c>
      <c r="AS81" s="511" t="str">
        <f>IF(OR(Measures!AM81="Row Not Used",Measures!C81="Controls Only",Measures!C81="Decommissioning"),"",_xlfn.CONCAT(P81," ",Q81))</f>
        <v/>
      </c>
      <c r="AT81" s="264" t="str">
        <f t="shared" si="41"/>
        <v>None</v>
      </c>
      <c r="AU81" s="229">
        <f>IF(OR(AM81="Row Not Used",AM81="Controls Only"),0,INDEX(IncentiveRateTable[Incentive Rate],MATCH(AT81,IncentiveRateTable[Incentive Name],0)))</f>
        <v>0</v>
      </c>
      <c r="AV81" s="133" t="str">
        <f>IF(OR(AM81="Row Not Used",AM81="Controls Only"),"None",INDEX(IncentiveRateTable[Incentive Unit],MATCH(AT81,IncentiveRateTable[Incentive Name],0)))</f>
        <v>None</v>
      </c>
      <c r="AW81" s="578">
        <f t="shared" si="52"/>
        <v>0</v>
      </c>
      <c r="AX81" s="264" t="str">
        <f t="shared" si="42"/>
        <v>None</v>
      </c>
      <c r="AY81" s="229">
        <f>IF(OR(AM81="Row Not Used",AM81="Fixtures Only",AM81="Decommissioning"),0,INDEX(IncentiveRateTable[Incentive Rate],MATCH(AX81,IncentiveRateTable[Incentive Name],0)))</f>
        <v>0</v>
      </c>
      <c r="AZ81" s="133" t="str">
        <f>IF(OR(AM81="Row Not Used",AM81="Fixtures Only",AM81="Decommissioning"),"None",INDEX(IncentiveRateTable[Incentive Unit],MATCH(AX81,IncentiveRateTable[Incentive Name],0)))</f>
        <v>None</v>
      </c>
      <c r="BA81" s="465">
        <f t="shared" si="43"/>
        <v>0</v>
      </c>
      <c r="BB81" s="264" t="e" cm="1">
        <f t="array" ref="BB81">INDEX(BallastFactorTable[Commercial BPA Reference Number],MATCH(1,(BallastFactorTable[Fixture Class]=J81)*(BallastFactorTable[Fixture Category]=K81)*(BallastFactorTable[Fixture Sub-category]=L81),0))</f>
        <v>#N/A</v>
      </c>
      <c r="BC81" s="133" t="e" cm="1">
        <f t="array" ref="BC81">INDEX(BallastFactorTable[Industrial BPA Reference Number],MATCH(1,(BallastFactorTable[Fixture Class]=J81)*(BallastFactorTable[Fixture Category]=K81)*(BallastFactorTable[Fixture Sub-category]=L81),0))</f>
        <v>#N/A</v>
      </c>
      <c r="BD81" s="264" t="str">
        <f t="shared" si="44"/>
        <v>Sector is blank</v>
      </c>
      <c r="BE81" s="269" t="str">
        <f>IF(ISBLANK(SectorField),"Sector is blank",IF(AM81="Row Not Used","",IF(OR(R81="No Controls",ISBLANK(R81)),"",INDEX(ControlsBPARefNoTable[Reference Number],MATCH(SectorField,ControlsBPARefNoTable[Sector],0)))))</f>
        <v>Sector is blank</v>
      </c>
      <c r="BF81" s="530" t="str">
        <f t="shared" si="45"/>
        <v/>
      </c>
      <c r="BG81" s="132" t="str">
        <f t="shared" si="46"/>
        <v/>
      </c>
      <c r="BH81" s="531" t="str">
        <f t="shared" si="47"/>
        <v/>
      </c>
      <c r="BI81" s="532"/>
      <c r="BJ81" s="538" t="str">
        <f t="shared" si="53"/>
        <v/>
      </c>
      <c r="BK81" s="539" t="str">
        <f t="shared" si="54"/>
        <v/>
      </c>
      <c r="BL81" s="547" t="str">
        <f t="shared" si="55"/>
        <v/>
      </c>
    </row>
    <row r="82" spans="1:64" x14ac:dyDescent="0.3">
      <c r="A82" s="133">
        <v>75</v>
      </c>
      <c r="B82" s="294"/>
      <c r="C82" s="313"/>
      <c r="D82" s="292"/>
      <c r="E82" s="284"/>
      <c r="F82" s="284"/>
      <c r="G82" s="295"/>
      <c r="H82" s="296"/>
      <c r="I82" s="297"/>
      <c r="J82" s="292"/>
      <c r="K82" s="284"/>
      <c r="L82" s="284"/>
      <c r="M82" s="295"/>
      <c r="N82" s="296"/>
      <c r="O82" s="296"/>
      <c r="P82" s="284"/>
      <c r="Q82" s="298"/>
      <c r="R82" s="292"/>
      <c r="S82" s="299"/>
      <c r="T82" s="300"/>
      <c r="U82" s="317" t="str">
        <f t="shared" si="29"/>
        <v/>
      </c>
      <c r="V82" s="301"/>
      <c r="W82" s="137" t="str">
        <f t="shared" si="30"/>
        <v/>
      </c>
      <c r="X82" s="589" t="str">
        <f t="shared" si="48"/>
        <v/>
      </c>
      <c r="Y82" s="581"/>
      <c r="Z82" s="251" t="str">
        <f t="shared" si="31"/>
        <v/>
      </c>
      <c r="AA82" s="138" t="str">
        <f t="shared" si="56"/>
        <v/>
      </c>
      <c r="AB82" s="243" t="str">
        <f t="shared" si="49"/>
        <v/>
      </c>
      <c r="AC82" s="141" t="str">
        <f t="shared" si="32"/>
        <v/>
      </c>
      <c r="AD82" s="138" t="str">
        <f t="shared" si="50"/>
        <v/>
      </c>
      <c r="AE82" s="243" t="str">
        <f t="shared" si="33"/>
        <v/>
      </c>
      <c r="AF82" s="342" t="str">
        <f>IF(AM82="Row Not Used","",INDEX(SpaceTable[Annual Hours],(MATCH(B82,SpaceTable[Space Name Concatenated Helper],0))))</f>
        <v/>
      </c>
      <c r="AG82" s="205" t="str">
        <f t="shared" si="34"/>
        <v/>
      </c>
      <c r="AH82" s="234" t="str">
        <f t="shared" si="35"/>
        <v/>
      </c>
      <c r="AI82" s="205" t="str">
        <f t="shared" si="36"/>
        <v/>
      </c>
      <c r="AJ82" s="234" t="str">
        <f t="shared" si="37"/>
        <v/>
      </c>
      <c r="AK82" s="144" t="str">
        <f>IF(AM82="Row Not Used","",INDEX(SpaceTable[Row],(MATCH(B82,SpaceTable[Space Name Concatenated Helper],0))))</f>
        <v/>
      </c>
      <c r="AL82" s="238" t="str">
        <f>IF(AM82="Row Not Used","",INDEX(SpaceTable[HVAC Factor],(MATCH(B82,SpaceTable[Space Name Concatenated Helper],0))))</f>
        <v/>
      </c>
      <c r="AM82" s="520" t="str">
        <f t="shared" si="38"/>
        <v>Row Not Used</v>
      </c>
      <c r="AN82" s="512" t="e" cm="1">
        <f t="array" ref="AN82">INDEX(BallastFactorTable[Ballast Factor],MATCH(1,(BallastFactorTable[Fixture Class]=D82)*(BallastFactorTable[Fixture Category]=E82)*(BallastFactorTable[Fixture Sub-category]=F82),0))</f>
        <v>#N/A</v>
      </c>
      <c r="AO82" s="143" t="str">
        <f t="shared" si="51"/>
        <v/>
      </c>
      <c r="AP82" s="501" t="e" cm="1">
        <f t="array" ref="AP82">INDEX(BallastFactorTable[Wattage Range Name],MATCH(1,(BallastFactorTable[Fixture Class]=D82)*(BallastFactorTable[Fixture Category]=E82)*(BallastFactorTable[Fixture Sub-category]=F82),0))</f>
        <v>#N/A</v>
      </c>
      <c r="AQ82" s="515" t="str">
        <f t="shared" ca="1" si="39"/>
        <v>Okay</v>
      </c>
      <c r="AR82" s="512">
        <f t="shared" si="40"/>
        <v>0</v>
      </c>
      <c r="AS82" s="511" t="str">
        <f>IF(OR(Measures!AM82="Row Not Used",Measures!C82="Controls Only",Measures!C82="Decommissioning"),"",_xlfn.CONCAT(P82," ",Q82))</f>
        <v/>
      </c>
      <c r="AT82" s="264" t="str">
        <f t="shared" si="41"/>
        <v>None</v>
      </c>
      <c r="AU82" s="229">
        <f>IF(OR(AM82="Row Not Used",AM82="Controls Only"),0,INDEX(IncentiveRateTable[Incentive Rate],MATCH(AT82,IncentiveRateTable[Incentive Name],0)))</f>
        <v>0</v>
      </c>
      <c r="AV82" s="133" t="str">
        <f>IF(OR(AM82="Row Not Used",AM82="Controls Only"),"None",INDEX(IncentiveRateTable[Incentive Unit],MATCH(AT82,IncentiveRateTable[Incentive Name],0)))</f>
        <v>None</v>
      </c>
      <c r="AW82" s="578">
        <f t="shared" si="52"/>
        <v>0</v>
      </c>
      <c r="AX82" s="264" t="str">
        <f t="shared" si="42"/>
        <v>None</v>
      </c>
      <c r="AY82" s="229">
        <f>IF(OR(AM82="Row Not Used",AM82="Fixtures Only",AM82="Decommissioning"),0,INDEX(IncentiveRateTable[Incentive Rate],MATCH(AX82,IncentiveRateTable[Incentive Name],0)))</f>
        <v>0</v>
      </c>
      <c r="AZ82" s="133" t="str">
        <f>IF(OR(AM82="Row Not Used",AM82="Fixtures Only",AM82="Decommissioning"),"None",INDEX(IncentiveRateTable[Incentive Unit],MATCH(AX82,IncentiveRateTable[Incentive Name],0)))</f>
        <v>None</v>
      </c>
      <c r="BA82" s="465">
        <f t="shared" si="43"/>
        <v>0</v>
      </c>
      <c r="BB82" s="264" t="e" cm="1">
        <f t="array" ref="BB82">INDEX(BallastFactorTable[Commercial BPA Reference Number],MATCH(1,(BallastFactorTable[Fixture Class]=J82)*(BallastFactorTable[Fixture Category]=K82)*(BallastFactorTable[Fixture Sub-category]=L82),0))</f>
        <v>#N/A</v>
      </c>
      <c r="BC82" s="133" t="e" cm="1">
        <f t="array" ref="BC82">INDEX(BallastFactorTable[Industrial BPA Reference Number],MATCH(1,(BallastFactorTable[Fixture Class]=J82)*(BallastFactorTable[Fixture Category]=K82)*(BallastFactorTable[Fixture Sub-category]=L82),0))</f>
        <v>#N/A</v>
      </c>
      <c r="BD82" s="264" t="str">
        <f t="shared" si="44"/>
        <v>Sector is blank</v>
      </c>
      <c r="BE82" s="269" t="str">
        <f>IF(ISBLANK(SectorField),"Sector is blank",IF(AM82="Row Not Used","",IF(OR(R82="No Controls",ISBLANK(R82)),"",INDEX(ControlsBPARefNoTable[Reference Number],MATCH(SectorField,ControlsBPARefNoTable[Sector],0)))))</f>
        <v>Sector is blank</v>
      </c>
      <c r="BF82" s="530" t="str">
        <f t="shared" si="45"/>
        <v/>
      </c>
      <c r="BG82" s="132" t="str">
        <f t="shared" si="46"/>
        <v/>
      </c>
      <c r="BH82" s="531" t="str">
        <f t="shared" si="47"/>
        <v/>
      </c>
      <c r="BI82" s="532"/>
      <c r="BJ82" s="538" t="str">
        <f t="shared" si="53"/>
        <v/>
      </c>
      <c r="BK82" s="539" t="str">
        <f t="shared" si="54"/>
        <v/>
      </c>
      <c r="BL82" s="547" t="str">
        <f t="shared" si="55"/>
        <v/>
      </c>
    </row>
    <row r="83" spans="1:64" x14ac:dyDescent="0.3">
      <c r="A83" s="133">
        <v>76</v>
      </c>
      <c r="B83" s="294"/>
      <c r="C83" s="313"/>
      <c r="D83" s="292"/>
      <c r="E83" s="284"/>
      <c r="F83" s="284"/>
      <c r="G83" s="295"/>
      <c r="H83" s="296"/>
      <c r="I83" s="297"/>
      <c r="J83" s="292"/>
      <c r="K83" s="284"/>
      <c r="L83" s="284"/>
      <c r="M83" s="295"/>
      <c r="N83" s="296"/>
      <c r="O83" s="296"/>
      <c r="P83" s="284"/>
      <c r="Q83" s="298"/>
      <c r="R83" s="292"/>
      <c r="S83" s="299"/>
      <c r="T83" s="300"/>
      <c r="U83" s="317" t="str">
        <f t="shared" si="29"/>
        <v/>
      </c>
      <c r="V83" s="301"/>
      <c r="W83" s="136" t="str">
        <f t="shared" si="30"/>
        <v/>
      </c>
      <c r="X83" s="588" t="str">
        <f t="shared" si="48"/>
        <v/>
      </c>
      <c r="Y83" s="580"/>
      <c r="Z83" s="251" t="str">
        <f t="shared" si="31"/>
        <v/>
      </c>
      <c r="AA83" s="138" t="str">
        <f t="shared" si="56"/>
        <v/>
      </c>
      <c r="AB83" s="243" t="str">
        <f t="shared" si="49"/>
        <v/>
      </c>
      <c r="AC83" s="141" t="str">
        <f t="shared" si="32"/>
        <v/>
      </c>
      <c r="AD83" s="138" t="str">
        <f t="shared" si="50"/>
        <v/>
      </c>
      <c r="AE83" s="243" t="str">
        <f t="shared" si="33"/>
        <v/>
      </c>
      <c r="AF83" s="342" t="str">
        <f>IF(AM83="Row Not Used","",INDEX(SpaceTable[Annual Hours],(MATCH(B83,SpaceTable[Space Name Concatenated Helper],0))))</f>
        <v/>
      </c>
      <c r="AG83" s="205" t="str">
        <f t="shared" si="34"/>
        <v/>
      </c>
      <c r="AH83" s="234" t="str">
        <f t="shared" si="35"/>
        <v/>
      </c>
      <c r="AI83" s="205" t="str">
        <f t="shared" si="36"/>
        <v/>
      </c>
      <c r="AJ83" s="234" t="str">
        <f t="shared" si="37"/>
        <v/>
      </c>
      <c r="AK83" s="144" t="str">
        <f>IF(AM83="Row Not Used","",INDEX(SpaceTable[Row],(MATCH(B83,SpaceTable[Space Name Concatenated Helper],0))))</f>
        <v/>
      </c>
      <c r="AL83" s="238" t="str">
        <f>IF(AM83="Row Not Used","",INDEX(SpaceTable[HVAC Factor],(MATCH(B83,SpaceTable[Space Name Concatenated Helper],0))))</f>
        <v/>
      </c>
      <c r="AM83" s="520" t="str">
        <f t="shared" si="38"/>
        <v>Row Not Used</v>
      </c>
      <c r="AN83" s="512" t="e" cm="1">
        <f t="array" ref="AN83">INDEX(BallastFactorTable[Ballast Factor],MATCH(1,(BallastFactorTable[Fixture Class]=D83)*(BallastFactorTable[Fixture Category]=E83)*(BallastFactorTable[Fixture Sub-category]=F83),0))</f>
        <v>#N/A</v>
      </c>
      <c r="AO83" s="143" t="str">
        <f t="shared" si="51"/>
        <v/>
      </c>
      <c r="AP83" s="501" t="e" cm="1">
        <f t="array" ref="AP83">INDEX(BallastFactorTable[Wattage Range Name],MATCH(1,(BallastFactorTable[Fixture Class]=D83)*(BallastFactorTable[Fixture Category]=E83)*(BallastFactorTable[Fixture Sub-category]=F83),0))</f>
        <v>#N/A</v>
      </c>
      <c r="AQ83" s="515" t="str">
        <f t="shared" ca="1" si="39"/>
        <v>Okay</v>
      </c>
      <c r="AR83" s="512">
        <f t="shared" si="40"/>
        <v>0</v>
      </c>
      <c r="AS83" s="511" t="str">
        <f>IF(OR(Measures!AM83="Row Not Used",Measures!C83="Controls Only",Measures!C83="Decommissioning"),"",_xlfn.CONCAT(P83," ",Q83))</f>
        <v/>
      </c>
      <c r="AT83" s="264" t="str">
        <f t="shared" si="41"/>
        <v>None</v>
      </c>
      <c r="AU83" s="229">
        <f>IF(OR(AM83="Row Not Used",AM83="Controls Only"),0,INDEX(IncentiveRateTable[Incentive Rate],MATCH(AT83,IncentiveRateTable[Incentive Name],0)))</f>
        <v>0</v>
      </c>
      <c r="AV83" s="133" t="str">
        <f>IF(OR(AM83="Row Not Used",AM83="Controls Only"),"None",INDEX(IncentiveRateTable[Incentive Unit],MATCH(AT83,IncentiveRateTable[Incentive Name],0)))</f>
        <v>None</v>
      </c>
      <c r="AW83" s="578">
        <f t="shared" si="52"/>
        <v>0</v>
      </c>
      <c r="AX83" s="264" t="str">
        <f t="shared" si="42"/>
        <v>None</v>
      </c>
      <c r="AY83" s="229">
        <f>IF(OR(AM83="Row Not Used",AM83="Fixtures Only",AM83="Decommissioning"),0,INDEX(IncentiveRateTable[Incentive Rate],MATCH(AX83,IncentiveRateTable[Incentive Name],0)))</f>
        <v>0</v>
      </c>
      <c r="AZ83" s="133" t="str">
        <f>IF(OR(AM83="Row Not Used",AM83="Fixtures Only",AM83="Decommissioning"),"None",INDEX(IncentiveRateTable[Incentive Unit],MATCH(AX83,IncentiveRateTable[Incentive Name],0)))</f>
        <v>None</v>
      </c>
      <c r="BA83" s="465">
        <f t="shared" si="43"/>
        <v>0</v>
      </c>
      <c r="BB83" s="264" t="e" cm="1">
        <f t="array" ref="BB83">INDEX(BallastFactorTable[Commercial BPA Reference Number],MATCH(1,(BallastFactorTable[Fixture Class]=J83)*(BallastFactorTable[Fixture Category]=K83)*(BallastFactorTable[Fixture Sub-category]=L83),0))</f>
        <v>#N/A</v>
      </c>
      <c r="BC83" s="133" t="e" cm="1">
        <f t="array" ref="BC83">INDEX(BallastFactorTable[Industrial BPA Reference Number],MATCH(1,(BallastFactorTable[Fixture Class]=J83)*(BallastFactorTable[Fixture Category]=K83)*(BallastFactorTable[Fixture Sub-category]=L83),0))</f>
        <v>#N/A</v>
      </c>
      <c r="BD83" s="264" t="str">
        <f t="shared" si="44"/>
        <v>Sector is blank</v>
      </c>
      <c r="BE83" s="269" t="str">
        <f>IF(ISBLANK(SectorField),"Sector is blank",IF(AM83="Row Not Used","",IF(OR(R83="No Controls",ISBLANK(R83)),"",INDEX(ControlsBPARefNoTable[Reference Number],MATCH(SectorField,ControlsBPARefNoTable[Sector],0)))))</f>
        <v>Sector is blank</v>
      </c>
      <c r="BF83" s="530" t="str">
        <f t="shared" si="45"/>
        <v/>
      </c>
      <c r="BG83" s="132" t="str">
        <f t="shared" si="46"/>
        <v/>
      </c>
      <c r="BH83" s="531" t="str">
        <f t="shared" si="47"/>
        <v/>
      </c>
      <c r="BI83" s="532"/>
      <c r="BJ83" s="538" t="str">
        <f t="shared" si="53"/>
        <v/>
      </c>
      <c r="BK83" s="539" t="str">
        <f t="shared" si="54"/>
        <v/>
      </c>
      <c r="BL83" s="547" t="str">
        <f t="shared" si="55"/>
        <v/>
      </c>
    </row>
    <row r="84" spans="1:64" x14ac:dyDescent="0.3">
      <c r="A84" s="133">
        <v>77</v>
      </c>
      <c r="B84" s="294"/>
      <c r="C84" s="313"/>
      <c r="D84" s="292"/>
      <c r="E84" s="284"/>
      <c r="F84" s="284"/>
      <c r="G84" s="295"/>
      <c r="H84" s="296"/>
      <c r="I84" s="297"/>
      <c r="J84" s="292"/>
      <c r="K84" s="284"/>
      <c r="L84" s="284"/>
      <c r="M84" s="295"/>
      <c r="N84" s="296"/>
      <c r="O84" s="296"/>
      <c r="P84" s="284"/>
      <c r="Q84" s="298"/>
      <c r="R84" s="292"/>
      <c r="S84" s="299"/>
      <c r="T84" s="300"/>
      <c r="U84" s="317" t="str">
        <f t="shared" si="29"/>
        <v/>
      </c>
      <c r="V84" s="301"/>
      <c r="W84" s="137" t="str">
        <f t="shared" si="30"/>
        <v/>
      </c>
      <c r="X84" s="589" t="str">
        <f t="shared" si="48"/>
        <v/>
      </c>
      <c r="Y84" s="581"/>
      <c r="Z84" s="251" t="str">
        <f t="shared" si="31"/>
        <v/>
      </c>
      <c r="AA84" s="138" t="str">
        <f t="shared" si="56"/>
        <v/>
      </c>
      <c r="AB84" s="243" t="str">
        <f t="shared" si="49"/>
        <v/>
      </c>
      <c r="AC84" s="141" t="str">
        <f t="shared" si="32"/>
        <v/>
      </c>
      <c r="AD84" s="138" t="str">
        <f t="shared" si="50"/>
        <v/>
      </c>
      <c r="AE84" s="243" t="str">
        <f t="shared" si="33"/>
        <v/>
      </c>
      <c r="AF84" s="342" t="str">
        <f>IF(AM84="Row Not Used","",INDEX(SpaceTable[Annual Hours],(MATCH(B84,SpaceTable[Space Name Concatenated Helper],0))))</f>
        <v/>
      </c>
      <c r="AG84" s="205" t="str">
        <f t="shared" si="34"/>
        <v/>
      </c>
      <c r="AH84" s="234" t="str">
        <f t="shared" si="35"/>
        <v/>
      </c>
      <c r="AI84" s="205" t="str">
        <f t="shared" si="36"/>
        <v/>
      </c>
      <c r="AJ84" s="234" t="str">
        <f t="shared" si="37"/>
        <v/>
      </c>
      <c r="AK84" s="144" t="str">
        <f>IF(AM84="Row Not Used","",INDEX(SpaceTable[Row],(MATCH(B84,SpaceTable[Space Name Concatenated Helper],0))))</f>
        <v/>
      </c>
      <c r="AL84" s="238" t="str">
        <f>IF(AM84="Row Not Used","",INDEX(SpaceTable[HVAC Factor],(MATCH(B84,SpaceTable[Space Name Concatenated Helper],0))))</f>
        <v/>
      </c>
      <c r="AM84" s="520" t="str">
        <f t="shared" si="38"/>
        <v>Row Not Used</v>
      </c>
      <c r="AN84" s="512" t="e" cm="1">
        <f t="array" ref="AN84">INDEX(BallastFactorTable[Ballast Factor],MATCH(1,(BallastFactorTable[Fixture Class]=D84)*(BallastFactorTable[Fixture Category]=E84)*(BallastFactorTable[Fixture Sub-category]=F84),0))</f>
        <v>#N/A</v>
      </c>
      <c r="AO84" s="143" t="str">
        <f t="shared" si="51"/>
        <v/>
      </c>
      <c r="AP84" s="501" t="e" cm="1">
        <f t="array" ref="AP84">INDEX(BallastFactorTable[Wattage Range Name],MATCH(1,(BallastFactorTable[Fixture Class]=D84)*(BallastFactorTable[Fixture Category]=E84)*(BallastFactorTable[Fixture Sub-category]=F84),0))</f>
        <v>#N/A</v>
      </c>
      <c r="AQ84" s="515" t="str">
        <f t="shared" ca="1" si="39"/>
        <v>Okay</v>
      </c>
      <c r="AR84" s="512">
        <f t="shared" si="40"/>
        <v>0</v>
      </c>
      <c r="AS84" s="511" t="str">
        <f>IF(OR(Measures!AM84="Row Not Used",Measures!C84="Controls Only",Measures!C84="Decommissioning"),"",_xlfn.CONCAT(P84," ",Q84))</f>
        <v/>
      </c>
      <c r="AT84" s="264" t="str">
        <f t="shared" si="41"/>
        <v>None</v>
      </c>
      <c r="AU84" s="229">
        <f>IF(OR(AM84="Row Not Used",AM84="Controls Only"),0,INDEX(IncentiveRateTable[Incentive Rate],MATCH(AT84,IncentiveRateTable[Incentive Name],0)))</f>
        <v>0</v>
      </c>
      <c r="AV84" s="133" t="str">
        <f>IF(OR(AM84="Row Not Used",AM84="Controls Only"),"None",INDEX(IncentiveRateTable[Incentive Unit],MATCH(AT84,IncentiveRateTable[Incentive Name],0)))</f>
        <v>None</v>
      </c>
      <c r="AW84" s="578">
        <f t="shared" si="52"/>
        <v>0</v>
      </c>
      <c r="AX84" s="264" t="str">
        <f t="shared" si="42"/>
        <v>None</v>
      </c>
      <c r="AY84" s="229">
        <f>IF(OR(AM84="Row Not Used",AM84="Fixtures Only",AM84="Decommissioning"),0,INDEX(IncentiveRateTable[Incentive Rate],MATCH(AX84,IncentiveRateTable[Incentive Name],0)))</f>
        <v>0</v>
      </c>
      <c r="AZ84" s="133" t="str">
        <f>IF(OR(AM84="Row Not Used",AM84="Fixtures Only",AM84="Decommissioning"),"None",INDEX(IncentiveRateTable[Incentive Unit],MATCH(AX84,IncentiveRateTable[Incentive Name],0)))</f>
        <v>None</v>
      </c>
      <c r="BA84" s="465">
        <f t="shared" si="43"/>
        <v>0</v>
      </c>
      <c r="BB84" s="264" t="e" cm="1">
        <f t="array" ref="BB84">INDEX(BallastFactorTable[Commercial BPA Reference Number],MATCH(1,(BallastFactorTable[Fixture Class]=J84)*(BallastFactorTable[Fixture Category]=K84)*(BallastFactorTable[Fixture Sub-category]=L84),0))</f>
        <v>#N/A</v>
      </c>
      <c r="BC84" s="133" t="e" cm="1">
        <f t="array" ref="BC84">INDEX(BallastFactorTable[Industrial BPA Reference Number],MATCH(1,(BallastFactorTable[Fixture Class]=J84)*(BallastFactorTable[Fixture Category]=K84)*(BallastFactorTable[Fixture Sub-category]=L84),0))</f>
        <v>#N/A</v>
      </c>
      <c r="BD84" s="264" t="str">
        <f t="shared" si="44"/>
        <v>Sector is blank</v>
      </c>
      <c r="BE84" s="269" t="str">
        <f>IF(ISBLANK(SectorField),"Sector is blank",IF(AM84="Row Not Used","",IF(OR(R84="No Controls",ISBLANK(R84)),"",INDEX(ControlsBPARefNoTable[Reference Number],MATCH(SectorField,ControlsBPARefNoTable[Sector],0)))))</f>
        <v>Sector is blank</v>
      </c>
      <c r="BF84" s="530" t="str">
        <f t="shared" si="45"/>
        <v/>
      </c>
      <c r="BG84" s="132" t="str">
        <f t="shared" si="46"/>
        <v/>
      </c>
      <c r="BH84" s="531" t="str">
        <f t="shared" si="47"/>
        <v/>
      </c>
      <c r="BI84" s="532"/>
      <c r="BJ84" s="538" t="str">
        <f t="shared" si="53"/>
        <v/>
      </c>
      <c r="BK84" s="539" t="str">
        <f t="shared" si="54"/>
        <v/>
      </c>
      <c r="BL84" s="547" t="str">
        <f t="shared" si="55"/>
        <v/>
      </c>
    </row>
    <row r="85" spans="1:64" x14ac:dyDescent="0.3">
      <c r="A85" s="133">
        <v>78</v>
      </c>
      <c r="B85" s="294"/>
      <c r="C85" s="313"/>
      <c r="D85" s="292"/>
      <c r="E85" s="284"/>
      <c r="F85" s="284"/>
      <c r="G85" s="295"/>
      <c r="H85" s="296"/>
      <c r="I85" s="297"/>
      <c r="J85" s="292"/>
      <c r="K85" s="284"/>
      <c r="L85" s="284"/>
      <c r="M85" s="295"/>
      <c r="N85" s="296"/>
      <c r="O85" s="296"/>
      <c r="P85" s="284"/>
      <c r="Q85" s="298"/>
      <c r="R85" s="292"/>
      <c r="S85" s="299"/>
      <c r="T85" s="300"/>
      <c r="U85" s="317" t="str">
        <f t="shared" si="29"/>
        <v/>
      </c>
      <c r="V85" s="301"/>
      <c r="W85" s="136" t="str">
        <f t="shared" si="30"/>
        <v/>
      </c>
      <c r="X85" s="588" t="str">
        <f t="shared" si="48"/>
        <v/>
      </c>
      <c r="Y85" s="580"/>
      <c r="Z85" s="251" t="str">
        <f t="shared" si="31"/>
        <v/>
      </c>
      <c r="AA85" s="138" t="str">
        <f t="shared" si="56"/>
        <v/>
      </c>
      <c r="AB85" s="243" t="str">
        <f t="shared" si="49"/>
        <v/>
      </c>
      <c r="AC85" s="141" t="str">
        <f t="shared" si="32"/>
        <v/>
      </c>
      <c r="AD85" s="138" t="str">
        <f t="shared" si="50"/>
        <v/>
      </c>
      <c r="AE85" s="243" t="str">
        <f t="shared" si="33"/>
        <v/>
      </c>
      <c r="AF85" s="342" t="str">
        <f>IF(AM85="Row Not Used","",INDEX(SpaceTable[Annual Hours],(MATCH(B85,SpaceTable[Space Name Concatenated Helper],0))))</f>
        <v/>
      </c>
      <c r="AG85" s="205" t="str">
        <f t="shared" si="34"/>
        <v/>
      </c>
      <c r="AH85" s="234" t="str">
        <f t="shared" si="35"/>
        <v/>
      </c>
      <c r="AI85" s="205" t="str">
        <f t="shared" si="36"/>
        <v/>
      </c>
      <c r="AJ85" s="234" t="str">
        <f t="shared" si="37"/>
        <v/>
      </c>
      <c r="AK85" s="144" t="str">
        <f>IF(AM85="Row Not Used","",INDEX(SpaceTable[Row],(MATCH(B85,SpaceTable[Space Name Concatenated Helper],0))))</f>
        <v/>
      </c>
      <c r="AL85" s="238" t="str">
        <f>IF(AM85="Row Not Used","",INDEX(SpaceTable[HVAC Factor],(MATCH(B85,SpaceTable[Space Name Concatenated Helper],0))))</f>
        <v/>
      </c>
      <c r="AM85" s="520" t="str">
        <f t="shared" si="38"/>
        <v>Row Not Used</v>
      </c>
      <c r="AN85" s="512" t="e" cm="1">
        <f t="array" ref="AN85">INDEX(BallastFactorTable[Ballast Factor],MATCH(1,(BallastFactorTable[Fixture Class]=D85)*(BallastFactorTable[Fixture Category]=E85)*(BallastFactorTable[Fixture Sub-category]=F85),0))</f>
        <v>#N/A</v>
      </c>
      <c r="AO85" s="143" t="str">
        <f t="shared" si="51"/>
        <v/>
      </c>
      <c r="AP85" s="501" t="e" cm="1">
        <f t="array" ref="AP85">INDEX(BallastFactorTable[Wattage Range Name],MATCH(1,(BallastFactorTable[Fixture Class]=D85)*(BallastFactorTable[Fixture Category]=E85)*(BallastFactorTable[Fixture Sub-category]=F85),0))</f>
        <v>#N/A</v>
      </c>
      <c r="AQ85" s="515" t="str">
        <f t="shared" ca="1" si="39"/>
        <v>Okay</v>
      </c>
      <c r="AR85" s="512">
        <f t="shared" si="40"/>
        <v>0</v>
      </c>
      <c r="AS85" s="511" t="str">
        <f>IF(OR(Measures!AM85="Row Not Used",Measures!C85="Controls Only",Measures!C85="Decommissioning"),"",_xlfn.CONCAT(P85," ",Q85))</f>
        <v/>
      </c>
      <c r="AT85" s="264" t="str">
        <f t="shared" si="41"/>
        <v>None</v>
      </c>
      <c r="AU85" s="229">
        <f>IF(OR(AM85="Row Not Used",AM85="Controls Only"),0,INDEX(IncentiveRateTable[Incentive Rate],MATCH(AT85,IncentiveRateTable[Incentive Name],0)))</f>
        <v>0</v>
      </c>
      <c r="AV85" s="133" t="str">
        <f>IF(OR(AM85="Row Not Used",AM85="Controls Only"),"None",INDEX(IncentiveRateTable[Incentive Unit],MATCH(AT85,IncentiveRateTable[Incentive Name],0)))</f>
        <v>None</v>
      </c>
      <c r="AW85" s="578">
        <f t="shared" si="52"/>
        <v>0</v>
      </c>
      <c r="AX85" s="264" t="str">
        <f t="shared" si="42"/>
        <v>None</v>
      </c>
      <c r="AY85" s="229">
        <f>IF(OR(AM85="Row Not Used",AM85="Fixtures Only",AM85="Decommissioning"),0,INDEX(IncentiveRateTable[Incentive Rate],MATCH(AX85,IncentiveRateTable[Incentive Name],0)))</f>
        <v>0</v>
      </c>
      <c r="AZ85" s="133" t="str">
        <f>IF(OR(AM85="Row Not Used",AM85="Fixtures Only",AM85="Decommissioning"),"None",INDEX(IncentiveRateTable[Incentive Unit],MATCH(AX85,IncentiveRateTable[Incentive Name],0)))</f>
        <v>None</v>
      </c>
      <c r="BA85" s="465">
        <f t="shared" si="43"/>
        <v>0</v>
      </c>
      <c r="BB85" s="264" t="e" cm="1">
        <f t="array" ref="BB85">INDEX(BallastFactorTable[Commercial BPA Reference Number],MATCH(1,(BallastFactorTable[Fixture Class]=J85)*(BallastFactorTable[Fixture Category]=K85)*(BallastFactorTable[Fixture Sub-category]=L85),0))</f>
        <v>#N/A</v>
      </c>
      <c r="BC85" s="133" t="e" cm="1">
        <f t="array" ref="BC85">INDEX(BallastFactorTable[Industrial BPA Reference Number],MATCH(1,(BallastFactorTable[Fixture Class]=J85)*(BallastFactorTable[Fixture Category]=K85)*(BallastFactorTable[Fixture Sub-category]=L85),0))</f>
        <v>#N/A</v>
      </c>
      <c r="BD85" s="264" t="str">
        <f t="shared" si="44"/>
        <v>Sector is blank</v>
      </c>
      <c r="BE85" s="269" t="str">
        <f>IF(ISBLANK(SectorField),"Sector is blank",IF(AM85="Row Not Used","",IF(OR(R85="No Controls",ISBLANK(R85)),"",INDEX(ControlsBPARefNoTable[Reference Number],MATCH(SectorField,ControlsBPARefNoTable[Sector],0)))))</f>
        <v>Sector is blank</v>
      </c>
      <c r="BF85" s="530" t="str">
        <f t="shared" si="45"/>
        <v/>
      </c>
      <c r="BG85" s="132" t="str">
        <f t="shared" si="46"/>
        <v/>
      </c>
      <c r="BH85" s="531" t="str">
        <f t="shared" si="47"/>
        <v/>
      </c>
      <c r="BI85" s="532"/>
      <c r="BJ85" s="538" t="str">
        <f t="shared" si="53"/>
        <v/>
      </c>
      <c r="BK85" s="539" t="str">
        <f t="shared" si="54"/>
        <v/>
      </c>
      <c r="BL85" s="547" t="str">
        <f t="shared" si="55"/>
        <v/>
      </c>
    </row>
    <row r="86" spans="1:64" x14ac:dyDescent="0.3">
      <c r="A86" s="133">
        <v>79</v>
      </c>
      <c r="B86" s="294"/>
      <c r="C86" s="313"/>
      <c r="D86" s="292"/>
      <c r="E86" s="284"/>
      <c r="F86" s="284"/>
      <c r="G86" s="295"/>
      <c r="H86" s="296"/>
      <c r="I86" s="297"/>
      <c r="J86" s="292"/>
      <c r="K86" s="284"/>
      <c r="L86" s="284"/>
      <c r="M86" s="295"/>
      <c r="N86" s="296"/>
      <c r="O86" s="296"/>
      <c r="P86" s="284"/>
      <c r="Q86" s="298"/>
      <c r="R86" s="292"/>
      <c r="S86" s="299"/>
      <c r="T86" s="300"/>
      <c r="U86" s="317" t="str">
        <f t="shared" si="29"/>
        <v/>
      </c>
      <c r="V86" s="301"/>
      <c r="W86" s="137" t="str">
        <f t="shared" si="30"/>
        <v/>
      </c>
      <c r="X86" s="589" t="str">
        <f t="shared" si="48"/>
        <v/>
      </c>
      <c r="Y86" s="581"/>
      <c r="Z86" s="251" t="str">
        <f t="shared" si="31"/>
        <v/>
      </c>
      <c r="AA86" s="138" t="str">
        <f t="shared" si="56"/>
        <v/>
      </c>
      <c r="AB86" s="243" t="str">
        <f t="shared" si="49"/>
        <v/>
      </c>
      <c r="AC86" s="141" t="str">
        <f t="shared" si="32"/>
        <v/>
      </c>
      <c r="AD86" s="138" t="str">
        <f t="shared" si="50"/>
        <v/>
      </c>
      <c r="AE86" s="243" t="str">
        <f t="shared" si="33"/>
        <v/>
      </c>
      <c r="AF86" s="342" t="str">
        <f>IF(AM86="Row Not Used","",INDEX(SpaceTable[Annual Hours],(MATCH(B86,SpaceTable[Space Name Concatenated Helper],0))))</f>
        <v/>
      </c>
      <c r="AG86" s="205" t="str">
        <f t="shared" si="34"/>
        <v/>
      </c>
      <c r="AH86" s="234" t="str">
        <f t="shared" si="35"/>
        <v/>
      </c>
      <c r="AI86" s="205" t="str">
        <f t="shared" si="36"/>
        <v/>
      </c>
      <c r="AJ86" s="234" t="str">
        <f t="shared" si="37"/>
        <v/>
      </c>
      <c r="AK86" s="144" t="str">
        <f>IF(AM86="Row Not Used","",INDEX(SpaceTable[Row],(MATCH(B86,SpaceTable[Space Name Concatenated Helper],0))))</f>
        <v/>
      </c>
      <c r="AL86" s="238" t="str">
        <f>IF(AM86="Row Not Used","",INDEX(SpaceTable[HVAC Factor],(MATCH(B86,SpaceTable[Space Name Concatenated Helper],0))))</f>
        <v/>
      </c>
      <c r="AM86" s="520" t="str">
        <f t="shared" si="38"/>
        <v>Row Not Used</v>
      </c>
      <c r="AN86" s="512" t="e" cm="1">
        <f t="array" ref="AN86">INDEX(BallastFactorTable[Ballast Factor],MATCH(1,(BallastFactorTable[Fixture Class]=D86)*(BallastFactorTable[Fixture Category]=E86)*(BallastFactorTable[Fixture Sub-category]=F86),0))</f>
        <v>#N/A</v>
      </c>
      <c r="AO86" s="143" t="str">
        <f t="shared" si="51"/>
        <v/>
      </c>
      <c r="AP86" s="501" t="e" cm="1">
        <f t="array" ref="AP86">INDEX(BallastFactorTable[Wattage Range Name],MATCH(1,(BallastFactorTable[Fixture Class]=D86)*(BallastFactorTable[Fixture Category]=E86)*(BallastFactorTable[Fixture Sub-category]=F86),0))</f>
        <v>#N/A</v>
      </c>
      <c r="AQ86" s="515" t="str">
        <f t="shared" ca="1" si="39"/>
        <v>Okay</v>
      </c>
      <c r="AR86" s="512">
        <f t="shared" si="40"/>
        <v>0</v>
      </c>
      <c r="AS86" s="511" t="str">
        <f>IF(OR(Measures!AM86="Row Not Used",Measures!C86="Controls Only",Measures!C86="Decommissioning"),"",_xlfn.CONCAT(P86," ",Q86))</f>
        <v/>
      </c>
      <c r="AT86" s="264" t="str">
        <f t="shared" si="41"/>
        <v>None</v>
      </c>
      <c r="AU86" s="229">
        <f>IF(OR(AM86="Row Not Used",AM86="Controls Only"),0,INDEX(IncentiveRateTable[Incentive Rate],MATCH(AT86,IncentiveRateTable[Incentive Name],0)))</f>
        <v>0</v>
      </c>
      <c r="AV86" s="133" t="str">
        <f>IF(OR(AM86="Row Not Used",AM86="Controls Only"),"None",INDEX(IncentiveRateTable[Incentive Unit],MATCH(AT86,IncentiveRateTable[Incentive Name],0)))</f>
        <v>None</v>
      </c>
      <c r="AW86" s="578">
        <f t="shared" si="52"/>
        <v>0</v>
      </c>
      <c r="AX86" s="264" t="str">
        <f t="shared" si="42"/>
        <v>None</v>
      </c>
      <c r="AY86" s="229">
        <f>IF(OR(AM86="Row Not Used",AM86="Fixtures Only",AM86="Decommissioning"),0,INDEX(IncentiveRateTable[Incentive Rate],MATCH(AX86,IncentiveRateTable[Incentive Name],0)))</f>
        <v>0</v>
      </c>
      <c r="AZ86" s="133" t="str">
        <f>IF(OR(AM86="Row Not Used",AM86="Fixtures Only",AM86="Decommissioning"),"None",INDEX(IncentiveRateTable[Incentive Unit],MATCH(AX86,IncentiveRateTable[Incentive Name],0)))</f>
        <v>None</v>
      </c>
      <c r="BA86" s="465">
        <f t="shared" si="43"/>
        <v>0</v>
      </c>
      <c r="BB86" s="264" t="e" cm="1">
        <f t="array" ref="BB86">INDEX(BallastFactorTable[Commercial BPA Reference Number],MATCH(1,(BallastFactorTable[Fixture Class]=J86)*(BallastFactorTable[Fixture Category]=K86)*(BallastFactorTable[Fixture Sub-category]=L86),0))</f>
        <v>#N/A</v>
      </c>
      <c r="BC86" s="133" t="e" cm="1">
        <f t="array" ref="BC86">INDEX(BallastFactorTable[Industrial BPA Reference Number],MATCH(1,(BallastFactorTable[Fixture Class]=J86)*(BallastFactorTable[Fixture Category]=K86)*(BallastFactorTable[Fixture Sub-category]=L86),0))</f>
        <v>#N/A</v>
      </c>
      <c r="BD86" s="264" t="str">
        <f t="shared" si="44"/>
        <v>Sector is blank</v>
      </c>
      <c r="BE86" s="269" t="str">
        <f>IF(ISBLANK(SectorField),"Sector is blank",IF(AM86="Row Not Used","",IF(OR(R86="No Controls",ISBLANK(R86)),"",INDEX(ControlsBPARefNoTable[Reference Number],MATCH(SectorField,ControlsBPARefNoTable[Sector],0)))))</f>
        <v>Sector is blank</v>
      </c>
      <c r="BF86" s="530" t="str">
        <f t="shared" si="45"/>
        <v/>
      </c>
      <c r="BG86" s="132" t="str">
        <f t="shared" si="46"/>
        <v/>
      </c>
      <c r="BH86" s="531" t="str">
        <f t="shared" si="47"/>
        <v/>
      </c>
      <c r="BI86" s="532"/>
      <c r="BJ86" s="538" t="str">
        <f t="shared" si="53"/>
        <v/>
      </c>
      <c r="BK86" s="539" t="str">
        <f t="shared" si="54"/>
        <v/>
      </c>
      <c r="BL86" s="547" t="str">
        <f t="shared" si="55"/>
        <v/>
      </c>
    </row>
    <row r="87" spans="1:64" x14ac:dyDescent="0.3">
      <c r="A87" s="133">
        <v>80</v>
      </c>
      <c r="B87" s="294"/>
      <c r="C87" s="313"/>
      <c r="D87" s="292"/>
      <c r="E87" s="284"/>
      <c r="F87" s="284"/>
      <c r="G87" s="295"/>
      <c r="H87" s="296"/>
      <c r="I87" s="297"/>
      <c r="J87" s="292"/>
      <c r="K87" s="284"/>
      <c r="L87" s="284"/>
      <c r="M87" s="295"/>
      <c r="N87" s="296"/>
      <c r="O87" s="296"/>
      <c r="P87" s="284"/>
      <c r="Q87" s="298"/>
      <c r="R87" s="292"/>
      <c r="S87" s="299"/>
      <c r="T87" s="300"/>
      <c r="U87" s="317" t="str">
        <f t="shared" si="29"/>
        <v/>
      </c>
      <c r="V87" s="301"/>
      <c r="W87" s="136" t="str">
        <f t="shared" si="30"/>
        <v/>
      </c>
      <c r="X87" s="588" t="str">
        <f t="shared" si="48"/>
        <v/>
      </c>
      <c r="Y87" s="580"/>
      <c r="Z87" s="251" t="str">
        <f t="shared" si="31"/>
        <v/>
      </c>
      <c r="AA87" s="138" t="str">
        <f t="shared" si="56"/>
        <v/>
      </c>
      <c r="AB87" s="243" t="str">
        <f t="shared" si="49"/>
        <v/>
      </c>
      <c r="AC87" s="141" t="str">
        <f t="shared" si="32"/>
        <v/>
      </c>
      <c r="AD87" s="138" t="str">
        <f t="shared" si="50"/>
        <v/>
      </c>
      <c r="AE87" s="243" t="str">
        <f t="shared" si="33"/>
        <v/>
      </c>
      <c r="AF87" s="342" t="str">
        <f>IF(AM87="Row Not Used","",INDEX(SpaceTable[Annual Hours],(MATCH(B87,SpaceTable[Space Name Concatenated Helper],0))))</f>
        <v/>
      </c>
      <c r="AG87" s="205" t="str">
        <f t="shared" si="34"/>
        <v/>
      </c>
      <c r="AH87" s="234" t="str">
        <f t="shared" si="35"/>
        <v/>
      </c>
      <c r="AI87" s="205" t="str">
        <f t="shared" si="36"/>
        <v/>
      </c>
      <c r="AJ87" s="234" t="str">
        <f t="shared" si="37"/>
        <v/>
      </c>
      <c r="AK87" s="144" t="str">
        <f>IF(AM87="Row Not Used","",INDEX(SpaceTable[Row],(MATCH(B87,SpaceTable[Space Name Concatenated Helper],0))))</f>
        <v/>
      </c>
      <c r="AL87" s="238" t="str">
        <f>IF(AM87="Row Not Used","",INDEX(SpaceTable[HVAC Factor],(MATCH(B87,SpaceTable[Space Name Concatenated Helper],0))))</f>
        <v/>
      </c>
      <c r="AM87" s="520" t="str">
        <f t="shared" si="38"/>
        <v>Row Not Used</v>
      </c>
      <c r="AN87" s="512" t="e" cm="1">
        <f t="array" ref="AN87">INDEX(BallastFactorTable[Ballast Factor],MATCH(1,(BallastFactorTable[Fixture Class]=D87)*(BallastFactorTable[Fixture Category]=E87)*(BallastFactorTable[Fixture Sub-category]=F87),0))</f>
        <v>#N/A</v>
      </c>
      <c r="AO87" s="143" t="str">
        <f t="shared" si="51"/>
        <v/>
      </c>
      <c r="AP87" s="501" t="e" cm="1">
        <f t="array" ref="AP87">INDEX(BallastFactorTable[Wattage Range Name],MATCH(1,(BallastFactorTable[Fixture Class]=D87)*(BallastFactorTable[Fixture Category]=E87)*(BallastFactorTable[Fixture Sub-category]=F87),0))</f>
        <v>#N/A</v>
      </c>
      <c r="AQ87" s="515" t="str">
        <f t="shared" ca="1" si="39"/>
        <v>Okay</v>
      </c>
      <c r="AR87" s="512">
        <f t="shared" si="40"/>
        <v>0</v>
      </c>
      <c r="AS87" s="511" t="str">
        <f>IF(OR(Measures!AM87="Row Not Used",Measures!C87="Controls Only",Measures!C87="Decommissioning"),"",_xlfn.CONCAT(P87," ",Q87))</f>
        <v/>
      </c>
      <c r="AT87" s="264" t="str">
        <f t="shared" si="41"/>
        <v>None</v>
      </c>
      <c r="AU87" s="229">
        <f>IF(OR(AM87="Row Not Used",AM87="Controls Only"),0,INDEX(IncentiveRateTable[Incentive Rate],MATCH(AT87,IncentiveRateTable[Incentive Name],0)))</f>
        <v>0</v>
      </c>
      <c r="AV87" s="133" t="str">
        <f>IF(OR(AM87="Row Not Used",AM87="Controls Only"),"None",INDEX(IncentiveRateTable[Incentive Unit],MATCH(AT87,IncentiveRateTable[Incentive Name],0)))</f>
        <v>None</v>
      </c>
      <c r="AW87" s="578">
        <f t="shared" si="52"/>
        <v>0</v>
      </c>
      <c r="AX87" s="264" t="str">
        <f t="shared" si="42"/>
        <v>None</v>
      </c>
      <c r="AY87" s="229">
        <f>IF(OR(AM87="Row Not Used",AM87="Fixtures Only",AM87="Decommissioning"),0,INDEX(IncentiveRateTable[Incentive Rate],MATCH(AX87,IncentiveRateTable[Incentive Name],0)))</f>
        <v>0</v>
      </c>
      <c r="AZ87" s="133" t="str">
        <f>IF(OR(AM87="Row Not Used",AM87="Fixtures Only",AM87="Decommissioning"),"None",INDEX(IncentiveRateTable[Incentive Unit],MATCH(AX87,IncentiveRateTable[Incentive Name],0)))</f>
        <v>None</v>
      </c>
      <c r="BA87" s="465">
        <f t="shared" si="43"/>
        <v>0</v>
      </c>
      <c r="BB87" s="264" t="e" cm="1">
        <f t="array" ref="BB87">INDEX(BallastFactorTable[Commercial BPA Reference Number],MATCH(1,(BallastFactorTable[Fixture Class]=J87)*(BallastFactorTable[Fixture Category]=K87)*(BallastFactorTable[Fixture Sub-category]=L87),0))</f>
        <v>#N/A</v>
      </c>
      <c r="BC87" s="133" t="e" cm="1">
        <f t="array" ref="BC87">INDEX(BallastFactorTable[Industrial BPA Reference Number],MATCH(1,(BallastFactorTable[Fixture Class]=J87)*(BallastFactorTable[Fixture Category]=K87)*(BallastFactorTable[Fixture Sub-category]=L87),0))</f>
        <v>#N/A</v>
      </c>
      <c r="BD87" s="264" t="str">
        <f t="shared" si="44"/>
        <v>Sector is blank</v>
      </c>
      <c r="BE87" s="269" t="str">
        <f>IF(ISBLANK(SectorField),"Sector is blank",IF(AM87="Row Not Used","",IF(OR(R87="No Controls",ISBLANK(R87)),"",INDEX(ControlsBPARefNoTable[Reference Number],MATCH(SectorField,ControlsBPARefNoTable[Sector],0)))))</f>
        <v>Sector is blank</v>
      </c>
      <c r="BF87" s="530" t="str">
        <f t="shared" si="45"/>
        <v/>
      </c>
      <c r="BG87" s="132" t="str">
        <f t="shared" si="46"/>
        <v/>
      </c>
      <c r="BH87" s="531" t="str">
        <f t="shared" si="47"/>
        <v/>
      </c>
      <c r="BI87" s="532"/>
      <c r="BJ87" s="538" t="str">
        <f t="shared" si="53"/>
        <v/>
      </c>
      <c r="BK87" s="539" t="str">
        <f t="shared" si="54"/>
        <v/>
      </c>
      <c r="BL87" s="547" t="str">
        <f t="shared" si="55"/>
        <v/>
      </c>
    </row>
    <row r="88" spans="1:64" x14ac:dyDescent="0.3">
      <c r="A88" s="133">
        <v>81</v>
      </c>
      <c r="B88" s="294"/>
      <c r="C88" s="313"/>
      <c r="D88" s="292"/>
      <c r="E88" s="284"/>
      <c r="F88" s="284"/>
      <c r="G88" s="295"/>
      <c r="H88" s="296"/>
      <c r="I88" s="297"/>
      <c r="J88" s="292"/>
      <c r="K88" s="284"/>
      <c r="L88" s="284"/>
      <c r="M88" s="295"/>
      <c r="N88" s="296"/>
      <c r="O88" s="296"/>
      <c r="P88" s="284"/>
      <c r="Q88" s="298"/>
      <c r="R88" s="292"/>
      <c r="S88" s="299"/>
      <c r="T88" s="300"/>
      <c r="U88" s="317" t="str">
        <f t="shared" si="29"/>
        <v/>
      </c>
      <c r="V88" s="301"/>
      <c r="W88" s="137" t="str">
        <f t="shared" si="30"/>
        <v/>
      </c>
      <c r="X88" s="589" t="str">
        <f t="shared" si="48"/>
        <v/>
      </c>
      <c r="Y88" s="581"/>
      <c r="Z88" s="251" t="str">
        <f t="shared" si="31"/>
        <v/>
      </c>
      <c r="AA88" s="138" t="str">
        <f t="shared" si="56"/>
        <v/>
      </c>
      <c r="AB88" s="243" t="str">
        <f t="shared" si="49"/>
        <v/>
      </c>
      <c r="AC88" s="141" t="str">
        <f t="shared" si="32"/>
        <v/>
      </c>
      <c r="AD88" s="138" t="str">
        <f t="shared" si="50"/>
        <v/>
      </c>
      <c r="AE88" s="243" t="str">
        <f t="shared" si="33"/>
        <v/>
      </c>
      <c r="AF88" s="342" t="str">
        <f>IF(AM88="Row Not Used","",INDEX(SpaceTable[Annual Hours],(MATCH(B88,SpaceTable[Space Name Concatenated Helper],0))))</f>
        <v/>
      </c>
      <c r="AG88" s="205" t="str">
        <f t="shared" si="34"/>
        <v/>
      </c>
      <c r="AH88" s="234" t="str">
        <f t="shared" si="35"/>
        <v/>
      </c>
      <c r="AI88" s="205" t="str">
        <f t="shared" si="36"/>
        <v/>
      </c>
      <c r="AJ88" s="234" t="str">
        <f t="shared" si="37"/>
        <v/>
      </c>
      <c r="AK88" s="144" t="str">
        <f>IF(AM88="Row Not Used","",INDEX(SpaceTable[Row],(MATCH(B88,SpaceTable[Space Name Concatenated Helper],0))))</f>
        <v/>
      </c>
      <c r="AL88" s="238" t="str">
        <f>IF(AM88="Row Not Used","",INDEX(SpaceTable[HVAC Factor],(MATCH(B88,SpaceTable[Space Name Concatenated Helper],0))))</f>
        <v/>
      </c>
      <c r="AM88" s="520" t="str">
        <f t="shared" si="38"/>
        <v>Row Not Used</v>
      </c>
      <c r="AN88" s="512" t="e" cm="1">
        <f t="array" ref="AN88">INDEX(BallastFactorTable[Ballast Factor],MATCH(1,(BallastFactorTable[Fixture Class]=D88)*(BallastFactorTable[Fixture Category]=E88)*(BallastFactorTable[Fixture Sub-category]=F88),0))</f>
        <v>#N/A</v>
      </c>
      <c r="AO88" s="143" t="str">
        <f t="shared" si="51"/>
        <v/>
      </c>
      <c r="AP88" s="501" t="e" cm="1">
        <f t="array" ref="AP88">INDEX(BallastFactorTable[Wattage Range Name],MATCH(1,(BallastFactorTable[Fixture Class]=D88)*(BallastFactorTable[Fixture Category]=E88)*(BallastFactorTable[Fixture Sub-category]=F88),0))</f>
        <v>#N/A</v>
      </c>
      <c r="AQ88" s="515" t="str">
        <f t="shared" ca="1" si="39"/>
        <v>Okay</v>
      </c>
      <c r="AR88" s="512">
        <f t="shared" si="40"/>
        <v>0</v>
      </c>
      <c r="AS88" s="511" t="str">
        <f>IF(OR(Measures!AM88="Row Not Used",Measures!C88="Controls Only",Measures!C88="Decommissioning"),"",_xlfn.CONCAT(P88," ",Q88))</f>
        <v/>
      </c>
      <c r="AT88" s="264" t="str">
        <f t="shared" si="41"/>
        <v>None</v>
      </c>
      <c r="AU88" s="229">
        <f>IF(OR(AM88="Row Not Used",AM88="Controls Only"),0,INDEX(IncentiveRateTable[Incentive Rate],MATCH(AT88,IncentiveRateTable[Incentive Name],0)))</f>
        <v>0</v>
      </c>
      <c r="AV88" s="133" t="str">
        <f>IF(OR(AM88="Row Not Used",AM88="Controls Only"),"None",INDEX(IncentiveRateTable[Incentive Unit],MATCH(AT88,IncentiveRateTable[Incentive Name],0)))</f>
        <v>None</v>
      </c>
      <c r="AW88" s="578">
        <f t="shared" si="52"/>
        <v>0</v>
      </c>
      <c r="AX88" s="264" t="str">
        <f t="shared" si="42"/>
        <v>None</v>
      </c>
      <c r="AY88" s="229">
        <f>IF(OR(AM88="Row Not Used",AM88="Fixtures Only",AM88="Decommissioning"),0,INDEX(IncentiveRateTable[Incentive Rate],MATCH(AX88,IncentiveRateTable[Incentive Name],0)))</f>
        <v>0</v>
      </c>
      <c r="AZ88" s="133" t="str">
        <f>IF(OR(AM88="Row Not Used",AM88="Fixtures Only",AM88="Decommissioning"),"None",INDEX(IncentiveRateTable[Incentive Unit],MATCH(AX88,IncentiveRateTable[Incentive Name],0)))</f>
        <v>None</v>
      </c>
      <c r="BA88" s="465">
        <f t="shared" si="43"/>
        <v>0</v>
      </c>
      <c r="BB88" s="264" t="e" cm="1">
        <f t="array" ref="BB88">INDEX(BallastFactorTable[Commercial BPA Reference Number],MATCH(1,(BallastFactorTable[Fixture Class]=J88)*(BallastFactorTable[Fixture Category]=K88)*(BallastFactorTable[Fixture Sub-category]=L88),0))</f>
        <v>#N/A</v>
      </c>
      <c r="BC88" s="133" t="e" cm="1">
        <f t="array" ref="BC88">INDEX(BallastFactorTable[Industrial BPA Reference Number],MATCH(1,(BallastFactorTable[Fixture Class]=J88)*(BallastFactorTable[Fixture Category]=K88)*(BallastFactorTable[Fixture Sub-category]=L88),0))</f>
        <v>#N/A</v>
      </c>
      <c r="BD88" s="264" t="str">
        <f t="shared" si="44"/>
        <v>Sector is blank</v>
      </c>
      <c r="BE88" s="269" t="str">
        <f>IF(ISBLANK(SectorField),"Sector is blank",IF(AM88="Row Not Used","",IF(OR(R88="No Controls",ISBLANK(R88)),"",INDEX(ControlsBPARefNoTable[Reference Number],MATCH(SectorField,ControlsBPARefNoTable[Sector],0)))))</f>
        <v>Sector is blank</v>
      </c>
      <c r="BF88" s="530" t="str">
        <f t="shared" si="45"/>
        <v/>
      </c>
      <c r="BG88" s="132" t="str">
        <f t="shared" si="46"/>
        <v/>
      </c>
      <c r="BH88" s="531" t="str">
        <f t="shared" si="47"/>
        <v/>
      </c>
      <c r="BI88" s="532"/>
      <c r="BJ88" s="538" t="str">
        <f t="shared" si="53"/>
        <v/>
      </c>
      <c r="BK88" s="539" t="str">
        <f t="shared" si="54"/>
        <v/>
      </c>
      <c r="BL88" s="547" t="str">
        <f t="shared" si="55"/>
        <v/>
      </c>
    </row>
    <row r="89" spans="1:64" x14ac:dyDescent="0.3">
      <c r="A89" s="133">
        <v>82</v>
      </c>
      <c r="B89" s="294"/>
      <c r="C89" s="313"/>
      <c r="D89" s="292"/>
      <c r="E89" s="284"/>
      <c r="F89" s="284"/>
      <c r="G89" s="295"/>
      <c r="H89" s="296"/>
      <c r="I89" s="297"/>
      <c r="J89" s="292"/>
      <c r="K89" s="284"/>
      <c r="L89" s="284"/>
      <c r="M89" s="295"/>
      <c r="N89" s="296"/>
      <c r="O89" s="296"/>
      <c r="P89" s="284"/>
      <c r="Q89" s="298"/>
      <c r="R89" s="292"/>
      <c r="S89" s="299"/>
      <c r="T89" s="300"/>
      <c r="U89" s="317" t="str">
        <f t="shared" si="29"/>
        <v/>
      </c>
      <c r="V89" s="301"/>
      <c r="W89" s="136" t="str">
        <f t="shared" si="30"/>
        <v/>
      </c>
      <c r="X89" s="588" t="str">
        <f t="shared" si="48"/>
        <v/>
      </c>
      <c r="Y89" s="580"/>
      <c r="Z89" s="251" t="str">
        <f t="shared" si="31"/>
        <v/>
      </c>
      <c r="AA89" s="138" t="str">
        <f t="shared" si="56"/>
        <v/>
      </c>
      <c r="AB89" s="243" t="str">
        <f t="shared" si="49"/>
        <v/>
      </c>
      <c r="AC89" s="141" t="str">
        <f t="shared" si="32"/>
        <v/>
      </c>
      <c r="AD89" s="138" t="str">
        <f t="shared" si="50"/>
        <v/>
      </c>
      <c r="AE89" s="243" t="str">
        <f t="shared" si="33"/>
        <v/>
      </c>
      <c r="AF89" s="342" t="str">
        <f>IF(AM89="Row Not Used","",INDEX(SpaceTable[Annual Hours],(MATCH(B89,SpaceTable[Space Name Concatenated Helper],0))))</f>
        <v/>
      </c>
      <c r="AG89" s="205" t="str">
        <f t="shared" si="34"/>
        <v/>
      </c>
      <c r="AH89" s="234" t="str">
        <f t="shared" si="35"/>
        <v/>
      </c>
      <c r="AI89" s="205" t="str">
        <f t="shared" si="36"/>
        <v/>
      </c>
      <c r="AJ89" s="234" t="str">
        <f t="shared" si="37"/>
        <v/>
      </c>
      <c r="AK89" s="144" t="str">
        <f>IF(AM89="Row Not Used","",INDEX(SpaceTable[Row],(MATCH(B89,SpaceTable[Space Name Concatenated Helper],0))))</f>
        <v/>
      </c>
      <c r="AL89" s="238" t="str">
        <f>IF(AM89="Row Not Used","",INDEX(SpaceTable[HVAC Factor],(MATCH(B89,SpaceTable[Space Name Concatenated Helper],0))))</f>
        <v/>
      </c>
      <c r="AM89" s="520" t="str">
        <f t="shared" si="38"/>
        <v>Row Not Used</v>
      </c>
      <c r="AN89" s="512" t="e" cm="1">
        <f t="array" ref="AN89">INDEX(BallastFactorTable[Ballast Factor],MATCH(1,(BallastFactorTable[Fixture Class]=D89)*(BallastFactorTable[Fixture Category]=E89)*(BallastFactorTable[Fixture Sub-category]=F89),0))</f>
        <v>#N/A</v>
      </c>
      <c r="AO89" s="143" t="str">
        <f t="shared" si="51"/>
        <v/>
      </c>
      <c r="AP89" s="501" t="e" cm="1">
        <f t="array" ref="AP89">INDEX(BallastFactorTable[Wattage Range Name],MATCH(1,(BallastFactorTable[Fixture Class]=D89)*(BallastFactorTable[Fixture Category]=E89)*(BallastFactorTable[Fixture Sub-category]=F89),0))</f>
        <v>#N/A</v>
      </c>
      <c r="AQ89" s="515" t="str">
        <f t="shared" ca="1" si="39"/>
        <v>Okay</v>
      </c>
      <c r="AR89" s="512">
        <f t="shared" si="40"/>
        <v>0</v>
      </c>
      <c r="AS89" s="511" t="str">
        <f>IF(OR(Measures!AM89="Row Not Used",Measures!C89="Controls Only",Measures!C89="Decommissioning"),"",_xlfn.CONCAT(P89," ",Q89))</f>
        <v/>
      </c>
      <c r="AT89" s="264" t="str">
        <f t="shared" si="41"/>
        <v>None</v>
      </c>
      <c r="AU89" s="229">
        <f>IF(OR(AM89="Row Not Used",AM89="Controls Only"),0,INDEX(IncentiveRateTable[Incentive Rate],MATCH(AT89,IncentiveRateTable[Incentive Name],0)))</f>
        <v>0</v>
      </c>
      <c r="AV89" s="133" t="str">
        <f>IF(OR(AM89="Row Not Used",AM89="Controls Only"),"None",INDEX(IncentiveRateTable[Incentive Unit],MATCH(AT89,IncentiveRateTable[Incentive Name],0)))</f>
        <v>None</v>
      </c>
      <c r="AW89" s="578">
        <f t="shared" si="52"/>
        <v>0</v>
      </c>
      <c r="AX89" s="264" t="str">
        <f t="shared" si="42"/>
        <v>None</v>
      </c>
      <c r="AY89" s="229">
        <f>IF(OR(AM89="Row Not Used",AM89="Fixtures Only",AM89="Decommissioning"),0,INDEX(IncentiveRateTable[Incentive Rate],MATCH(AX89,IncentiveRateTable[Incentive Name],0)))</f>
        <v>0</v>
      </c>
      <c r="AZ89" s="133" t="str">
        <f>IF(OR(AM89="Row Not Used",AM89="Fixtures Only",AM89="Decommissioning"),"None",INDEX(IncentiveRateTable[Incentive Unit],MATCH(AX89,IncentiveRateTable[Incentive Name],0)))</f>
        <v>None</v>
      </c>
      <c r="BA89" s="465">
        <f t="shared" si="43"/>
        <v>0</v>
      </c>
      <c r="BB89" s="264" t="e" cm="1">
        <f t="array" ref="BB89">INDEX(BallastFactorTable[Commercial BPA Reference Number],MATCH(1,(BallastFactorTable[Fixture Class]=J89)*(BallastFactorTable[Fixture Category]=K89)*(BallastFactorTable[Fixture Sub-category]=L89),0))</f>
        <v>#N/A</v>
      </c>
      <c r="BC89" s="133" t="e" cm="1">
        <f t="array" ref="BC89">INDEX(BallastFactorTable[Industrial BPA Reference Number],MATCH(1,(BallastFactorTable[Fixture Class]=J89)*(BallastFactorTable[Fixture Category]=K89)*(BallastFactorTable[Fixture Sub-category]=L89),0))</f>
        <v>#N/A</v>
      </c>
      <c r="BD89" s="264" t="str">
        <f t="shared" si="44"/>
        <v>Sector is blank</v>
      </c>
      <c r="BE89" s="269" t="str">
        <f>IF(ISBLANK(SectorField),"Sector is blank",IF(AM89="Row Not Used","",IF(OR(R89="No Controls",ISBLANK(R89)),"",INDEX(ControlsBPARefNoTable[Reference Number],MATCH(SectorField,ControlsBPARefNoTable[Sector],0)))))</f>
        <v>Sector is blank</v>
      </c>
      <c r="BF89" s="530" t="str">
        <f t="shared" si="45"/>
        <v/>
      </c>
      <c r="BG89" s="132" t="str">
        <f t="shared" si="46"/>
        <v/>
      </c>
      <c r="BH89" s="531" t="str">
        <f t="shared" si="47"/>
        <v/>
      </c>
      <c r="BI89" s="532"/>
      <c r="BJ89" s="538" t="str">
        <f t="shared" si="53"/>
        <v/>
      </c>
      <c r="BK89" s="539" t="str">
        <f t="shared" si="54"/>
        <v/>
      </c>
      <c r="BL89" s="547" t="str">
        <f t="shared" si="55"/>
        <v/>
      </c>
    </row>
    <row r="90" spans="1:64" x14ac:dyDescent="0.3">
      <c r="A90" s="133">
        <v>83</v>
      </c>
      <c r="B90" s="294"/>
      <c r="C90" s="313"/>
      <c r="D90" s="292"/>
      <c r="E90" s="284"/>
      <c r="F90" s="284"/>
      <c r="G90" s="295"/>
      <c r="H90" s="296"/>
      <c r="I90" s="297"/>
      <c r="J90" s="292"/>
      <c r="K90" s="284"/>
      <c r="L90" s="284"/>
      <c r="M90" s="295"/>
      <c r="N90" s="296"/>
      <c r="O90" s="296"/>
      <c r="P90" s="284"/>
      <c r="Q90" s="298"/>
      <c r="R90" s="292"/>
      <c r="S90" s="299"/>
      <c r="T90" s="300"/>
      <c r="U90" s="317" t="str">
        <f t="shared" si="29"/>
        <v/>
      </c>
      <c r="V90" s="301"/>
      <c r="W90" s="137" t="str">
        <f t="shared" si="30"/>
        <v/>
      </c>
      <c r="X90" s="589" t="str">
        <f t="shared" si="48"/>
        <v/>
      </c>
      <c r="Y90" s="581"/>
      <c r="Z90" s="251" t="str">
        <f t="shared" si="31"/>
        <v/>
      </c>
      <c r="AA90" s="138" t="str">
        <f t="shared" si="56"/>
        <v/>
      </c>
      <c r="AB90" s="243" t="str">
        <f t="shared" si="49"/>
        <v/>
      </c>
      <c r="AC90" s="141" t="str">
        <f t="shared" si="32"/>
        <v/>
      </c>
      <c r="AD90" s="138" t="str">
        <f t="shared" si="50"/>
        <v/>
      </c>
      <c r="AE90" s="243" t="str">
        <f t="shared" si="33"/>
        <v/>
      </c>
      <c r="AF90" s="342" t="str">
        <f>IF(AM90="Row Not Used","",INDEX(SpaceTable[Annual Hours],(MATCH(B90,SpaceTable[Space Name Concatenated Helper],0))))</f>
        <v/>
      </c>
      <c r="AG90" s="205" t="str">
        <f t="shared" si="34"/>
        <v/>
      </c>
      <c r="AH90" s="234" t="str">
        <f t="shared" si="35"/>
        <v/>
      </c>
      <c r="AI90" s="205" t="str">
        <f t="shared" si="36"/>
        <v/>
      </c>
      <c r="AJ90" s="234" t="str">
        <f t="shared" si="37"/>
        <v/>
      </c>
      <c r="AK90" s="144" t="str">
        <f>IF(AM90="Row Not Used","",INDEX(SpaceTable[Row],(MATCH(B90,SpaceTable[Space Name Concatenated Helper],0))))</f>
        <v/>
      </c>
      <c r="AL90" s="238" t="str">
        <f>IF(AM90="Row Not Used","",INDEX(SpaceTable[HVAC Factor],(MATCH(B90,SpaceTable[Space Name Concatenated Helper],0))))</f>
        <v/>
      </c>
      <c r="AM90" s="520" t="str">
        <f t="shared" si="38"/>
        <v>Row Not Used</v>
      </c>
      <c r="AN90" s="512" t="e" cm="1">
        <f t="array" ref="AN90">INDEX(BallastFactorTable[Ballast Factor],MATCH(1,(BallastFactorTable[Fixture Class]=D90)*(BallastFactorTable[Fixture Category]=E90)*(BallastFactorTable[Fixture Sub-category]=F90),0))</f>
        <v>#N/A</v>
      </c>
      <c r="AO90" s="143" t="str">
        <f t="shared" si="51"/>
        <v/>
      </c>
      <c r="AP90" s="501" t="e" cm="1">
        <f t="array" ref="AP90">INDEX(BallastFactorTable[Wattage Range Name],MATCH(1,(BallastFactorTable[Fixture Class]=D90)*(BallastFactorTable[Fixture Category]=E90)*(BallastFactorTable[Fixture Sub-category]=F90),0))</f>
        <v>#N/A</v>
      </c>
      <c r="AQ90" s="515" t="str">
        <f t="shared" ca="1" si="39"/>
        <v>Okay</v>
      </c>
      <c r="AR90" s="512">
        <f t="shared" si="40"/>
        <v>0</v>
      </c>
      <c r="AS90" s="511" t="str">
        <f>IF(OR(Measures!AM90="Row Not Used",Measures!C90="Controls Only",Measures!C90="Decommissioning"),"",_xlfn.CONCAT(P90," ",Q90))</f>
        <v/>
      </c>
      <c r="AT90" s="264" t="str">
        <f t="shared" si="41"/>
        <v>None</v>
      </c>
      <c r="AU90" s="229">
        <f>IF(OR(AM90="Row Not Used",AM90="Controls Only"),0,INDEX(IncentiveRateTable[Incentive Rate],MATCH(AT90,IncentiveRateTable[Incentive Name],0)))</f>
        <v>0</v>
      </c>
      <c r="AV90" s="133" t="str">
        <f>IF(OR(AM90="Row Not Used",AM90="Controls Only"),"None",INDEX(IncentiveRateTable[Incentive Unit],MATCH(AT90,IncentiveRateTable[Incentive Name],0)))</f>
        <v>None</v>
      </c>
      <c r="AW90" s="578">
        <f t="shared" si="52"/>
        <v>0</v>
      </c>
      <c r="AX90" s="264" t="str">
        <f t="shared" si="42"/>
        <v>None</v>
      </c>
      <c r="AY90" s="229">
        <f>IF(OR(AM90="Row Not Used",AM90="Fixtures Only",AM90="Decommissioning"),0,INDEX(IncentiveRateTable[Incentive Rate],MATCH(AX90,IncentiveRateTable[Incentive Name],0)))</f>
        <v>0</v>
      </c>
      <c r="AZ90" s="133" t="str">
        <f>IF(OR(AM90="Row Not Used",AM90="Fixtures Only",AM90="Decommissioning"),"None",INDEX(IncentiveRateTable[Incentive Unit],MATCH(AX90,IncentiveRateTable[Incentive Name],0)))</f>
        <v>None</v>
      </c>
      <c r="BA90" s="465">
        <f t="shared" si="43"/>
        <v>0</v>
      </c>
      <c r="BB90" s="264" t="e" cm="1">
        <f t="array" ref="BB90">INDEX(BallastFactorTable[Commercial BPA Reference Number],MATCH(1,(BallastFactorTable[Fixture Class]=J90)*(BallastFactorTable[Fixture Category]=K90)*(BallastFactorTable[Fixture Sub-category]=L90),0))</f>
        <v>#N/A</v>
      </c>
      <c r="BC90" s="133" t="e" cm="1">
        <f t="array" ref="BC90">INDEX(BallastFactorTable[Industrial BPA Reference Number],MATCH(1,(BallastFactorTable[Fixture Class]=J90)*(BallastFactorTable[Fixture Category]=K90)*(BallastFactorTable[Fixture Sub-category]=L90),0))</f>
        <v>#N/A</v>
      </c>
      <c r="BD90" s="264" t="str">
        <f t="shared" si="44"/>
        <v>Sector is blank</v>
      </c>
      <c r="BE90" s="269" t="str">
        <f>IF(ISBLANK(SectorField),"Sector is blank",IF(AM90="Row Not Used","",IF(OR(R90="No Controls",ISBLANK(R90)),"",INDEX(ControlsBPARefNoTable[Reference Number],MATCH(SectorField,ControlsBPARefNoTable[Sector],0)))))</f>
        <v>Sector is blank</v>
      </c>
      <c r="BF90" s="530" t="str">
        <f t="shared" si="45"/>
        <v/>
      </c>
      <c r="BG90" s="132" t="str">
        <f t="shared" si="46"/>
        <v/>
      </c>
      <c r="BH90" s="531" t="str">
        <f t="shared" si="47"/>
        <v/>
      </c>
      <c r="BI90" s="532"/>
      <c r="BJ90" s="538" t="str">
        <f t="shared" si="53"/>
        <v/>
      </c>
      <c r="BK90" s="539" t="str">
        <f t="shared" si="54"/>
        <v/>
      </c>
      <c r="BL90" s="547" t="str">
        <f t="shared" si="55"/>
        <v/>
      </c>
    </row>
    <row r="91" spans="1:64" x14ac:dyDescent="0.3">
      <c r="A91" s="133">
        <v>84</v>
      </c>
      <c r="B91" s="294"/>
      <c r="C91" s="313"/>
      <c r="D91" s="292"/>
      <c r="E91" s="284"/>
      <c r="F91" s="284"/>
      <c r="G91" s="295"/>
      <c r="H91" s="296"/>
      <c r="I91" s="297"/>
      <c r="J91" s="292"/>
      <c r="K91" s="284"/>
      <c r="L91" s="284"/>
      <c r="M91" s="295"/>
      <c r="N91" s="296"/>
      <c r="O91" s="296"/>
      <c r="P91" s="284"/>
      <c r="Q91" s="298"/>
      <c r="R91" s="292"/>
      <c r="S91" s="299"/>
      <c r="T91" s="300"/>
      <c r="U91" s="317" t="str">
        <f t="shared" si="29"/>
        <v/>
      </c>
      <c r="V91" s="301"/>
      <c r="W91" s="136" t="str">
        <f t="shared" si="30"/>
        <v/>
      </c>
      <c r="X91" s="588" t="str">
        <f t="shared" si="48"/>
        <v/>
      </c>
      <c r="Y91" s="580"/>
      <c r="Z91" s="251" t="str">
        <f t="shared" si="31"/>
        <v/>
      </c>
      <c r="AA91" s="138" t="str">
        <f t="shared" si="56"/>
        <v/>
      </c>
      <c r="AB91" s="243" t="str">
        <f t="shared" si="49"/>
        <v/>
      </c>
      <c r="AC91" s="141" t="str">
        <f t="shared" si="32"/>
        <v/>
      </c>
      <c r="AD91" s="138" t="str">
        <f t="shared" si="50"/>
        <v/>
      </c>
      <c r="AE91" s="243" t="str">
        <f t="shared" si="33"/>
        <v/>
      </c>
      <c r="AF91" s="342" t="str">
        <f>IF(AM91="Row Not Used","",INDEX(SpaceTable[Annual Hours],(MATCH(B91,SpaceTable[Space Name Concatenated Helper],0))))</f>
        <v/>
      </c>
      <c r="AG91" s="205" t="str">
        <f t="shared" si="34"/>
        <v/>
      </c>
      <c r="AH91" s="234" t="str">
        <f t="shared" si="35"/>
        <v/>
      </c>
      <c r="AI91" s="205" t="str">
        <f t="shared" si="36"/>
        <v/>
      </c>
      <c r="AJ91" s="234" t="str">
        <f t="shared" si="37"/>
        <v/>
      </c>
      <c r="AK91" s="144" t="str">
        <f>IF(AM91="Row Not Used","",INDEX(SpaceTable[Row],(MATCH(B91,SpaceTable[Space Name Concatenated Helper],0))))</f>
        <v/>
      </c>
      <c r="AL91" s="238" t="str">
        <f>IF(AM91="Row Not Used","",INDEX(SpaceTable[HVAC Factor],(MATCH(B91,SpaceTable[Space Name Concatenated Helper],0))))</f>
        <v/>
      </c>
      <c r="AM91" s="520" t="str">
        <f t="shared" si="38"/>
        <v>Row Not Used</v>
      </c>
      <c r="AN91" s="512" t="e" cm="1">
        <f t="array" ref="AN91">INDEX(BallastFactorTable[Ballast Factor],MATCH(1,(BallastFactorTable[Fixture Class]=D91)*(BallastFactorTable[Fixture Category]=E91)*(BallastFactorTable[Fixture Sub-category]=F91),0))</f>
        <v>#N/A</v>
      </c>
      <c r="AO91" s="143" t="str">
        <f t="shared" si="51"/>
        <v/>
      </c>
      <c r="AP91" s="501" t="e" cm="1">
        <f t="array" ref="AP91">INDEX(BallastFactorTable[Wattage Range Name],MATCH(1,(BallastFactorTable[Fixture Class]=D91)*(BallastFactorTable[Fixture Category]=E91)*(BallastFactorTable[Fixture Sub-category]=F91),0))</f>
        <v>#N/A</v>
      </c>
      <c r="AQ91" s="515" t="str">
        <f t="shared" ca="1" si="39"/>
        <v>Okay</v>
      </c>
      <c r="AR91" s="512">
        <f t="shared" si="40"/>
        <v>0</v>
      </c>
      <c r="AS91" s="511" t="str">
        <f>IF(OR(Measures!AM91="Row Not Used",Measures!C91="Controls Only",Measures!C91="Decommissioning"),"",_xlfn.CONCAT(P91," ",Q91))</f>
        <v/>
      </c>
      <c r="AT91" s="264" t="str">
        <f t="shared" si="41"/>
        <v>None</v>
      </c>
      <c r="AU91" s="229">
        <f>IF(OR(AM91="Row Not Used",AM91="Controls Only"),0,INDEX(IncentiveRateTable[Incentive Rate],MATCH(AT91,IncentiveRateTable[Incentive Name],0)))</f>
        <v>0</v>
      </c>
      <c r="AV91" s="133" t="str">
        <f>IF(OR(AM91="Row Not Used",AM91="Controls Only"),"None",INDEX(IncentiveRateTable[Incentive Unit],MATCH(AT91,IncentiveRateTable[Incentive Name],0)))</f>
        <v>None</v>
      </c>
      <c r="AW91" s="578">
        <f t="shared" si="52"/>
        <v>0</v>
      </c>
      <c r="AX91" s="264" t="str">
        <f t="shared" si="42"/>
        <v>None</v>
      </c>
      <c r="AY91" s="229">
        <f>IF(OR(AM91="Row Not Used",AM91="Fixtures Only",AM91="Decommissioning"),0,INDEX(IncentiveRateTable[Incentive Rate],MATCH(AX91,IncentiveRateTable[Incentive Name],0)))</f>
        <v>0</v>
      </c>
      <c r="AZ91" s="133" t="str">
        <f>IF(OR(AM91="Row Not Used",AM91="Fixtures Only",AM91="Decommissioning"),"None",INDEX(IncentiveRateTable[Incentive Unit],MATCH(AX91,IncentiveRateTable[Incentive Name],0)))</f>
        <v>None</v>
      </c>
      <c r="BA91" s="465">
        <f t="shared" si="43"/>
        <v>0</v>
      </c>
      <c r="BB91" s="264" t="e" cm="1">
        <f t="array" ref="BB91">INDEX(BallastFactorTable[Commercial BPA Reference Number],MATCH(1,(BallastFactorTable[Fixture Class]=J91)*(BallastFactorTable[Fixture Category]=K91)*(BallastFactorTable[Fixture Sub-category]=L91),0))</f>
        <v>#N/A</v>
      </c>
      <c r="BC91" s="133" t="e" cm="1">
        <f t="array" ref="BC91">INDEX(BallastFactorTable[Industrial BPA Reference Number],MATCH(1,(BallastFactorTable[Fixture Class]=J91)*(BallastFactorTable[Fixture Category]=K91)*(BallastFactorTable[Fixture Sub-category]=L91),0))</f>
        <v>#N/A</v>
      </c>
      <c r="BD91" s="264" t="str">
        <f t="shared" si="44"/>
        <v>Sector is blank</v>
      </c>
      <c r="BE91" s="269" t="str">
        <f>IF(ISBLANK(SectorField),"Sector is blank",IF(AM91="Row Not Used","",IF(OR(R91="No Controls",ISBLANK(R91)),"",INDEX(ControlsBPARefNoTable[Reference Number],MATCH(SectorField,ControlsBPARefNoTable[Sector],0)))))</f>
        <v>Sector is blank</v>
      </c>
      <c r="BF91" s="530" t="str">
        <f t="shared" si="45"/>
        <v/>
      </c>
      <c r="BG91" s="132" t="str">
        <f t="shared" si="46"/>
        <v/>
      </c>
      <c r="BH91" s="531" t="str">
        <f t="shared" si="47"/>
        <v/>
      </c>
      <c r="BI91" s="532"/>
      <c r="BJ91" s="538" t="str">
        <f t="shared" si="53"/>
        <v/>
      </c>
      <c r="BK91" s="539" t="str">
        <f t="shared" si="54"/>
        <v/>
      </c>
      <c r="BL91" s="547" t="str">
        <f t="shared" si="55"/>
        <v/>
      </c>
    </row>
    <row r="92" spans="1:64" x14ac:dyDescent="0.3">
      <c r="A92" s="133">
        <v>85</v>
      </c>
      <c r="B92" s="294"/>
      <c r="C92" s="313"/>
      <c r="D92" s="292"/>
      <c r="E92" s="284"/>
      <c r="F92" s="284"/>
      <c r="G92" s="295"/>
      <c r="H92" s="296"/>
      <c r="I92" s="297"/>
      <c r="J92" s="292"/>
      <c r="K92" s="284"/>
      <c r="L92" s="284"/>
      <c r="M92" s="295"/>
      <c r="N92" s="296"/>
      <c r="O92" s="296"/>
      <c r="P92" s="284"/>
      <c r="Q92" s="298"/>
      <c r="R92" s="292"/>
      <c r="S92" s="299"/>
      <c r="T92" s="300"/>
      <c r="U92" s="317" t="str">
        <f t="shared" si="29"/>
        <v/>
      </c>
      <c r="V92" s="301"/>
      <c r="W92" s="137" t="str">
        <f t="shared" si="30"/>
        <v/>
      </c>
      <c r="X92" s="589" t="str">
        <f t="shared" si="48"/>
        <v/>
      </c>
      <c r="Y92" s="581"/>
      <c r="Z92" s="251" t="str">
        <f t="shared" si="31"/>
        <v/>
      </c>
      <c r="AA92" s="138" t="str">
        <f t="shared" si="56"/>
        <v/>
      </c>
      <c r="AB92" s="243" t="str">
        <f t="shared" si="49"/>
        <v/>
      </c>
      <c r="AC92" s="141" t="str">
        <f t="shared" si="32"/>
        <v/>
      </c>
      <c r="AD92" s="138" t="str">
        <f t="shared" si="50"/>
        <v/>
      </c>
      <c r="AE92" s="243" t="str">
        <f t="shared" si="33"/>
        <v/>
      </c>
      <c r="AF92" s="342" t="str">
        <f>IF(AM92="Row Not Used","",INDEX(SpaceTable[Annual Hours],(MATCH(B92,SpaceTable[Space Name Concatenated Helper],0))))</f>
        <v/>
      </c>
      <c r="AG92" s="205" t="str">
        <f t="shared" si="34"/>
        <v/>
      </c>
      <c r="AH92" s="234" t="str">
        <f t="shared" si="35"/>
        <v/>
      </c>
      <c r="AI92" s="205" t="str">
        <f t="shared" si="36"/>
        <v/>
      </c>
      <c r="AJ92" s="234" t="str">
        <f t="shared" si="37"/>
        <v/>
      </c>
      <c r="AK92" s="144" t="str">
        <f>IF(AM92="Row Not Used","",INDEX(SpaceTable[Row],(MATCH(B92,SpaceTable[Space Name Concatenated Helper],0))))</f>
        <v/>
      </c>
      <c r="AL92" s="238" t="str">
        <f>IF(AM92="Row Not Used","",INDEX(SpaceTable[HVAC Factor],(MATCH(B92,SpaceTable[Space Name Concatenated Helper],0))))</f>
        <v/>
      </c>
      <c r="AM92" s="520" t="str">
        <f t="shared" si="38"/>
        <v>Row Not Used</v>
      </c>
      <c r="AN92" s="512" t="e" cm="1">
        <f t="array" ref="AN92">INDEX(BallastFactorTable[Ballast Factor],MATCH(1,(BallastFactorTable[Fixture Class]=D92)*(BallastFactorTable[Fixture Category]=E92)*(BallastFactorTable[Fixture Sub-category]=F92),0))</f>
        <v>#N/A</v>
      </c>
      <c r="AO92" s="143" t="str">
        <f t="shared" si="51"/>
        <v/>
      </c>
      <c r="AP92" s="501" t="e" cm="1">
        <f t="array" ref="AP92">INDEX(BallastFactorTable[Wattage Range Name],MATCH(1,(BallastFactorTable[Fixture Class]=D92)*(BallastFactorTable[Fixture Category]=E92)*(BallastFactorTable[Fixture Sub-category]=F92),0))</f>
        <v>#N/A</v>
      </c>
      <c r="AQ92" s="515" t="str">
        <f t="shared" ca="1" si="39"/>
        <v>Okay</v>
      </c>
      <c r="AR92" s="512">
        <f t="shared" si="40"/>
        <v>0</v>
      </c>
      <c r="AS92" s="511" t="str">
        <f>IF(OR(Measures!AM92="Row Not Used",Measures!C92="Controls Only",Measures!C92="Decommissioning"),"",_xlfn.CONCAT(P92," ",Q92))</f>
        <v/>
      </c>
      <c r="AT92" s="264" t="str">
        <f t="shared" si="41"/>
        <v>None</v>
      </c>
      <c r="AU92" s="229">
        <f>IF(OR(AM92="Row Not Used",AM92="Controls Only"),0,INDEX(IncentiveRateTable[Incentive Rate],MATCH(AT92,IncentiveRateTable[Incentive Name],0)))</f>
        <v>0</v>
      </c>
      <c r="AV92" s="133" t="str">
        <f>IF(OR(AM92="Row Not Used",AM92="Controls Only"),"None",INDEX(IncentiveRateTable[Incentive Unit],MATCH(AT92,IncentiveRateTable[Incentive Name],0)))</f>
        <v>None</v>
      </c>
      <c r="AW92" s="578">
        <f t="shared" si="52"/>
        <v>0</v>
      </c>
      <c r="AX92" s="264" t="str">
        <f t="shared" si="42"/>
        <v>None</v>
      </c>
      <c r="AY92" s="229">
        <f>IF(OR(AM92="Row Not Used",AM92="Fixtures Only",AM92="Decommissioning"),0,INDEX(IncentiveRateTable[Incentive Rate],MATCH(AX92,IncentiveRateTable[Incentive Name],0)))</f>
        <v>0</v>
      </c>
      <c r="AZ92" s="133" t="str">
        <f>IF(OR(AM92="Row Not Used",AM92="Fixtures Only",AM92="Decommissioning"),"None",INDEX(IncentiveRateTable[Incentive Unit],MATCH(AX92,IncentiveRateTable[Incentive Name],0)))</f>
        <v>None</v>
      </c>
      <c r="BA92" s="465">
        <f t="shared" si="43"/>
        <v>0</v>
      </c>
      <c r="BB92" s="264" t="e" cm="1">
        <f t="array" ref="BB92">INDEX(BallastFactorTable[Commercial BPA Reference Number],MATCH(1,(BallastFactorTable[Fixture Class]=J92)*(BallastFactorTable[Fixture Category]=K92)*(BallastFactorTable[Fixture Sub-category]=L92),0))</f>
        <v>#N/A</v>
      </c>
      <c r="BC92" s="133" t="e" cm="1">
        <f t="array" ref="BC92">INDEX(BallastFactorTable[Industrial BPA Reference Number],MATCH(1,(BallastFactorTable[Fixture Class]=J92)*(BallastFactorTable[Fixture Category]=K92)*(BallastFactorTable[Fixture Sub-category]=L92),0))</f>
        <v>#N/A</v>
      </c>
      <c r="BD92" s="264" t="str">
        <f t="shared" si="44"/>
        <v>Sector is blank</v>
      </c>
      <c r="BE92" s="269" t="str">
        <f>IF(ISBLANK(SectorField),"Sector is blank",IF(AM92="Row Not Used","",IF(OR(R92="No Controls",ISBLANK(R92)),"",INDEX(ControlsBPARefNoTable[Reference Number],MATCH(SectorField,ControlsBPARefNoTable[Sector],0)))))</f>
        <v>Sector is blank</v>
      </c>
      <c r="BF92" s="530" t="str">
        <f t="shared" si="45"/>
        <v/>
      </c>
      <c r="BG92" s="132" t="str">
        <f t="shared" si="46"/>
        <v/>
      </c>
      <c r="BH92" s="531" t="str">
        <f t="shared" si="47"/>
        <v/>
      </c>
      <c r="BI92" s="532"/>
      <c r="BJ92" s="538" t="str">
        <f t="shared" si="53"/>
        <v/>
      </c>
      <c r="BK92" s="539" t="str">
        <f t="shared" si="54"/>
        <v/>
      </c>
      <c r="BL92" s="547" t="str">
        <f t="shared" si="55"/>
        <v/>
      </c>
    </row>
    <row r="93" spans="1:64" x14ac:dyDescent="0.3">
      <c r="A93" s="133">
        <v>86</v>
      </c>
      <c r="B93" s="294"/>
      <c r="C93" s="313"/>
      <c r="D93" s="292"/>
      <c r="E93" s="284"/>
      <c r="F93" s="284"/>
      <c r="G93" s="295"/>
      <c r="H93" s="296"/>
      <c r="I93" s="297"/>
      <c r="J93" s="292"/>
      <c r="K93" s="284"/>
      <c r="L93" s="284"/>
      <c r="M93" s="295"/>
      <c r="N93" s="296"/>
      <c r="O93" s="296"/>
      <c r="P93" s="284"/>
      <c r="Q93" s="298"/>
      <c r="R93" s="292"/>
      <c r="S93" s="299"/>
      <c r="T93" s="300"/>
      <c r="U93" s="317" t="str">
        <f t="shared" si="29"/>
        <v/>
      </c>
      <c r="V93" s="301"/>
      <c r="W93" s="136" t="str">
        <f t="shared" si="30"/>
        <v/>
      </c>
      <c r="X93" s="588" t="str">
        <f t="shared" si="48"/>
        <v/>
      </c>
      <c r="Y93" s="580"/>
      <c r="Z93" s="251" t="str">
        <f t="shared" si="31"/>
        <v/>
      </c>
      <c r="AA93" s="138" t="str">
        <f t="shared" si="56"/>
        <v/>
      </c>
      <c r="AB93" s="243" t="str">
        <f t="shared" si="49"/>
        <v/>
      </c>
      <c r="AC93" s="141" t="str">
        <f t="shared" si="32"/>
        <v/>
      </c>
      <c r="AD93" s="138" t="str">
        <f t="shared" si="50"/>
        <v/>
      </c>
      <c r="AE93" s="243" t="str">
        <f t="shared" si="33"/>
        <v/>
      </c>
      <c r="AF93" s="342" t="str">
        <f>IF(AM93="Row Not Used","",INDEX(SpaceTable[Annual Hours],(MATCH(B93,SpaceTable[Space Name Concatenated Helper],0))))</f>
        <v/>
      </c>
      <c r="AG93" s="205" t="str">
        <f t="shared" si="34"/>
        <v/>
      </c>
      <c r="AH93" s="234" t="str">
        <f t="shared" si="35"/>
        <v/>
      </c>
      <c r="AI93" s="205" t="str">
        <f t="shared" si="36"/>
        <v/>
      </c>
      <c r="AJ93" s="234" t="str">
        <f t="shared" si="37"/>
        <v/>
      </c>
      <c r="AK93" s="144" t="str">
        <f>IF(AM93="Row Not Used","",INDEX(SpaceTable[Row],(MATCH(B93,SpaceTable[Space Name Concatenated Helper],0))))</f>
        <v/>
      </c>
      <c r="AL93" s="238" t="str">
        <f>IF(AM93="Row Not Used","",INDEX(SpaceTable[HVAC Factor],(MATCH(B93,SpaceTable[Space Name Concatenated Helper],0))))</f>
        <v/>
      </c>
      <c r="AM93" s="520" t="str">
        <f t="shared" si="38"/>
        <v>Row Not Used</v>
      </c>
      <c r="AN93" s="512" t="e" cm="1">
        <f t="array" ref="AN93">INDEX(BallastFactorTable[Ballast Factor],MATCH(1,(BallastFactorTable[Fixture Class]=D93)*(BallastFactorTable[Fixture Category]=E93)*(BallastFactorTable[Fixture Sub-category]=F93),0))</f>
        <v>#N/A</v>
      </c>
      <c r="AO93" s="143" t="str">
        <f t="shared" si="51"/>
        <v/>
      </c>
      <c r="AP93" s="501" t="e" cm="1">
        <f t="array" ref="AP93">INDEX(BallastFactorTable[Wattage Range Name],MATCH(1,(BallastFactorTable[Fixture Class]=D93)*(BallastFactorTable[Fixture Category]=E93)*(BallastFactorTable[Fixture Sub-category]=F93),0))</f>
        <v>#N/A</v>
      </c>
      <c r="AQ93" s="515" t="str">
        <f t="shared" ca="1" si="39"/>
        <v>Okay</v>
      </c>
      <c r="AR93" s="512">
        <f t="shared" si="40"/>
        <v>0</v>
      </c>
      <c r="AS93" s="511" t="str">
        <f>IF(OR(Measures!AM93="Row Not Used",Measures!C93="Controls Only",Measures!C93="Decommissioning"),"",_xlfn.CONCAT(P93," ",Q93))</f>
        <v/>
      </c>
      <c r="AT93" s="264" t="str">
        <f t="shared" si="41"/>
        <v>None</v>
      </c>
      <c r="AU93" s="229">
        <f>IF(OR(AM93="Row Not Used",AM93="Controls Only"),0,INDEX(IncentiveRateTable[Incentive Rate],MATCH(AT93,IncentiveRateTable[Incentive Name],0)))</f>
        <v>0</v>
      </c>
      <c r="AV93" s="133" t="str">
        <f>IF(OR(AM93="Row Not Used",AM93="Controls Only"),"None",INDEX(IncentiveRateTable[Incentive Unit],MATCH(AT93,IncentiveRateTable[Incentive Name],0)))</f>
        <v>None</v>
      </c>
      <c r="AW93" s="578">
        <f t="shared" si="52"/>
        <v>0</v>
      </c>
      <c r="AX93" s="264" t="str">
        <f t="shared" si="42"/>
        <v>None</v>
      </c>
      <c r="AY93" s="229">
        <f>IF(OR(AM93="Row Not Used",AM93="Fixtures Only",AM93="Decommissioning"),0,INDEX(IncentiveRateTable[Incentive Rate],MATCH(AX93,IncentiveRateTable[Incentive Name],0)))</f>
        <v>0</v>
      </c>
      <c r="AZ93" s="133" t="str">
        <f>IF(OR(AM93="Row Not Used",AM93="Fixtures Only",AM93="Decommissioning"),"None",INDEX(IncentiveRateTable[Incentive Unit],MATCH(AX93,IncentiveRateTable[Incentive Name],0)))</f>
        <v>None</v>
      </c>
      <c r="BA93" s="465">
        <f t="shared" si="43"/>
        <v>0</v>
      </c>
      <c r="BB93" s="264" t="e" cm="1">
        <f t="array" ref="BB93">INDEX(BallastFactorTable[Commercial BPA Reference Number],MATCH(1,(BallastFactorTable[Fixture Class]=J93)*(BallastFactorTable[Fixture Category]=K93)*(BallastFactorTable[Fixture Sub-category]=L93),0))</f>
        <v>#N/A</v>
      </c>
      <c r="BC93" s="133" t="e" cm="1">
        <f t="array" ref="BC93">INDEX(BallastFactorTable[Industrial BPA Reference Number],MATCH(1,(BallastFactorTable[Fixture Class]=J93)*(BallastFactorTable[Fixture Category]=K93)*(BallastFactorTable[Fixture Sub-category]=L93),0))</f>
        <v>#N/A</v>
      </c>
      <c r="BD93" s="264" t="str">
        <f t="shared" si="44"/>
        <v>Sector is blank</v>
      </c>
      <c r="BE93" s="269" t="str">
        <f>IF(ISBLANK(SectorField),"Sector is blank",IF(AM93="Row Not Used","",IF(OR(R93="No Controls",ISBLANK(R93)),"",INDEX(ControlsBPARefNoTable[Reference Number],MATCH(SectorField,ControlsBPARefNoTable[Sector],0)))))</f>
        <v>Sector is blank</v>
      </c>
      <c r="BF93" s="530" t="str">
        <f t="shared" si="45"/>
        <v/>
      </c>
      <c r="BG93" s="132" t="str">
        <f t="shared" si="46"/>
        <v/>
      </c>
      <c r="BH93" s="531" t="str">
        <f t="shared" si="47"/>
        <v/>
      </c>
      <c r="BI93" s="532"/>
      <c r="BJ93" s="538" t="str">
        <f t="shared" si="53"/>
        <v/>
      </c>
      <c r="BK93" s="539" t="str">
        <f t="shared" si="54"/>
        <v/>
      </c>
      <c r="BL93" s="547" t="str">
        <f t="shared" si="55"/>
        <v/>
      </c>
    </row>
    <row r="94" spans="1:64" x14ac:dyDescent="0.3">
      <c r="A94" s="133">
        <v>87</v>
      </c>
      <c r="B94" s="294"/>
      <c r="C94" s="313"/>
      <c r="D94" s="292"/>
      <c r="E94" s="284"/>
      <c r="F94" s="284"/>
      <c r="G94" s="295"/>
      <c r="H94" s="296"/>
      <c r="I94" s="297"/>
      <c r="J94" s="292"/>
      <c r="K94" s="284"/>
      <c r="L94" s="284"/>
      <c r="M94" s="295"/>
      <c r="N94" s="296"/>
      <c r="O94" s="296"/>
      <c r="P94" s="284"/>
      <c r="Q94" s="298"/>
      <c r="R94" s="292"/>
      <c r="S94" s="299"/>
      <c r="T94" s="300"/>
      <c r="U94" s="317" t="str">
        <f t="shared" si="29"/>
        <v/>
      </c>
      <c r="V94" s="301"/>
      <c r="W94" s="137" t="str">
        <f t="shared" si="30"/>
        <v/>
      </c>
      <c r="X94" s="589" t="str">
        <f t="shared" si="48"/>
        <v/>
      </c>
      <c r="Y94" s="581"/>
      <c r="Z94" s="251" t="str">
        <f t="shared" si="31"/>
        <v/>
      </c>
      <c r="AA94" s="138" t="str">
        <f t="shared" si="56"/>
        <v/>
      </c>
      <c r="AB94" s="243" t="str">
        <f t="shared" si="49"/>
        <v/>
      </c>
      <c r="AC94" s="141" t="str">
        <f t="shared" si="32"/>
        <v/>
      </c>
      <c r="AD94" s="138" t="str">
        <f t="shared" si="50"/>
        <v/>
      </c>
      <c r="AE94" s="243" t="str">
        <f t="shared" si="33"/>
        <v/>
      </c>
      <c r="AF94" s="342" t="str">
        <f>IF(AM94="Row Not Used","",INDEX(SpaceTable[Annual Hours],(MATCH(B94,SpaceTable[Space Name Concatenated Helper],0))))</f>
        <v/>
      </c>
      <c r="AG94" s="205" t="str">
        <f t="shared" si="34"/>
        <v/>
      </c>
      <c r="AH94" s="234" t="str">
        <f t="shared" si="35"/>
        <v/>
      </c>
      <c r="AI94" s="205" t="str">
        <f t="shared" si="36"/>
        <v/>
      </c>
      <c r="AJ94" s="234" t="str">
        <f t="shared" si="37"/>
        <v/>
      </c>
      <c r="AK94" s="144" t="str">
        <f>IF(AM94="Row Not Used","",INDEX(SpaceTable[Row],(MATCH(B94,SpaceTable[Space Name Concatenated Helper],0))))</f>
        <v/>
      </c>
      <c r="AL94" s="238" t="str">
        <f>IF(AM94="Row Not Used","",INDEX(SpaceTable[HVAC Factor],(MATCH(B94,SpaceTable[Space Name Concatenated Helper],0))))</f>
        <v/>
      </c>
      <c r="AM94" s="520" t="str">
        <f t="shared" si="38"/>
        <v>Row Not Used</v>
      </c>
      <c r="AN94" s="512" t="e" cm="1">
        <f t="array" ref="AN94">INDEX(BallastFactorTable[Ballast Factor],MATCH(1,(BallastFactorTable[Fixture Class]=D94)*(BallastFactorTable[Fixture Category]=E94)*(BallastFactorTable[Fixture Sub-category]=F94),0))</f>
        <v>#N/A</v>
      </c>
      <c r="AO94" s="143" t="str">
        <f t="shared" si="51"/>
        <v/>
      </c>
      <c r="AP94" s="501" t="e" cm="1">
        <f t="array" ref="AP94">INDEX(BallastFactorTable[Wattage Range Name],MATCH(1,(BallastFactorTable[Fixture Class]=D94)*(BallastFactorTable[Fixture Category]=E94)*(BallastFactorTable[Fixture Sub-category]=F94),0))</f>
        <v>#N/A</v>
      </c>
      <c r="AQ94" s="515" t="str">
        <f t="shared" ca="1" si="39"/>
        <v>Okay</v>
      </c>
      <c r="AR94" s="512">
        <f t="shared" si="40"/>
        <v>0</v>
      </c>
      <c r="AS94" s="511" t="str">
        <f>IF(OR(Measures!AM94="Row Not Used",Measures!C94="Controls Only",Measures!C94="Decommissioning"),"",_xlfn.CONCAT(P94," ",Q94))</f>
        <v/>
      </c>
      <c r="AT94" s="264" t="str">
        <f t="shared" si="41"/>
        <v>None</v>
      </c>
      <c r="AU94" s="229">
        <f>IF(OR(AM94="Row Not Used",AM94="Controls Only"),0,INDEX(IncentiveRateTable[Incentive Rate],MATCH(AT94,IncentiveRateTable[Incentive Name],0)))</f>
        <v>0</v>
      </c>
      <c r="AV94" s="133" t="str">
        <f>IF(OR(AM94="Row Not Used",AM94="Controls Only"),"None",INDEX(IncentiveRateTable[Incentive Unit],MATCH(AT94,IncentiveRateTable[Incentive Name],0)))</f>
        <v>None</v>
      </c>
      <c r="AW94" s="578">
        <f t="shared" si="52"/>
        <v>0</v>
      </c>
      <c r="AX94" s="264" t="str">
        <f t="shared" si="42"/>
        <v>None</v>
      </c>
      <c r="AY94" s="229">
        <f>IF(OR(AM94="Row Not Used",AM94="Fixtures Only",AM94="Decommissioning"),0,INDEX(IncentiveRateTable[Incentive Rate],MATCH(AX94,IncentiveRateTable[Incentive Name],0)))</f>
        <v>0</v>
      </c>
      <c r="AZ94" s="133" t="str">
        <f>IF(OR(AM94="Row Not Used",AM94="Fixtures Only",AM94="Decommissioning"),"None",INDEX(IncentiveRateTable[Incentive Unit],MATCH(AX94,IncentiveRateTable[Incentive Name],0)))</f>
        <v>None</v>
      </c>
      <c r="BA94" s="465">
        <f t="shared" si="43"/>
        <v>0</v>
      </c>
      <c r="BB94" s="264" t="e" cm="1">
        <f t="array" ref="BB94">INDEX(BallastFactorTable[Commercial BPA Reference Number],MATCH(1,(BallastFactorTable[Fixture Class]=J94)*(BallastFactorTable[Fixture Category]=K94)*(BallastFactorTable[Fixture Sub-category]=L94),0))</f>
        <v>#N/A</v>
      </c>
      <c r="BC94" s="133" t="e" cm="1">
        <f t="array" ref="BC94">INDEX(BallastFactorTable[Industrial BPA Reference Number],MATCH(1,(BallastFactorTable[Fixture Class]=J94)*(BallastFactorTable[Fixture Category]=K94)*(BallastFactorTable[Fixture Sub-category]=L94),0))</f>
        <v>#N/A</v>
      </c>
      <c r="BD94" s="264" t="str">
        <f t="shared" si="44"/>
        <v>Sector is blank</v>
      </c>
      <c r="BE94" s="269" t="str">
        <f>IF(ISBLANK(SectorField),"Sector is blank",IF(AM94="Row Not Used","",IF(OR(R94="No Controls",ISBLANK(R94)),"",INDEX(ControlsBPARefNoTable[Reference Number],MATCH(SectorField,ControlsBPARefNoTable[Sector],0)))))</f>
        <v>Sector is blank</v>
      </c>
      <c r="BF94" s="530" t="str">
        <f t="shared" si="45"/>
        <v/>
      </c>
      <c r="BG94" s="132" t="str">
        <f t="shared" si="46"/>
        <v/>
      </c>
      <c r="BH94" s="531" t="str">
        <f t="shared" si="47"/>
        <v/>
      </c>
      <c r="BI94" s="532"/>
      <c r="BJ94" s="538" t="str">
        <f t="shared" si="53"/>
        <v/>
      </c>
      <c r="BK94" s="539" t="str">
        <f t="shared" si="54"/>
        <v/>
      </c>
      <c r="BL94" s="547" t="str">
        <f t="shared" si="55"/>
        <v/>
      </c>
    </row>
    <row r="95" spans="1:64" x14ac:dyDescent="0.3">
      <c r="A95" s="133">
        <v>88</v>
      </c>
      <c r="B95" s="294"/>
      <c r="C95" s="313"/>
      <c r="D95" s="292"/>
      <c r="E95" s="284"/>
      <c r="F95" s="284"/>
      <c r="G95" s="295"/>
      <c r="H95" s="296"/>
      <c r="I95" s="297"/>
      <c r="J95" s="292"/>
      <c r="K95" s="284"/>
      <c r="L95" s="284"/>
      <c r="M95" s="295"/>
      <c r="N95" s="296"/>
      <c r="O95" s="296"/>
      <c r="P95" s="284"/>
      <c r="Q95" s="298"/>
      <c r="R95" s="292"/>
      <c r="S95" s="299"/>
      <c r="T95" s="300"/>
      <c r="U95" s="317" t="str">
        <f t="shared" si="29"/>
        <v/>
      </c>
      <c r="V95" s="301"/>
      <c r="W95" s="136" t="str">
        <f t="shared" si="30"/>
        <v/>
      </c>
      <c r="X95" s="588" t="str">
        <f t="shared" si="48"/>
        <v/>
      </c>
      <c r="Y95" s="580"/>
      <c r="Z95" s="251" t="str">
        <f t="shared" si="31"/>
        <v/>
      </c>
      <c r="AA95" s="138" t="str">
        <f t="shared" si="56"/>
        <v/>
      </c>
      <c r="AB95" s="243" t="str">
        <f t="shared" si="49"/>
        <v/>
      </c>
      <c r="AC95" s="141" t="str">
        <f t="shared" si="32"/>
        <v/>
      </c>
      <c r="AD95" s="138" t="str">
        <f t="shared" si="50"/>
        <v/>
      </c>
      <c r="AE95" s="243" t="str">
        <f t="shared" si="33"/>
        <v/>
      </c>
      <c r="AF95" s="342" t="str">
        <f>IF(AM95="Row Not Used","",INDEX(SpaceTable[Annual Hours],(MATCH(B95,SpaceTable[Space Name Concatenated Helper],0))))</f>
        <v/>
      </c>
      <c r="AG95" s="205" t="str">
        <f t="shared" si="34"/>
        <v/>
      </c>
      <c r="AH95" s="234" t="str">
        <f t="shared" si="35"/>
        <v/>
      </c>
      <c r="AI95" s="205" t="str">
        <f t="shared" si="36"/>
        <v/>
      </c>
      <c r="AJ95" s="234" t="str">
        <f t="shared" si="37"/>
        <v/>
      </c>
      <c r="AK95" s="144" t="str">
        <f>IF(AM95="Row Not Used","",INDEX(SpaceTable[Row],(MATCH(B95,SpaceTable[Space Name Concatenated Helper],0))))</f>
        <v/>
      </c>
      <c r="AL95" s="238" t="str">
        <f>IF(AM95="Row Not Used","",INDEX(SpaceTable[HVAC Factor],(MATCH(B95,SpaceTable[Space Name Concatenated Helper],0))))</f>
        <v/>
      </c>
      <c r="AM95" s="520" t="str">
        <f t="shared" si="38"/>
        <v>Row Not Used</v>
      </c>
      <c r="AN95" s="512" t="e" cm="1">
        <f t="array" ref="AN95">INDEX(BallastFactorTable[Ballast Factor],MATCH(1,(BallastFactorTable[Fixture Class]=D95)*(BallastFactorTable[Fixture Category]=E95)*(BallastFactorTable[Fixture Sub-category]=F95),0))</f>
        <v>#N/A</v>
      </c>
      <c r="AO95" s="143" t="str">
        <f t="shared" si="51"/>
        <v/>
      </c>
      <c r="AP95" s="501" t="e" cm="1">
        <f t="array" ref="AP95">INDEX(BallastFactorTable[Wattage Range Name],MATCH(1,(BallastFactorTable[Fixture Class]=D95)*(BallastFactorTable[Fixture Category]=E95)*(BallastFactorTable[Fixture Sub-category]=F95),0))</f>
        <v>#N/A</v>
      </c>
      <c r="AQ95" s="515" t="str">
        <f t="shared" ca="1" si="39"/>
        <v>Okay</v>
      </c>
      <c r="AR95" s="512">
        <f t="shared" si="40"/>
        <v>0</v>
      </c>
      <c r="AS95" s="511" t="str">
        <f>IF(OR(Measures!AM95="Row Not Used",Measures!C95="Controls Only",Measures!C95="Decommissioning"),"",_xlfn.CONCAT(P95," ",Q95))</f>
        <v/>
      </c>
      <c r="AT95" s="264" t="str">
        <f t="shared" si="41"/>
        <v>None</v>
      </c>
      <c r="AU95" s="229">
        <f>IF(OR(AM95="Row Not Used",AM95="Controls Only"),0,INDEX(IncentiveRateTable[Incentive Rate],MATCH(AT95,IncentiveRateTable[Incentive Name],0)))</f>
        <v>0</v>
      </c>
      <c r="AV95" s="133" t="str">
        <f>IF(OR(AM95="Row Not Used",AM95="Controls Only"),"None",INDEX(IncentiveRateTable[Incentive Unit],MATCH(AT95,IncentiveRateTable[Incentive Name],0)))</f>
        <v>None</v>
      </c>
      <c r="AW95" s="578">
        <f t="shared" si="52"/>
        <v>0</v>
      </c>
      <c r="AX95" s="264" t="str">
        <f t="shared" si="42"/>
        <v>None</v>
      </c>
      <c r="AY95" s="229">
        <f>IF(OR(AM95="Row Not Used",AM95="Fixtures Only",AM95="Decommissioning"),0,INDEX(IncentiveRateTable[Incentive Rate],MATCH(AX95,IncentiveRateTable[Incentive Name],0)))</f>
        <v>0</v>
      </c>
      <c r="AZ95" s="133" t="str">
        <f>IF(OR(AM95="Row Not Used",AM95="Fixtures Only",AM95="Decommissioning"),"None",INDEX(IncentiveRateTable[Incentive Unit],MATCH(AX95,IncentiveRateTable[Incentive Name],0)))</f>
        <v>None</v>
      </c>
      <c r="BA95" s="465">
        <f t="shared" si="43"/>
        <v>0</v>
      </c>
      <c r="BB95" s="264" t="e" cm="1">
        <f t="array" ref="BB95">INDEX(BallastFactorTable[Commercial BPA Reference Number],MATCH(1,(BallastFactorTable[Fixture Class]=J95)*(BallastFactorTable[Fixture Category]=K95)*(BallastFactorTable[Fixture Sub-category]=L95),0))</f>
        <v>#N/A</v>
      </c>
      <c r="BC95" s="133" t="e" cm="1">
        <f t="array" ref="BC95">INDEX(BallastFactorTable[Industrial BPA Reference Number],MATCH(1,(BallastFactorTable[Fixture Class]=J95)*(BallastFactorTable[Fixture Category]=K95)*(BallastFactorTable[Fixture Sub-category]=L95),0))</f>
        <v>#N/A</v>
      </c>
      <c r="BD95" s="264" t="str">
        <f t="shared" si="44"/>
        <v>Sector is blank</v>
      </c>
      <c r="BE95" s="269" t="str">
        <f>IF(ISBLANK(SectorField),"Sector is blank",IF(AM95="Row Not Used","",IF(OR(R95="No Controls",ISBLANK(R95)),"",INDEX(ControlsBPARefNoTable[Reference Number],MATCH(SectorField,ControlsBPARefNoTable[Sector],0)))))</f>
        <v>Sector is blank</v>
      </c>
      <c r="BF95" s="530" t="str">
        <f t="shared" si="45"/>
        <v/>
      </c>
      <c r="BG95" s="132" t="str">
        <f t="shared" si="46"/>
        <v/>
      </c>
      <c r="BH95" s="531" t="str">
        <f t="shared" si="47"/>
        <v/>
      </c>
      <c r="BI95" s="532"/>
      <c r="BJ95" s="538" t="str">
        <f t="shared" si="53"/>
        <v/>
      </c>
      <c r="BK95" s="539" t="str">
        <f t="shared" si="54"/>
        <v/>
      </c>
      <c r="BL95" s="547" t="str">
        <f t="shared" si="55"/>
        <v/>
      </c>
    </row>
    <row r="96" spans="1:64" x14ac:dyDescent="0.3">
      <c r="A96" s="133">
        <v>89</v>
      </c>
      <c r="B96" s="294"/>
      <c r="C96" s="313"/>
      <c r="D96" s="292"/>
      <c r="E96" s="284"/>
      <c r="F96" s="284"/>
      <c r="G96" s="295"/>
      <c r="H96" s="296"/>
      <c r="I96" s="297"/>
      <c r="J96" s="292"/>
      <c r="K96" s="284"/>
      <c r="L96" s="284"/>
      <c r="M96" s="295"/>
      <c r="N96" s="296"/>
      <c r="O96" s="296"/>
      <c r="P96" s="284"/>
      <c r="Q96" s="298"/>
      <c r="R96" s="292"/>
      <c r="S96" s="299"/>
      <c r="T96" s="300"/>
      <c r="U96" s="317" t="str">
        <f t="shared" si="29"/>
        <v/>
      </c>
      <c r="V96" s="301"/>
      <c r="W96" s="137" t="str">
        <f t="shared" si="30"/>
        <v/>
      </c>
      <c r="X96" s="589" t="str">
        <f t="shared" si="48"/>
        <v/>
      </c>
      <c r="Y96" s="581"/>
      <c r="Z96" s="251" t="str">
        <f t="shared" si="31"/>
        <v/>
      </c>
      <c r="AA96" s="138" t="str">
        <f t="shared" si="56"/>
        <v/>
      </c>
      <c r="AB96" s="243" t="str">
        <f t="shared" si="49"/>
        <v/>
      </c>
      <c r="AC96" s="141" t="str">
        <f t="shared" si="32"/>
        <v/>
      </c>
      <c r="AD96" s="138" t="str">
        <f t="shared" si="50"/>
        <v/>
      </c>
      <c r="AE96" s="243" t="str">
        <f t="shared" si="33"/>
        <v/>
      </c>
      <c r="AF96" s="342" t="str">
        <f>IF(AM96="Row Not Used","",INDEX(SpaceTable[Annual Hours],(MATCH(B96,SpaceTable[Space Name Concatenated Helper],0))))</f>
        <v/>
      </c>
      <c r="AG96" s="205" t="str">
        <f t="shared" si="34"/>
        <v/>
      </c>
      <c r="AH96" s="234" t="str">
        <f t="shared" si="35"/>
        <v/>
      </c>
      <c r="AI96" s="205" t="str">
        <f t="shared" si="36"/>
        <v/>
      </c>
      <c r="AJ96" s="234" t="str">
        <f t="shared" si="37"/>
        <v/>
      </c>
      <c r="AK96" s="144" t="str">
        <f>IF(AM96="Row Not Used","",INDEX(SpaceTable[Row],(MATCH(B96,SpaceTable[Space Name Concatenated Helper],0))))</f>
        <v/>
      </c>
      <c r="AL96" s="238" t="str">
        <f>IF(AM96="Row Not Used","",INDEX(SpaceTable[HVAC Factor],(MATCH(B96,SpaceTable[Space Name Concatenated Helper],0))))</f>
        <v/>
      </c>
      <c r="AM96" s="520" t="str">
        <f t="shared" si="38"/>
        <v>Row Not Used</v>
      </c>
      <c r="AN96" s="512" t="e" cm="1">
        <f t="array" ref="AN96">INDEX(BallastFactorTable[Ballast Factor],MATCH(1,(BallastFactorTable[Fixture Class]=D96)*(BallastFactorTable[Fixture Category]=E96)*(BallastFactorTable[Fixture Sub-category]=F96),0))</f>
        <v>#N/A</v>
      </c>
      <c r="AO96" s="143" t="str">
        <f t="shared" si="51"/>
        <v/>
      </c>
      <c r="AP96" s="501" t="e" cm="1">
        <f t="array" ref="AP96">INDEX(BallastFactorTable[Wattage Range Name],MATCH(1,(BallastFactorTable[Fixture Class]=D96)*(BallastFactorTable[Fixture Category]=E96)*(BallastFactorTable[Fixture Sub-category]=F96),0))</f>
        <v>#N/A</v>
      </c>
      <c r="AQ96" s="515" t="str">
        <f t="shared" ca="1" si="39"/>
        <v>Okay</v>
      </c>
      <c r="AR96" s="512">
        <f t="shared" si="40"/>
        <v>0</v>
      </c>
      <c r="AS96" s="511" t="str">
        <f>IF(OR(Measures!AM96="Row Not Used",Measures!C96="Controls Only",Measures!C96="Decommissioning"),"",_xlfn.CONCAT(P96," ",Q96))</f>
        <v/>
      </c>
      <c r="AT96" s="264" t="str">
        <f t="shared" si="41"/>
        <v>None</v>
      </c>
      <c r="AU96" s="229">
        <f>IF(OR(AM96="Row Not Used",AM96="Controls Only"),0,INDEX(IncentiveRateTable[Incentive Rate],MATCH(AT96,IncentiveRateTable[Incentive Name],0)))</f>
        <v>0</v>
      </c>
      <c r="AV96" s="133" t="str">
        <f>IF(OR(AM96="Row Not Used",AM96="Controls Only"),"None",INDEX(IncentiveRateTable[Incentive Unit],MATCH(AT96,IncentiveRateTable[Incentive Name],0)))</f>
        <v>None</v>
      </c>
      <c r="AW96" s="578">
        <f t="shared" si="52"/>
        <v>0</v>
      </c>
      <c r="AX96" s="264" t="str">
        <f t="shared" si="42"/>
        <v>None</v>
      </c>
      <c r="AY96" s="229">
        <f>IF(OR(AM96="Row Not Used",AM96="Fixtures Only",AM96="Decommissioning"),0,INDEX(IncentiveRateTable[Incentive Rate],MATCH(AX96,IncentiveRateTable[Incentive Name],0)))</f>
        <v>0</v>
      </c>
      <c r="AZ96" s="133" t="str">
        <f>IF(OR(AM96="Row Not Used",AM96="Fixtures Only",AM96="Decommissioning"),"None",INDEX(IncentiveRateTable[Incentive Unit],MATCH(AX96,IncentiveRateTable[Incentive Name],0)))</f>
        <v>None</v>
      </c>
      <c r="BA96" s="465">
        <f t="shared" si="43"/>
        <v>0</v>
      </c>
      <c r="BB96" s="264" t="e" cm="1">
        <f t="array" ref="BB96">INDEX(BallastFactorTable[Commercial BPA Reference Number],MATCH(1,(BallastFactorTable[Fixture Class]=J96)*(BallastFactorTable[Fixture Category]=K96)*(BallastFactorTable[Fixture Sub-category]=L96),0))</f>
        <v>#N/A</v>
      </c>
      <c r="BC96" s="133" t="e" cm="1">
        <f t="array" ref="BC96">INDEX(BallastFactorTable[Industrial BPA Reference Number],MATCH(1,(BallastFactorTable[Fixture Class]=J96)*(BallastFactorTable[Fixture Category]=K96)*(BallastFactorTable[Fixture Sub-category]=L96),0))</f>
        <v>#N/A</v>
      </c>
      <c r="BD96" s="264" t="str">
        <f t="shared" si="44"/>
        <v>Sector is blank</v>
      </c>
      <c r="BE96" s="269" t="str">
        <f>IF(ISBLANK(SectorField),"Sector is blank",IF(AM96="Row Not Used","",IF(OR(R96="No Controls",ISBLANK(R96)),"",INDEX(ControlsBPARefNoTable[Reference Number],MATCH(SectorField,ControlsBPARefNoTable[Sector],0)))))</f>
        <v>Sector is blank</v>
      </c>
      <c r="BF96" s="530" t="str">
        <f t="shared" si="45"/>
        <v/>
      </c>
      <c r="BG96" s="132" t="str">
        <f t="shared" si="46"/>
        <v/>
      </c>
      <c r="BH96" s="531" t="str">
        <f t="shared" si="47"/>
        <v/>
      </c>
      <c r="BI96" s="532"/>
      <c r="BJ96" s="538" t="str">
        <f t="shared" si="53"/>
        <v/>
      </c>
      <c r="BK96" s="539" t="str">
        <f t="shared" si="54"/>
        <v/>
      </c>
      <c r="BL96" s="547" t="str">
        <f t="shared" si="55"/>
        <v/>
      </c>
    </row>
    <row r="97" spans="1:64" x14ac:dyDescent="0.3">
      <c r="A97" s="133">
        <v>90</v>
      </c>
      <c r="B97" s="294"/>
      <c r="C97" s="313"/>
      <c r="D97" s="292"/>
      <c r="E97" s="284"/>
      <c r="F97" s="284"/>
      <c r="G97" s="295"/>
      <c r="H97" s="296"/>
      <c r="I97" s="297"/>
      <c r="J97" s="292"/>
      <c r="K97" s="284"/>
      <c r="L97" s="284"/>
      <c r="M97" s="295"/>
      <c r="N97" s="296"/>
      <c r="O97" s="296"/>
      <c r="P97" s="284"/>
      <c r="Q97" s="298"/>
      <c r="R97" s="292"/>
      <c r="S97" s="299"/>
      <c r="T97" s="300"/>
      <c r="U97" s="317" t="str">
        <f t="shared" si="29"/>
        <v/>
      </c>
      <c r="V97" s="301"/>
      <c r="W97" s="136" t="str">
        <f t="shared" si="30"/>
        <v/>
      </c>
      <c r="X97" s="588" t="str">
        <f t="shared" si="48"/>
        <v/>
      </c>
      <c r="Y97" s="580"/>
      <c r="Z97" s="251" t="str">
        <f t="shared" si="31"/>
        <v/>
      </c>
      <c r="AA97" s="138" t="str">
        <f t="shared" si="56"/>
        <v/>
      </c>
      <c r="AB97" s="243" t="str">
        <f t="shared" si="49"/>
        <v/>
      </c>
      <c r="AC97" s="141" t="str">
        <f t="shared" si="32"/>
        <v/>
      </c>
      <c r="AD97" s="138" t="str">
        <f t="shared" si="50"/>
        <v/>
      </c>
      <c r="AE97" s="243" t="str">
        <f t="shared" si="33"/>
        <v/>
      </c>
      <c r="AF97" s="342" t="str">
        <f>IF(AM97="Row Not Used","",INDEX(SpaceTable[Annual Hours],(MATCH(B97,SpaceTable[Space Name Concatenated Helper],0))))</f>
        <v/>
      </c>
      <c r="AG97" s="205" t="str">
        <f t="shared" si="34"/>
        <v/>
      </c>
      <c r="AH97" s="234" t="str">
        <f t="shared" si="35"/>
        <v/>
      </c>
      <c r="AI97" s="205" t="str">
        <f t="shared" si="36"/>
        <v/>
      </c>
      <c r="AJ97" s="234" t="str">
        <f t="shared" si="37"/>
        <v/>
      </c>
      <c r="AK97" s="144" t="str">
        <f>IF(AM97="Row Not Used","",INDEX(SpaceTable[Row],(MATCH(B97,SpaceTable[Space Name Concatenated Helper],0))))</f>
        <v/>
      </c>
      <c r="AL97" s="238" t="str">
        <f>IF(AM97="Row Not Used","",INDEX(SpaceTable[HVAC Factor],(MATCH(B97,SpaceTable[Space Name Concatenated Helper],0))))</f>
        <v/>
      </c>
      <c r="AM97" s="520" t="str">
        <f t="shared" si="38"/>
        <v>Row Not Used</v>
      </c>
      <c r="AN97" s="512" t="e" cm="1">
        <f t="array" ref="AN97">INDEX(BallastFactorTable[Ballast Factor],MATCH(1,(BallastFactorTable[Fixture Class]=D97)*(BallastFactorTable[Fixture Category]=E97)*(BallastFactorTable[Fixture Sub-category]=F97),0))</f>
        <v>#N/A</v>
      </c>
      <c r="AO97" s="143" t="str">
        <f t="shared" si="51"/>
        <v/>
      </c>
      <c r="AP97" s="501" t="e" cm="1">
        <f t="array" ref="AP97">INDEX(BallastFactorTable[Wattage Range Name],MATCH(1,(BallastFactorTable[Fixture Class]=D97)*(BallastFactorTable[Fixture Category]=E97)*(BallastFactorTable[Fixture Sub-category]=F97),0))</f>
        <v>#N/A</v>
      </c>
      <c r="AQ97" s="515" t="str">
        <f t="shared" ca="1" si="39"/>
        <v>Okay</v>
      </c>
      <c r="AR97" s="512">
        <f t="shared" si="40"/>
        <v>0</v>
      </c>
      <c r="AS97" s="511" t="str">
        <f>IF(OR(Measures!AM97="Row Not Used",Measures!C97="Controls Only",Measures!C97="Decommissioning"),"",_xlfn.CONCAT(P97," ",Q97))</f>
        <v/>
      </c>
      <c r="AT97" s="264" t="str">
        <f t="shared" si="41"/>
        <v>None</v>
      </c>
      <c r="AU97" s="229">
        <f>IF(OR(AM97="Row Not Used",AM97="Controls Only"),0,INDEX(IncentiveRateTable[Incentive Rate],MATCH(AT97,IncentiveRateTable[Incentive Name],0)))</f>
        <v>0</v>
      </c>
      <c r="AV97" s="133" t="str">
        <f>IF(OR(AM97="Row Not Used",AM97="Controls Only"),"None",INDEX(IncentiveRateTable[Incentive Unit],MATCH(AT97,IncentiveRateTable[Incentive Name],0)))</f>
        <v>None</v>
      </c>
      <c r="AW97" s="578">
        <f t="shared" si="52"/>
        <v>0</v>
      </c>
      <c r="AX97" s="264" t="str">
        <f t="shared" si="42"/>
        <v>None</v>
      </c>
      <c r="AY97" s="229">
        <f>IF(OR(AM97="Row Not Used",AM97="Fixtures Only",AM97="Decommissioning"),0,INDEX(IncentiveRateTable[Incentive Rate],MATCH(AX97,IncentiveRateTable[Incentive Name],0)))</f>
        <v>0</v>
      </c>
      <c r="AZ97" s="133" t="str">
        <f>IF(OR(AM97="Row Not Used",AM97="Fixtures Only",AM97="Decommissioning"),"None",INDEX(IncentiveRateTable[Incentive Unit],MATCH(AX97,IncentiveRateTable[Incentive Name],0)))</f>
        <v>None</v>
      </c>
      <c r="BA97" s="465">
        <f t="shared" si="43"/>
        <v>0</v>
      </c>
      <c r="BB97" s="264" t="e" cm="1">
        <f t="array" ref="BB97">INDEX(BallastFactorTable[Commercial BPA Reference Number],MATCH(1,(BallastFactorTable[Fixture Class]=J97)*(BallastFactorTable[Fixture Category]=K97)*(BallastFactorTable[Fixture Sub-category]=L97),0))</f>
        <v>#N/A</v>
      </c>
      <c r="BC97" s="133" t="e" cm="1">
        <f t="array" ref="BC97">INDEX(BallastFactorTable[Industrial BPA Reference Number],MATCH(1,(BallastFactorTable[Fixture Class]=J97)*(BallastFactorTable[Fixture Category]=K97)*(BallastFactorTable[Fixture Sub-category]=L97),0))</f>
        <v>#N/A</v>
      </c>
      <c r="BD97" s="264" t="str">
        <f t="shared" si="44"/>
        <v>Sector is blank</v>
      </c>
      <c r="BE97" s="269" t="str">
        <f>IF(ISBLANK(SectorField),"Sector is blank",IF(AM97="Row Not Used","",IF(OR(R97="No Controls",ISBLANK(R97)),"",INDEX(ControlsBPARefNoTable[Reference Number],MATCH(SectorField,ControlsBPARefNoTable[Sector],0)))))</f>
        <v>Sector is blank</v>
      </c>
      <c r="BF97" s="530" t="str">
        <f t="shared" si="45"/>
        <v/>
      </c>
      <c r="BG97" s="132" t="str">
        <f t="shared" si="46"/>
        <v/>
      </c>
      <c r="BH97" s="531" t="str">
        <f t="shared" si="47"/>
        <v/>
      </c>
      <c r="BI97" s="532"/>
      <c r="BJ97" s="538" t="str">
        <f t="shared" si="53"/>
        <v/>
      </c>
      <c r="BK97" s="539" t="str">
        <f t="shared" si="54"/>
        <v/>
      </c>
      <c r="BL97" s="547" t="str">
        <f t="shared" si="55"/>
        <v/>
      </c>
    </row>
    <row r="98" spans="1:64" x14ac:dyDescent="0.3">
      <c r="A98" s="133">
        <v>91</v>
      </c>
      <c r="B98" s="294"/>
      <c r="C98" s="313"/>
      <c r="D98" s="292"/>
      <c r="E98" s="284"/>
      <c r="F98" s="284"/>
      <c r="G98" s="295"/>
      <c r="H98" s="296"/>
      <c r="I98" s="297"/>
      <c r="J98" s="292"/>
      <c r="K98" s="284"/>
      <c r="L98" s="284"/>
      <c r="M98" s="295"/>
      <c r="N98" s="296"/>
      <c r="O98" s="296"/>
      <c r="P98" s="284"/>
      <c r="Q98" s="298"/>
      <c r="R98" s="292"/>
      <c r="S98" s="299"/>
      <c r="T98" s="300"/>
      <c r="U98" s="317" t="str">
        <f t="shared" si="29"/>
        <v/>
      </c>
      <c r="V98" s="301"/>
      <c r="W98" s="137" t="str">
        <f t="shared" si="30"/>
        <v/>
      </c>
      <c r="X98" s="589" t="str">
        <f t="shared" si="48"/>
        <v/>
      </c>
      <c r="Y98" s="581"/>
      <c r="Z98" s="251" t="str">
        <f t="shared" si="31"/>
        <v/>
      </c>
      <c r="AA98" s="138" t="str">
        <f t="shared" si="56"/>
        <v/>
      </c>
      <c r="AB98" s="243" t="str">
        <f t="shared" si="49"/>
        <v/>
      </c>
      <c r="AC98" s="141" t="str">
        <f t="shared" si="32"/>
        <v/>
      </c>
      <c r="AD98" s="138" t="str">
        <f t="shared" si="50"/>
        <v/>
      </c>
      <c r="AE98" s="243" t="str">
        <f t="shared" si="33"/>
        <v/>
      </c>
      <c r="AF98" s="342" t="str">
        <f>IF(AM98="Row Not Used","",INDEX(SpaceTable[Annual Hours],(MATCH(B98,SpaceTable[Space Name Concatenated Helper],0))))</f>
        <v/>
      </c>
      <c r="AG98" s="205" t="str">
        <f t="shared" si="34"/>
        <v/>
      </c>
      <c r="AH98" s="234" t="str">
        <f t="shared" si="35"/>
        <v/>
      </c>
      <c r="AI98" s="205" t="str">
        <f t="shared" si="36"/>
        <v/>
      </c>
      <c r="AJ98" s="234" t="str">
        <f t="shared" si="37"/>
        <v/>
      </c>
      <c r="AK98" s="144" t="str">
        <f>IF(AM98="Row Not Used","",INDEX(SpaceTable[Row],(MATCH(B98,SpaceTable[Space Name Concatenated Helper],0))))</f>
        <v/>
      </c>
      <c r="AL98" s="238" t="str">
        <f>IF(AM98="Row Not Used","",INDEX(SpaceTable[HVAC Factor],(MATCH(B98,SpaceTable[Space Name Concatenated Helper],0))))</f>
        <v/>
      </c>
      <c r="AM98" s="520" t="str">
        <f t="shared" si="38"/>
        <v>Row Not Used</v>
      </c>
      <c r="AN98" s="512" t="e" cm="1">
        <f t="array" ref="AN98">INDEX(BallastFactorTable[Ballast Factor],MATCH(1,(BallastFactorTable[Fixture Class]=D98)*(BallastFactorTable[Fixture Category]=E98)*(BallastFactorTable[Fixture Sub-category]=F98),0))</f>
        <v>#N/A</v>
      </c>
      <c r="AO98" s="143" t="str">
        <f t="shared" si="51"/>
        <v/>
      </c>
      <c r="AP98" s="501" t="e" cm="1">
        <f t="array" ref="AP98">INDEX(BallastFactorTable[Wattage Range Name],MATCH(1,(BallastFactorTable[Fixture Class]=D98)*(BallastFactorTable[Fixture Category]=E98)*(BallastFactorTable[Fixture Sub-category]=F98),0))</f>
        <v>#N/A</v>
      </c>
      <c r="AQ98" s="515" t="str">
        <f t="shared" ca="1" si="39"/>
        <v>Okay</v>
      </c>
      <c r="AR98" s="512">
        <f t="shared" si="40"/>
        <v>0</v>
      </c>
      <c r="AS98" s="511" t="str">
        <f>IF(OR(Measures!AM98="Row Not Used",Measures!C98="Controls Only",Measures!C98="Decommissioning"),"",_xlfn.CONCAT(P98," ",Q98))</f>
        <v/>
      </c>
      <c r="AT98" s="264" t="str">
        <f t="shared" si="41"/>
        <v>None</v>
      </c>
      <c r="AU98" s="229">
        <f>IF(OR(AM98="Row Not Used",AM98="Controls Only"),0,INDEX(IncentiveRateTable[Incentive Rate],MATCH(AT98,IncentiveRateTable[Incentive Name],0)))</f>
        <v>0</v>
      </c>
      <c r="AV98" s="133" t="str">
        <f>IF(OR(AM98="Row Not Used",AM98="Controls Only"),"None",INDEX(IncentiveRateTable[Incentive Unit],MATCH(AT98,IncentiveRateTable[Incentive Name],0)))</f>
        <v>None</v>
      </c>
      <c r="AW98" s="578">
        <f t="shared" si="52"/>
        <v>0</v>
      </c>
      <c r="AX98" s="264" t="str">
        <f t="shared" si="42"/>
        <v>None</v>
      </c>
      <c r="AY98" s="229">
        <f>IF(OR(AM98="Row Not Used",AM98="Fixtures Only",AM98="Decommissioning"),0,INDEX(IncentiveRateTable[Incentive Rate],MATCH(AX98,IncentiveRateTable[Incentive Name],0)))</f>
        <v>0</v>
      </c>
      <c r="AZ98" s="133" t="str">
        <f>IF(OR(AM98="Row Not Used",AM98="Fixtures Only",AM98="Decommissioning"),"None",INDEX(IncentiveRateTable[Incentive Unit],MATCH(AX98,IncentiveRateTable[Incentive Name],0)))</f>
        <v>None</v>
      </c>
      <c r="BA98" s="465">
        <f t="shared" si="43"/>
        <v>0</v>
      </c>
      <c r="BB98" s="264" t="e" cm="1">
        <f t="array" ref="BB98">INDEX(BallastFactorTable[Commercial BPA Reference Number],MATCH(1,(BallastFactorTable[Fixture Class]=J98)*(BallastFactorTable[Fixture Category]=K98)*(BallastFactorTable[Fixture Sub-category]=L98),0))</f>
        <v>#N/A</v>
      </c>
      <c r="BC98" s="133" t="e" cm="1">
        <f t="array" ref="BC98">INDEX(BallastFactorTable[Industrial BPA Reference Number],MATCH(1,(BallastFactorTable[Fixture Class]=J98)*(BallastFactorTable[Fixture Category]=K98)*(BallastFactorTable[Fixture Sub-category]=L98),0))</f>
        <v>#N/A</v>
      </c>
      <c r="BD98" s="264" t="str">
        <f t="shared" si="44"/>
        <v>Sector is blank</v>
      </c>
      <c r="BE98" s="269" t="str">
        <f>IF(ISBLANK(SectorField),"Sector is blank",IF(AM98="Row Not Used","",IF(OR(R98="No Controls",ISBLANK(R98)),"",INDEX(ControlsBPARefNoTable[Reference Number],MATCH(SectorField,ControlsBPARefNoTable[Sector],0)))))</f>
        <v>Sector is blank</v>
      </c>
      <c r="BF98" s="530" t="str">
        <f t="shared" si="45"/>
        <v/>
      </c>
      <c r="BG98" s="132" t="str">
        <f t="shared" si="46"/>
        <v/>
      </c>
      <c r="BH98" s="531" t="str">
        <f t="shared" si="47"/>
        <v/>
      </c>
      <c r="BI98" s="532"/>
      <c r="BJ98" s="538" t="str">
        <f t="shared" si="53"/>
        <v/>
      </c>
      <c r="BK98" s="539" t="str">
        <f t="shared" si="54"/>
        <v/>
      </c>
      <c r="BL98" s="547" t="str">
        <f t="shared" si="55"/>
        <v/>
      </c>
    </row>
    <row r="99" spans="1:64" x14ac:dyDescent="0.3">
      <c r="A99" s="133">
        <v>92</v>
      </c>
      <c r="B99" s="294"/>
      <c r="C99" s="313"/>
      <c r="D99" s="292"/>
      <c r="E99" s="284"/>
      <c r="F99" s="284"/>
      <c r="G99" s="295"/>
      <c r="H99" s="296"/>
      <c r="I99" s="297"/>
      <c r="J99" s="292"/>
      <c r="K99" s="284"/>
      <c r="L99" s="284"/>
      <c r="M99" s="295"/>
      <c r="N99" s="296"/>
      <c r="O99" s="296"/>
      <c r="P99" s="284"/>
      <c r="Q99" s="298"/>
      <c r="R99" s="292"/>
      <c r="S99" s="299"/>
      <c r="T99" s="300"/>
      <c r="U99" s="317" t="str">
        <f t="shared" si="29"/>
        <v/>
      </c>
      <c r="V99" s="301"/>
      <c r="W99" s="136" t="str">
        <f t="shared" si="30"/>
        <v/>
      </c>
      <c r="X99" s="588" t="str">
        <f t="shared" si="48"/>
        <v/>
      </c>
      <c r="Y99" s="580"/>
      <c r="Z99" s="251" t="str">
        <f t="shared" si="31"/>
        <v/>
      </c>
      <c r="AA99" s="138" t="str">
        <f t="shared" si="56"/>
        <v/>
      </c>
      <c r="AB99" s="243" t="str">
        <f t="shared" si="49"/>
        <v/>
      </c>
      <c r="AC99" s="141" t="str">
        <f t="shared" si="32"/>
        <v/>
      </c>
      <c r="AD99" s="138" t="str">
        <f t="shared" si="50"/>
        <v/>
      </c>
      <c r="AE99" s="243" t="str">
        <f t="shared" si="33"/>
        <v/>
      </c>
      <c r="AF99" s="342" t="str">
        <f>IF(AM99="Row Not Used","",INDEX(SpaceTable[Annual Hours],(MATCH(B99,SpaceTable[Space Name Concatenated Helper],0))))</f>
        <v/>
      </c>
      <c r="AG99" s="205" t="str">
        <f t="shared" si="34"/>
        <v/>
      </c>
      <c r="AH99" s="234" t="str">
        <f t="shared" si="35"/>
        <v/>
      </c>
      <c r="AI99" s="205" t="str">
        <f t="shared" si="36"/>
        <v/>
      </c>
      <c r="AJ99" s="234" t="str">
        <f t="shared" si="37"/>
        <v/>
      </c>
      <c r="AK99" s="144" t="str">
        <f>IF(AM99="Row Not Used","",INDEX(SpaceTable[Row],(MATCH(B99,SpaceTable[Space Name Concatenated Helper],0))))</f>
        <v/>
      </c>
      <c r="AL99" s="238" t="str">
        <f>IF(AM99="Row Not Used","",INDEX(SpaceTable[HVAC Factor],(MATCH(B99,SpaceTable[Space Name Concatenated Helper],0))))</f>
        <v/>
      </c>
      <c r="AM99" s="520" t="str">
        <f t="shared" si="38"/>
        <v>Row Not Used</v>
      </c>
      <c r="AN99" s="512" t="e" cm="1">
        <f t="array" ref="AN99">INDEX(BallastFactorTable[Ballast Factor],MATCH(1,(BallastFactorTable[Fixture Class]=D99)*(BallastFactorTable[Fixture Category]=E99)*(BallastFactorTable[Fixture Sub-category]=F99),0))</f>
        <v>#N/A</v>
      </c>
      <c r="AO99" s="143" t="str">
        <f t="shared" si="51"/>
        <v/>
      </c>
      <c r="AP99" s="501" t="e" cm="1">
        <f t="array" ref="AP99">INDEX(BallastFactorTable[Wattage Range Name],MATCH(1,(BallastFactorTable[Fixture Class]=D99)*(BallastFactorTable[Fixture Category]=E99)*(BallastFactorTable[Fixture Sub-category]=F99),0))</f>
        <v>#N/A</v>
      </c>
      <c r="AQ99" s="515" t="str">
        <f t="shared" ca="1" si="39"/>
        <v>Okay</v>
      </c>
      <c r="AR99" s="512">
        <f t="shared" si="40"/>
        <v>0</v>
      </c>
      <c r="AS99" s="511" t="str">
        <f>IF(OR(Measures!AM99="Row Not Used",Measures!C99="Controls Only",Measures!C99="Decommissioning"),"",_xlfn.CONCAT(P99," ",Q99))</f>
        <v/>
      </c>
      <c r="AT99" s="264" t="str">
        <f t="shared" si="41"/>
        <v>None</v>
      </c>
      <c r="AU99" s="229">
        <f>IF(OR(AM99="Row Not Used",AM99="Controls Only"),0,INDEX(IncentiveRateTable[Incentive Rate],MATCH(AT99,IncentiveRateTable[Incentive Name],0)))</f>
        <v>0</v>
      </c>
      <c r="AV99" s="133" t="str">
        <f>IF(OR(AM99="Row Not Used",AM99="Controls Only"),"None",INDEX(IncentiveRateTable[Incentive Unit],MATCH(AT99,IncentiveRateTable[Incentive Name],0)))</f>
        <v>None</v>
      </c>
      <c r="AW99" s="578">
        <f t="shared" si="52"/>
        <v>0</v>
      </c>
      <c r="AX99" s="264" t="str">
        <f t="shared" si="42"/>
        <v>None</v>
      </c>
      <c r="AY99" s="229">
        <f>IF(OR(AM99="Row Not Used",AM99="Fixtures Only",AM99="Decommissioning"),0,INDEX(IncentiveRateTable[Incentive Rate],MATCH(AX99,IncentiveRateTable[Incentive Name],0)))</f>
        <v>0</v>
      </c>
      <c r="AZ99" s="133" t="str">
        <f>IF(OR(AM99="Row Not Used",AM99="Fixtures Only",AM99="Decommissioning"),"None",INDEX(IncentiveRateTable[Incentive Unit],MATCH(AX99,IncentiveRateTable[Incentive Name],0)))</f>
        <v>None</v>
      </c>
      <c r="BA99" s="465">
        <f t="shared" si="43"/>
        <v>0</v>
      </c>
      <c r="BB99" s="264" t="e" cm="1">
        <f t="array" ref="BB99">INDEX(BallastFactorTable[Commercial BPA Reference Number],MATCH(1,(BallastFactorTable[Fixture Class]=J99)*(BallastFactorTable[Fixture Category]=K99)*(BallastFactorTable[Fixture Sub-category]=L99),0))</f>
        <v>#N/A</v>
      </c>
      <c r="BC99" s="133" t="e" cm="1">
        <f t="array" ref="BC99">INDEX(BallastFactorTable[Industrial BPA Reference Number],MATCH(1,(BallastFactorTable[Fixture Class]=J99)*(BallastFactorTable[Fixture Category]=K99)*(BallastFactorTable[Fixture Sub-category]=L99),0))</f>
        <v>#N/A</v>
      </c>
      <c r="BD99" s="264" t="str">
        <f t="shared" si="44"/>
        <v>Sector is blank</v>
      </c>
      <c r="BE99" s="269" t="str">
        <f>IF(ISBLANK(SectorField),"Sector is blank",IF(AM99="Row Not Used","",IF(OR(R99="No Controls",ISBLANK(R99)),"",INDEX(ControlsBPARefNoTable[Reference Number],MATCH(SectorField,ControlsBPARefNoTable[Sector],0)))))</f>
        <v>Sector is blank</v>
      </c>
      <c r="BF99" s="530" t="str">
        <f t="shared" si="45"/>
        <v/>
      </c>
      <c r="BG99" s="132" t="str">
        <f t="shared" si="46"/>
        <v/>
      </c>
      <c r="BH99" s="531" t="str">
        <f t="shared" si="47"/>
        <v/>
      </c>
      <c r="BI99" s="532"/>
      <c r="BJ99" s="538" t="str">
        <f t="shared" si="53"/>
        <v/>
      </c>
      <c r="BK99" s="539" t="str">
        <f t="shared" si="54"/>
        <v/>
      </c>
      <c r="BL99" s="547" t="str">
        <f t="shared" si="55"/>
        <v/>
      </c>
    </row>
    <row r="100" spans="1:64" x14ac:dyDescent="0.3">
      <c r="A100" s="133">
        <v>93</v>
      </c>
      <c r="B100" s="294"/>
      <c r="C100" s="313"/>
      <c r="D100" s="292"/>
      <c r="E100" s="284"/>
      <c r="F100" s="284"/>
      <c r="G100" s="295"/>
      <c r="H100" s="296"/>
      <c r="I100" s="297"/>
      <c r="J100" s="292"/>
      <c r="K100" s="284"/>
      <c r="L100" s="284"/>
      <c r="M100" s="295"/>
      <c r="N100" s="296"/>
      <c r="O100" s="296"/>
      <c r="P100" s="284"/>
      <c r="Q100" s="298"/>
      <c r="R100" s="292"/>
      <c r="S100" s="299"/>
      <c r="T100" s="300"/>
      <c r="U100" s="317" t="str">
        <f t="shared" si="29"/>
        <v/>
      </c>
      <c r="V100" s="301"/>
      <c r="W100" s="137" t="str">
        <f t="shared" si="30"/>
        <v/>
      </c>
      <c r="X100" s="589" t="str">
        <f t="shared" si="48"/>
        <v/>
      </c>
      <c r="Y100" s="581"/>
      <c r="Z100" s="251" t="str">
        <f t="shared" si="31"/>
        <v/>
      </c>
      <c r="AA100" s="138" t="str">
        <f t="shared" si="56"/>
        <v/>
      </c>
      <c r="AB100" s="243" t="str">
        <f t="shared" si="49"/>
        <v/>
      </c>
      <c r="AC100" s="141" t="str">
        <f t="shared" si="32"/>
        <v/>
      </c>
      <c r="AD100" s="138" t="str">
        <f t="shared" si="50"/>
        <v/>
      </c>
      <c r="AE100" s="243" t="str">
        <f t="shared" si="33"/>
        <v/>
      </c>
      <c r="AF100" s="342" t="str">
        <f>IF(AM100="Row Not Used","",INDEX(SpaceTable[Annual Hours],(MATCH(B100,SpaceTable[Space Name Concatenated Helper],0))))</f>
        <v/>
      </c>
      <c r="AG100" s="205" t="str">
        <f t="shared" si="34"/>
        <v/>
      </c>
      <c r="AH100" s="234" t="str">
        <f t="shared" si="35"/>
        <v/>
      </c>
      <c r="AI100" s="205" t="str">
        <f t="shared" si="36"/>
        <v/>
      </c>
      <c r="AJ100" s="234" t="str">
        <f t="shared" si="37"/>
        <v/>
      </c>
      <c r="AK100" s="144" t="str">
        <f>IF(AM100="Row Not Used","",INDEX(SpaceTable[Row],(MATCH(B100,SpaceTable[Space Name Concatenated Helper],0))))</f>
        <v/>
      </c>
      <c r="AL100" s="238" t="str">
        <f>IF(AM100="Row Not Used","",INDEX(SpaceTable[HVAC Factor],(MATCH(B100,SpaceTable[Space Name Concatenated Helper],0))))</f>
        <v/>
      </c>
      <c r="AM100" s="520" t="str">
        <f t="shared" si="38"/>
        <v>Row Not Used</v>
      </c>
      <c r="AN100" s="512" t="e" cm="1">
        <f t="array" ref="AN100">INDEX(BallastFactorTable[Ballast Factor],MATCH(1,(BallastFactorTable[Fixture Class]=D100)*(BallastFactorTable[Fixture Category]=E100)*(BallastFactorTable[Fixture Sub-category]=F100),0))</f>
        <v>#N/A</v>
      </c>
      <c r="AO100" s="143" t="str">
        <f t="shared" si="51"/>
        <v/>
      </c>
      <c r="AP100" s="501" t="e" cm="1">
        <f t="array" ref="AP100">INDEX(BallastFactorTable[Wattage Range Name],MATCH(1,(BallastFactorTable[Fixture Class]=D100)*(BallastFactorTable[Fixture Category]=E100)*(BallastFactorTable[Fixture Sub-category]=F100),0))</f>
        <v>#N/A</v>
      </c>
      <c r="AQ100" s="515" t="str">
        <f t="shared" ca="1" si="39"/>
        <v>Okay</v>
      </c>
      <c r="AR100" s="512">
        <f t="shared" si="40"/>
        <v>0</v>
      </c>
      <c r="AS100" s="511" t="str">
        <f>IF(OR(Measures!AM100="Row Not Used",Measures!C100="Controls Only",Measures!C100="Decommissioning"),"",_xlfn.CONCAT(P100," ",Q100))</f>
        <v/>
      </c>
      <c r="AT100" s="264" t="str">
        <f t="shared" si="41"/>
        <v>None</v>
      </c>
      <c r="AU100" s="229">
        <f>IF(OR(AM100="Row Not Used",AM100="Controls Only"),0,INDEX(IncentiveRateTable[Incentive Rate],MATCH(AT100,IncentiveRateTable[Incentive Name],0)))</f>
        <v>0</v>
      </c>
      <c r="AV100" s="133" t="str">
        <f>IF(OR(AM100="Row Not Used",AM100="Controls Only"),"None",INDEX(IncentiveRateTable[Incentive Unit],MATCH(AT100,IncentiveRateTable[Incentive Name],0)))</f>
        <v>None</v>
      </c>
      <c r="AW100" s="578">
        <f t="shared" si="52"/>
        <v>0</v>
      </c>
      <c r="AX100" s="264" t="str">
        <f t="shared" si="42"/>
        <v>None</v>
      </c>
      <c r="AY100" s="229">
        <f>IF(OR(AM100="Row Not Used",AM100="Fixtures Only",AM100="Decommissioning"),0,INDEX(IncentiveRateTable[Incentive Rate],MATCH(AX100,IncentiveRateTable[Incentive Name],0)))</f>
        <v>0</v>
      </c>
      <c r="AZ100" s="133" t="str">
        <f>IF(OR(AM100="Row Not Used",AM100="Fixtures Only",AM100="Decommissioning"),"None",INDEX(IncentiveRateTable[Incentive Unit],MATCH(AX100,IncentiveRateTable[Incentive Name],0)))</f>
        <v>None</v>
      </c>
      <c r="BA100" s="465">
        <f t="shared" si="43"/>
        <v>0</v>
      </c>
      <c r="BB100" s="264" t="e" cm="1">
        <f t="array" ref="BB100">INDEX(BallastFactorTable[Commercial BPA Reference Number],MATCH(1,(BallastFactorTable[Fixture Class]=J100)*(BallastFactorTable[Fixture Category]=K100)*(BallastFactorTable[Fixture Sub-category]=L100),0))</f>
        <v>#N/A</v>
      </c>
      <c r="BC100" s="133" t="e" cm="1">
        <f t="array" ref="BC100">INDEX(BallastFactorTable[Industrial BPA Reference Number],MATCH(1,(BallastFactorTable[Fixture Class]=J100)*(BallastFactorTable[Fixture Category]=K100)*(BallastFactorTable[Fixture Sub-category]=L100),0))</f>
        <v>#N/A</v>
      </c>
      <c r="BD100" s="264" t="str">
        <f t="shared" si="44"/>
        <v>Sector is blank</v>
      </c>
      <c r="BE100" s="269" t="str">
        <f>IF(ISBLANK(SectorField),"Sector is blank",IF(AM100="Row Not Used","",IF(OR(R100="No Controls",ISBLANK(R100)),"",INDEX(ControlsBPARefNoTable[Reference Number],MATCH(SectorField,ControlsBPARefNoTable[Sector],0)))))</f>
        <v>Sector is blank</v>
      </c>
      <c r="BF100" s="530" t="str">
        <f t="shared" si="45"/>
        <v/>
      </c>
      <c r="BG100" s="132" t="str">
        <f t="shared" si="46"/>
        <v/>
      </c>
      <c r="BH100" s="531" t="str">
        <f t="shared" si="47"/>
        <v/>
      </c>
      <c r="BI100" s="532"/>
      <c r="BJ100" s="538" t="str">
        <f t="shared" si="53"/>
        <v/>
      </c>
      <c r="BK100" s="539" t="str">
        <f t="shared" si="54"/>
        <v/>
      </c>
      <c r="BL100" s="547" t="str">
        <f t="shared" si="55"/>
        <v/>
      </c>
    </row>
    <row r="101" spans="1:64" x14ac:dyDescent="0.3">
      <c r="A101" s="133">
        <v>94</v>
      </c>
      <c r="B101" s="294"/>
      <c r="C101" s="313"/>
      <c r="D101" s="292"/>
      <c r="E101" s="284"/>
      <c r="F101" s="284"/>
      <c r="G101" s="295"/>
      <c r="H101" s="296"/>
      <c r="I101" s="297"/>
      <c r="J101" s="292"/>
      <c r="K101" s="284"/>
      <c r="L101" s="284"/>
      <c r="M101" s="295"/>
      <c r="N101" s="296"/>
      <c r="O101" s="296"/>
      <c r="P101" s="284"/>
      <c r="Q101" s="298"/>
      <c r="R101" s="292"/>
      <c r="S101" s="299"/>
      <c r="T101" s="300"/>
      <c r="U101" s="317" t="str">
        <f t="shared" si="29"/>
        <v/>
      </c>
      <c r="V101" s="301"/>
      <c r="W101" s="136" t="str">
        <f t="shared" si="30"/>
        <v/>
      </c>
      <c r="X101" s="588" t="str">
        <f t="shared" si="48"/>
        <v/>
      </c>
      <c r="Y101" s="580"/>
      <c r="Z101" s="251" t="str">
        <f t="shared" si="31"/>
        <v/>
      </c>
      <c r="AA101" s="138" t="str">
        <f t="shared" si="56"/>
        <v/>
      </c>
      <c r="AB101" s="243" t="str">
        <f t="shared" si="49"/>
        <v/>
      </c>
      <c r="AC101" s="141" t="str">
        <f t="shared" si="32"/>
        <v/>
      </c>
      <c r="AD101" s="138" t="str">
        <f t="shared" si="50"/>
        <v/>
      </c>
      <c r="AE101" s="243" t="str">
        <f t="shared" si="33"/>
        <v/>
      </c>
      <c r="AF101" s="342" t="str">
        <f>IF(AM101="Row Not Used","",INDEX(SpaceTable[Annual Hours],(MATCH(B101,SpaceTable[Space Name Concatenated Helper],0))))</f>
        <v/>
      </c>
      <c r="AG101" s="205" t="str">
        <f t="shared" si="34"/>
        <v/>
      </c>
      <c r="AH101" s="234" t="str">
        <f t="shared" si="35"/>
        <v/>
      </c>
      <c r="AI101" s="205" t="str">
        <f t="shared" si="36"/>
        <v/>
      </c>
      <c r="AJ101" s="234" t="str">
        <f t="shared" si="37"/>
        <v/>
      </c>
      <c r="AK101" s="144" t="str">
        <f>IF(AM101="Row Not Used","",INDEX(SpaceTable[Row],(MATCH(B101,SpaceTable[Space Name Concatenated Helper],0))))</f>
        <v/>
      </c>
      <c r="AL101" s="238" t="str">
        <f>IF(AM101="Row Not Used","",INDEX(SpaceTable[HVAC Factor],(MATCH(B101,SpaceTable[Space Name Concatenated Helper],0))))</f>
        <v/>
      </c>
      <c r="AM101" s="520" t="str">
        <f t="shared" si="38"/>
        <v>Row Not Used</v>
      </c>
      <c r="AN101" s="512" t="e" cm="1">
        <f t="array" ref="AN101">INDEX(BallastFactorTable[Ballast Factor],MATCH(1,(BallastFactorTable[Fixture Class]=D101)*(BallastFactorTable[Fixture Category]=E101)*(BallastFactorTable[Fixture Sub-category]=F101),0))</f>
        <v>#N/A</v>
      </c>
      <c r="AO101" s="143" t="str">
        <f t="shared" si="51"/>
        <v/>
      </c>
      <c r="AP101" s="501" t="e" cm="1">
        <f t="array" ref="AP101">INDEX(BallastFactorTable[Wattage Range Name],MATCH(1,(BallastFactorTable[Fixture Class]=D101)*(BallastFactorTable[Fixture Category]=E101)*(BallastFactorTable[Fixture Sub-category]=F101),0))</f>
        <v>#N/A</v>
      </c>
      <c r="AQ101" s="515" t="str">
        <f t="shared" ca="1" si="39"/>
        <v>Okay</v>
      </c>
      <c r="AR101" s="512">
        <f t="shared" si="40"/>
        <v>0</v>
      </c>
      <c r="AS101" s="511" t="str">
        <f>IF(OR(Measures!AM101="Row Not Used",Measures!C101="Controls Only",Measures!C101="Decommissioning"),"",_xlfn.CONCAT(P101," ",Q101))</f>
        <v/>
      </c>
      <c r="AT101" s="264" t="str">
        <f t="shared" si="41"/>
        <v>None</v>
      </c>
      <c r="AU101" s="229">
        <f>IF(OR(AM101="Row Not Used",AM101="Controls Only"),0,INDEX(IncentiveRateTable[Incentive Rate],MATCH(AT101,IncentiveRateTable[Incentive Name],0)))</f>
        <v>0</v>
      </c>
      <c r="AV101" s="133" t="str">
        <f>IF(OR(AM101="Row Not Used",AM101="Controls Only"),"None",INDEX(IncentiveRateTable[Incentive Unit],MATCH(AT101,IncentiveRateTable[Incentive Name],0)))</f>
        <v>None</v>
      </c>
      <c r="AW101" s="578">
        <f t="shared" si="52"/>
        <v>0</v>
      </c>
      <c r="AX101" s="264" t="str">
        <f t="shared" si="42"/>
        <v>None</v>
      </c>
      <c r="AY101" s="229">
        <f>IF(OR(AM101="Row Not Used",AM101="Fixtures Only",AM101="Decommissioning"),0,INDEX(IncentiveRateTable[Incentive Rate],MATCH(AX101,IncentiveRateTable[Incentive Name],0)))</f>
        <v>0</v>
      </c>
      <c r="AZ101" s="133" t="str">
        <f>IF(OR(AM101="Row Not Used",AM101="Fixtures Only",AM101="Decommissioning"),"None",INDEX(IncentiveRateTable[Incentive Unit],MATCH(AX101,IncentiveRateTable[Incentive Name],0)))</f>
        <v>None</v>
      </c>
      <c r="BA101" s="465">
        <f t="shared" si="43"/>
        <v>0</v>
      </c>
      <c r="BB101" s="264" t="e" cm="1">
        <f t="array" ref="BB101">INDEX(BallastFactorTable[Commercial BPA Reference Number],MATCH(1,(BallastFactorTable[Fixture Class]=J101)*(BallastFactorTable[Fixture Category]=K101)*(BallastFactorTable[Fixture Sub-category]=L101),0))</f>
        <v>#N/A</v>
      </c>
      <c r="BC101" s="133" t="e" cm="1">
        <f t="array" ref="BC101">INDEX(BallastFactorTable[Industrial BPA Reference Number],MATCH(1,(BallastFactorTable[Fixture Class]=J101)*(BallastFactorTable[Fixture Category]=K101)*(BallastFactorTable[Fixture Sub-category]=L101),0))</f>
        <v>#N/A</v>
      </c>
      <c r="BD101" s="264" t="str">
        <f t="shared" si="44"/>
        <v>Sector is blank</v>
      </c>
      <c r="BE101" s="269" t="str">
        <f>IF(ISBLANK(SectorField),"Sector is blank",IF(AM101="Row Not Used","",IF(OR(R101="No Controls",ISBLANK(R101)),"",INDEX(ControlsBPARefNoTable[Reference Number],MATCH(SectorField,ControlsBPARefNoTable[Sector],0)))))</f>
        <v>Sector is blank</v>
      </c>
      <c r="BF101" s="530" t="str">
        <f t="shared" si="45"/>
        <v/>
      </c>
      <c r="BG101" s="132" t="str">
        <f t="shared" si="46"/>
        <v/>
      </c>
      <c r="BH101" s="531" t="str">
        <f t="shared" si="47"/>
        <v/>
      </c>
      <c r="BI101" s="532"/>
      <c r="BJ101" s="538" t="str">
        <f t="shared" si="53"/>
        <v/>
      </c>
      <c r="BK101" s="539" t="str">
        <f t="shared" si="54"/>
        <v/>
      </c>
      <c r="BL101" s="547" t="str">
        <f t="shared" si="55"/>
        <v/>
      </c>
    </row>
    <row r="102" spans="1:64" x14ac:dyDescent="0.3">
      <c r="A102" s="133">
        <v>95</v>
      </c>
      <c r="B102" s="294"/>
      <c r="C102" s="313"/>
      <c r="D102" s="292"/>
      <c r="E102" s="284"/>
      <c r="F102" s="284"/>
      <c r="G102" s="295"/>
      <c r="H102" s="296"/>
      <c r="I102" s="297"/>
      <c r="J102" s="292"/>
      <c r="K102" s="284"/>
      <c r="L102" s="284"/>
      <c r="M102" s="295"/>
      <c r="N102" s="296"/>
      <c r="O102" s="296"/>
      <c r="P102" s="284"/>
      <c r="Q102" s="298"/>
      <c r="R102" s="292"/>
      <c r="S102" s="299"/>
      <c r="T102" s="300"/>
      <c r="U102" s="317" t="str">
        <f t="shared" si="29"/>
        <v/>
      </c>
      <c r="V102" s="301"/>
      <c r="W102" s="137" t="str">
        <f t="shared" si="30"/>
        <v/>
      </c>
      <c r="X102" s="589" t="str">
        <f t="shared" si="48"/>
        <v/>
      </c>
      <c r="Y102" s="581"/>
      <c r="Z102" s="251" t="str">
        <f t="shared" si="31"/>
        <v/>
      </c>
      <c r="AA102" s="138" t="str">
        <f t="shared" si="56"/>
        <v/>
      </c>
      <c r="AB102" s="243" t="str">
        <f t="shared" si="49"/>
        <v/>
      </c>
      <c r="AC102" s="141" t="str">
        <f t="shared" si="32"/>
        <v/>
      </c>
      <c r="AD102" s="138" t="str">
        <f t="shared" si="50"/>
        <v/>
      </c>
      <c r="AE102" s="243" t="str">
        <f t="shared" si="33"/>
        <v/>
      </c>
      <c r="AF102" s="342" t="str">
        <f>IF(AM102="Row Not Used","",INDEX(SpaceTable[Annual Hours],(MATCH(B102,SpaceTable[Space Name Concatenated Helper],0))))</f>
        <v/>
      </c>
      <c r="AG102" s="205" t="str">
        <f t="shared" si="34"/>
        <v/>
      </c>
      <c r="AH102" s="234" t="str">
        <f t="shared" si="35"/>
        <v/>
      </c>
      <c r="AI102" s="205" t="str">
        <f t="shared" si="36"/>
        <v/>
      </c>
      <c r="AJ102" s="234" t="str">
        <f t="shared" si="37"/>
        <v/>
      </c>
      <c r="AK102" s="144" t="str">
        <f>IF(AM102="Row Not Used","",INDEX(SpaceTable[Row],(MATCH(B102,SpaceTable[Space Name Concatenated Helper],0))))</f>
        <v/>
      </c>
      <c r="AL102" s="238" t="str">
        <f>IF(AM102="Row Not Used","",INDEX(SpaceTable[HVAC Factor],(MATCH(B102,SpaceTable[Space Name Concatenated Helper],0))))</f>
        <v/>
      </c>
      <c r="AM102" s="520" t="str">
        <f t="shared" si="38"/>
        <v>Row Not Used</v>
      </c>
      <c r="AN102" s="512" t="e" cm="1">
        <f t="array" ref="AN102">INDEX(BallastFactorTable[Ballast Factor],MATCH(1,(BallastFactorTable[Fixture Class]=D102)*(BallastFactorTable[Fixture Category]=E102)*(BallastFactorTable[Fixture Sub-category]=F102),0))</f>
        <v>#N/A</v>
      </c>
      <c r="AO102" s="143" t="str">
        <f t="shared" si="51"/>
        <v/>
      </c>
      <c r="AP102" s="501" t="e" cm="1">
        <f t="array" ref="AP102">INDEX(BallastFactorTable[Wattage Range Name],MATCH(1,(BallastFactorTable[Fixture Class]=D102)*(BallastFactorTable[Fixture Category]=E102)*(BallastFactorTable[Fixture Sub-category]=F102),0))</f>
        <v>#N/A</v>
      </c>
      <c r="AQ102" s="515" t="str">
        <f t="shared" ca="1" si="39"/>
        <v>Okay</v>
      </c>
      <c r="AR102" s="512">
        <f t="shared" si="40"/>
        <v>0</v>
      </c>
      <c r="AS102" s="511" t="str">
        <f>IF(OR(Measures!AM102="Row Not Used",Measures!C102="Controls Only",Measures!C102="Decommissioning"),"",_xlfn.CONCAT(P102," ",Q102))</f>
        <v/>
      </c>
      <c r="AT102" s="264" t="str">
        <f t="shared" si="41"/>
        <v>None</v>
      </c>
      <c r="AU102" s="229">
        <f>IF(OR(AM102="Row Not Used",AM102="Controls Only"),0,INDEX(IncentiveRateTable[Incentive Rate],MATCH(AT102,IncentiveRateTable[Incentive Name],0)))</f>
        <v>0</v>
      </c>
      <c r="AV102" s="133" t="str">
        <f>IF(OR(AM102="Row Not Used",AM102="Controls Only"),"None",INDEX(IncentiveRateTable[Incentive Unit],MATCH(AT102,IncentiveRateTable[Incentive Name],0)))</f>
        <v>None</v>
      </c>
      <c r="AW102" s="578">
        <f t="shared" si="52"/>
        <v>0</v>
      </c>
      <c r="AX102" s="264" t="str">
        <f t="shared" si="42"/>
        <v>None</v>
      </c>
      <c r="AY102" s="229">
        <f>IF(OR(AM102="Row Not Used",AM102="Fixtures Only",AM102="Decommissioning"),0,INDEX(IncentiveRateTable[Incentive Rate],MATCH(AX102,IncentiveRateTable[Incentive Name],0)))</f>
        <v>0</v>
      </c>
      <c r="AZ102" s="133" t="str">
        <f>IF(OR(AM102="Row Not Used",AM102="Fixtures Only",AM102="Decommissioning"),"None",INDEX(IncentiveRateTable[Incentive Unit],MATCH(AX102,IncentiveRateTable[Incentive Name],0)))</f>
        <v>None</v>
      </c>
      <c r="BA102" s="465">
        <f t="shared" si="43"/>
        <v>0</v>
      </c>
      <c r="BB102" s="264" t="e" cm="1">
        <f t="array" ref="BB102">INDEX(BallastFactorTable[Commercial BPA Reference Number],MATCH(1,(BallastFactorTable[Fixture Class]=J102)*(BallastFactorTable[Fixture Category]=K102)*(BallastFactorTable[Fixture Sub-category]=L102),0))</f>
        <v>#N/A</v>
      </c>
      <c r="BC102" s="133" t="e" cm="1">
        <f t="array" ref="BC102">INDEX(BallastFactorTable[Industrial BPA Reference Number],MATCH(1,(BallastFactorTable[Fixture Class]=J102)*(BallastFactorTable[Fixture Category]=K102)*(BallastFactorTable[Fixture Sub-category]=L102),0))</f>
        <v>#N/A</v>
      </c>
      <c r="BD102" s="264" t="str">
        <f t="shared" si="44"/>
        <v>Sector is blank</v>
      </c>
      <c r="BE102" s="269" t="str">
        <f>IF(ISBLANK(SectorField),"Sector is blank",IF(AM102="Row Not Used","",IF(OR(R102="No Controls",ISBLANK(R102)),"",INDEX(ControlsBPARefNoTable[Reference Number],MATCH(SectorField,ControlsBPARefNoTable[Sector],0)))))</f>
        <v>Sector is blank</v>
      </c>
      <c r="BF102" s="530" t="str">
        <f t="shared" si="45"/>
        <v/>
      </c>
      <c r="BG102" s="132" t="str">
        <f t="shared" si="46"/>
        <v/>
      </c>
      <c r="BH102" s="531" t="str">
        <f t="shared" si="47"/>
        <v/>
      </c>
      <c r="BI102" s="532"/>
      <c r="BJ102" s="538" t="str">
        <f t="shared" si="53"/>
        <v/>
      </c>
      <c r="BK102" s="539" t="str">
        <f t="shared" si="54"/>
        <v/>
      </c>
      <c r="BL102" s="547" t="str">
        <f t="shared" si="55"/>
        <v/>
      </c>
    </row>
    <row r="103" spans="1:64" x14ac:dyDescent="0.3">
      <c r="A103" s="133">
        <v>96</v>
      </c>
      <c r="B103" s="294"/>
      <c r="C103" s="313"/>
      <c r="D103" s="292"/>
      <c r="E103" s="284"/>
      <c r="F103" s="284"/>
      <c r="G103" s="295"/>
      <c r="H103" s="296"/>
      <c r="I103" s="297"/>
      <c r="J103" s="292"/>
      <c r="K103" s="284"/>
      <c r="L103" s="284"/>
      <c r="M103" s="295"/>
      <c r="N103" s="296"/>
      <c r="O103" s="296"/>
      <c r="P103" s="284"/>
      <c r="Q103" s="298"/>
      <c r="R103" s="292"/>
      <c r="S103" s="299"/>
      <c r="T103" s="300"/>
      <c r="U103" s="317" t="str">
        <f t="shared" si="29"/>
        <v/>
      </c>
      <c r="V103" s="301"/>
      <c r="W103" s="136" t="str">
        <f t="shared" si="30"/>
        <v/>
      </c>
      <c r="X103" s="588" t="str">
        <f t="shared" si="48"/>
        <v/>
      </c>
      <c r="Y103" s="580"/>
      <c r="Z103" s="251" t="str">
        <f t="shared" si="31"/>
        <v/>
      </c>
      <c r="AA103" s="138" t="str">
        <f t="shared" si="56"/>
        <v/>
      </c>
      <c r="AB103" s="243" t="str">
        <f t="shared" si="49"/>
        <v/>
      </c>
      <c r="AC103" s="141" t="str">
        <f t="shared" si="32"/>
        <v/>
      </c>
      <c r="AD103" s="138" t="str">
        <f t="shared" si="50"/>
        <v/>
      </c>
      <c r="AE103" s="243" t="str">
        <f t="shared" si="33"/>
        <v/>
      </c>
      <c r="AF103" s="342" t="str">
        <f>IF(AM103="Row Not Used","",INDEX(SpaceTable[Annual Hours],(MATCH(B103,SpaceTable[Space Name Concatenated Helper],0))))</f>
        <v/>
      </c>
      <c r="AG103" s="205" t="str">
        <f t="shared" si="34"/>
        <v/>
      </c>
      <c r="AH103" s="234" t="str">
        <f t="shared" si="35"/>
        <v/>
      </c>
      <c r="AI103" s="205" t="str">
        <f t="shared" si="36"/>
        <v/>
      </c>
      <c r="AJ103" s="234" t="str">
        <f t="shared" si="37"/>
        <v/>
      </c>
      <c r="AK103" s="144" t="str">
        <f>IF(AM103="Row Not Used","",INDEX(SpaceTable[Row],(MATCH(B103,SpaceTable[Space Name Concatenated Helper],0))))</f>
        <v/>
      </c>
      <c r="AL103" s="238" t="str">
        <f>IF(AM103="Row Not Used","",INDEX(SpaceTable[HVAC Factor],(MATCH(B103,SpaceTable[Space Name Concatenated Helper],0))))</f>
        <v/>
      </c>
      <c r="AM103" s="520" t="str">
        <f t="shared" si="38"/>
        <v>Row Not Used</v>
      </c>
      <c r="AN103" s="512" t="e" cm="1">
        <f t="array" ref="AN103">INDEX(BallastFactorTable[Ballast Factor],MATCH(1,(BallastFactorTable[Fixture Class]=D103)*(BallastFactorTable[Fixture Category]=E103)*(BallastFactorTable[Fixture Sub-category]=F103),0))</f>
        <v>#N/A</v>
      </c>
      <c r="AO103" s="143" t="str">
        <f t="shared" si="51"/>
        <v/>
      </c>
      <c r="AP103" s="501" t="e" cm="1">
        <f t="array" ref="AP103">INDEX(BallastFactorTable[Wattage Range Name],MATCH(1,(BallastFactorTable[Fixture Class]=D103)*(BallastFactorTable[Fixture Category]=E103)*(BallastFactorTable[Fixture Sub-category]=F103),0))</f>
        <v>#N/A</v>
      </c>
      <c r="AQ103" s="515" t="str">
        <f t="shared" ca="1" si="39"/>
        <v>Okay</v>
      </c>
      <c r="AR103" s="512">
        <f t="shared" si="40"/>
        <v>0</v>
      </c>
      <c r="AS103" s="511" t="str">
        <f>IF(OR(Measures!AM103="Row Not Used",Measures!C103="Controls Only",Measures!C103="Decommissioning"),"",_xlfn.CONCAT(P103," ",Q103))</f>
        <v/>
      </c>
      <c r="AT103" s="264" t="str">
        <f t="shared" si="41"/>
        <v>None</v>
      </c>
      <c r="AU103" s="229">
        <f>IF(OR(AM103="Row Not Used",AM103="Controls Only"),0,INDEX(IncentiveRateTable[Incentive Rate],MATCH(AT103,IncentiveRateTable[Incentive Name],0)))</f>
        <v>0</v>
      </c>
      <c r="AV103" s="133" t="str">
        <f>IF(OR(AM103="Row Not Used",AM103="Controls Only"),"None",INDEX(IncentiveRateTable[Incentive Unit],MATCH(AT103,IncentiveRateTable[Incentive Name],0)))</f>
        <v>None</v>
      </c>
      <c r="AW103" s="578">
        <f t="shared" si="52"/>
        <v>0</v>
      </c>
      <c r="AX103" s="264" t="str">
        <f t="shared" si="42"/>
        <v>None</v>
      </c>
      <c r="AY103" s="229">
        <f>IF(OR(AM103="Row Not Used",AM103="Fixtures Only",AM103="Decommissioning"),0,INDEX(IncentiveRateTable[Incentive Rate],MATCH(AX103,IncentiveRateTable[Incentive Name],0)))</f>
        <v>0</v>
      </c>
      <c r="AZ103" s="133" t="str">
        <f>IF(OR(AM103="Row Not Used",AM103="Fixtures Only",AM103="Decommissioning"),"None",INDEX(IncentiveRateTable[Incentive Unit],MATCH(AX103,IncentiveRateTable[Incentive Name],0)))</f>
        <v>None</v>
      </c>
      <c r="BA103" s="465">
        <f t="shared" si="43"/>
        <v>0</v>
      </c>
      <c r="BB103" s="264" t="e" cm="1">
        <f t="array" ref="BB103">INDEX(BallastFactorTable[Commercial BPA Reference Number],MATCH(1,(BallastFactorTable[Fixture Class]=J103)*(BallastFactorTable[Fixture Category]=K103)*(BallastFactorTable[Fixture Sub-category]=L103),0))</f>
        <v>#N/A</v>
      </c>
      <c r="BC103" s="133" t="e" cm="1">
        <f t="array" ref="BC103">INDEX(BallastFactorTable[Industrial BPA Reference Number],MATCH(1,(BallastFactorTable[Fixture Class]=J103)*(BallastFactorTable[Fixture Category]=K103)*(BallastFactorTable[Fixture Sub-category]=L103),0))</f>
        <v>#N/A</v>
      </c>
      <c r="BD103" s="264" t="str">
        <f t="shared" si="44"/>
        <v>Sector is blank</v>
      </c>
      <c r="BE103" s="269" t="str">
        <f>IF(ISBLANK(SectorField),"Sector is blank",IF(AM103="Row Not Used","",IF(OR(R103="No Controls",ISBLANK(R103)),"",INDEX(ControlsBPARefNoTable[Reference Number],MATCH(SectorField,ControlsBPARefNoTable[Sector],0)))))</f>
        <v>Sector is blank</v>
      </c>
      <c r="BF103" s="530" t="str">
        <f t="shared" si="45"/>
        <v/>
      </c>
      <c r="BG103" s="132" t="str">
        <f t="shared" si="46"/>
        <v/>
      </c>
      <c r="BH103" s="531" t="str">
        <f t="shared" si="47"/>
        <v/>
      </c>
      <c r="BI103" s="532"/>
      <c r="BJ103" s="538" t="str">
        <f t="shared" si="53"/>
        <v/>
      </c>
      <c r="BK103" s="539" t="str">
        <f t="shared" si="54"/>
        <v/>
      </c>
      <c r="BL103" s="547" t="str">
        <f t="shared" si="55"/>
        <v/>
      </c>
    </row>
    <row r="104" spans="1:64" x14ac:dyDescent="0.3">
      <c r="A104" s="133">
        <v>97</v>
      </c>
      <c r="B104" s="294"/>
      <c r="C104" s="313"/>
      <c r="D104" s="292"/>
      <c r="E104" s="284"/>
      <c r="F104" s="284"/>
      <c r="G104" s="295"/>
      <c r="H104" s="296"/>
      <c r="I104" s="297"/>
      <c r="J104" s="292"/>
      <c r="K104" s="284"/>
      <c r="L104" s="284"/>
      <c r="M104" s="295"/>
      <c r="N104" s="296"/>
      <c r="O104" s="296"/>
      <c r="P104" s="284"/>
      <c r="Q104" s="298"/>
      <c r="R104" s="292"/>
      <c r="S104" s="299"/>
      <c r="T104" s="300"/>
      <c r="U104" s="317" t="str">
        <f t="shared" si="29"/>
        <v/>
      </c>
      <c r="V104" s="301"/>
      <c r="W104" s="137" t="str">
        <f t="shared" si="30"/>
        <v/>
      </c>
      <c r="X104" s="589" t="str">
        <f t="shared" si="48"/>
        <v/>
      </c>
      <c r="Y104" s="581"/>
      <c r="Z104" s="251" t="str">
        <f t="shared" si="31"/>
        <v/>
      </c>
      <c r="AA104" s="138" t="str">
        <f t="shared" si="56"/>
        <v/>
      </c>
      <c r="AB104" s="243" t="str">
        <f t="shared" si="49"/>
        <v/>
      </c>
      <c r="AC104" s="141" t="str">
        <f t="shared" si="32"/>
        <v/>
      </c>
      <c r="AD104" s="138" t="str">
        <f t="shared" si="50"/>
        <v/>
      </c>
      <c r="AE104" s="243" t="str">
        <f t="shared" si="33"/>
        <v/>
      </c>
      <c r="AF104" s="342" t="str">
        <f>IF(AM104="Row Not Used","",INDEX(SpaceTable[Annual Hours],(MATCH(B104,SpaceTable[Space Name Concatenated Helper],0))))</f>
        <v/>
      </c>
      <c r="AG104" s="205" t="str">
        <f t="shared" si="34"/>
        <v/>
      </c>
      <c r="AH104" s="234" t="str">
        <f t="shared" si="35"/>
        <v/>
      </c>
      <c r="AI104" s="205" t="str">
        <f t="shared" si="36"/>
        <v/>
      </c>
      <c r="AJ104" s="234" t="str">
        <f t="shared" si="37"/>
        <v/>
      </c>
      <c r="AK104" s="144" t="str">
        <f>IF(AM104="Row Not Used","",INDEX(SpaceTable[Row],(MATCH(B104,SpaceTable[Space Name Concatenated Helper],0))))</f>
        <v/>
      </c>
      <c r="AL104" s="238" t="str">
        <f>IF(AM104="Row Not Used","",INDEX(SpaceTable[HVAC Factor],(MATCH(B104,SpaceTable[Space Name Concatenated Helper],0))))</f>
        <v/>
      </c>
      <c r="AM104" s="520" t="str">
        <f t="shared" si="38"/>
        <v>Row Not Used</v>
      </c>
      <c r="AN104" s="512" t="e" cm="1">
        <f t="array" ref="AN104">INDEX(BallastFactorTable[Ballast Factor],MATCH(1,(BallastFactorTable[Fixture Class]=D104)*(BallastFactorTable[Fixture Category]=E104)*(BallastFactorTable[Fixture Sub-category]=F104),0))</f>
        <v>#N/A</v>
      </c>
      <c r="AO104" s="143" t="str">
        <f t="shared" si="51"/>
        <v/>
      </c>
      <c r="AP104" s="501" t="e" cm="1">
        <f t="array" ref="AP104">INDEX(BallastFactorTable[Wattage Range Name],MATCH(1,(BallastFactorTable[Fixture Class]=D104)*(BallastFactorTable[Fixture Category]=E104)*(BallastFactorTable[Fixture Sub-category]=F104),0))</f>
        <v>#N/A</v>
      </c>
      <c r="AQ104" s="515" t="str">
        <f t="shared" ca="1" si="39"/>
        <v>Okay</v>
      </c>
      <c r="AR104" s="512">
        <f t="shared" si="40"/>
        <v>0</v>
      </c>
      <c r="AS104" s="511" t="str">
        <f>IF(OR(Measures!AM104="Row Not Used",Measures!C104="Controls Only",Measures!C104="Decommissioning"),"",_xlfn.CONCAT(P104," ",Q104))</f>
        <v/>
      </c>
      <c r="AT104" s="264" t="str">
        <f t="shared" si="41"/>
        <v>None</v>
      </c>
      <c r="AU104" s="229">
        <f>IF(OR(AM104="Row Not Used",AM104="Controls Only"),0,INDEX(IncentiveRateTable[Incentive Rate],MATCH(AT104,IncentiveRateTable[Incentive Name],0)))</f>
        <v>0</v>
      </c>
      <c r="AV104" s="133" t="str">
        <f>IF(OR(AM104="Row Not Used",AM104="Controls Only"),"None",INDEX(IncentiveRateTable[Incentive Unit],MATCH(AT104,IncentiveRateTable[Incentive Name],0)))</f>
        <v>None</v>
      </c>
      <c r="AW104" s="578">
        <f t="shared" si="52"/>
        <v>0</v>
      </c>
      <c r="AX104" s="264" t="str">
        <f t="shared" si="42"/>
        <v>None</v>
      </c>
      <c r="AY104" s="229">
        <f>IF(OR(AM104="Row Not Used",AM104="Fixtures Only",AM104="Decommissioning"),0,INDEX(IncentiveRateTable[Incentive Rate],MATCH(AX104,IncentiveRateTable[Incentive Name],0)))</f>
        <v>0</v>
      </c>
      <c r="AZ104" s="133" t="str">
        <f>IF(OR(AM104="Row Not Used",AM104="Fixtures Only",AM104="Decommissioning"),"None",INDEX(IncentiveRateTable[Incentive Unit],MATCH(AX104,IncentiveRateTable[Incentive Name],0)))</f>
        <v>None</v>
      </c>
      <c r="BA104" s="465">
        <f t="shared" si="43"/>
        <v>0</v>
      </c>
      <c r="BB104" s="264" t="e" cm="1">
        <f t="array" ref="BB104">INDEX(BallastFactorTable[Commercial BPA Reference Number],MATCH(1,(BallastFactorTable[Fixture Class]=J104)*(BallastFactorTable[Fixture Category]=K104)*(BallastFactorTable[Fixture Sub-category]=L104),0))</f>
        <v>#N/A</v>
      </c>
      <c r="BC104" s="133" t="e" cm="1">
        <f t="array" ref="BC104">INDEX(BallastFactorTable[Industrial BPA Reference Number],MATCH(1,(BallastFactorTable[Fixture Class]=J104)*(BallastFactorTable[Fixture Category]=K104)*(BallastFactorTable[Fixture Sub-category]=L104),0))</f>
        <v>#N/A</v>
      </c>
      <c r="BD104" s="264" t="str">
        <f t="shared" si="44"/>
        <v>Sector is blank</v>
      </c>
      <c r="BE104" s="269" t="str">
        <f>IF(ISBLANK(SectorField),"Sector is blank",IF(AM104="Row Not Used","",IF(OR(R104="No Controls",ISBLANK(R104)),"",INDEX(ControlsBPARefNoTable[Reference Number],MATCH(SectorField,ControlsBPARefNoTable[Sector],0)))))</f>
        <v>Sector is blank</v>
      </c>
      <c r="BF104" s="530" t="str">
        <f t="shared" si="45"/>
        <v/>
      </c>
      <c r="BG104" s="132" t="str">
        <f t="shared" si="46"/>
        <v/>
      </c>
      <c r="BH104" s="531" t="str">
        <f t="shared" si="47"/>
        <v/>
      </c>
      <c r="BI104" s="532"/>
      <c r="BJ104" s="538" t="str">
        <f t="shared" si="53"/>
        <v/>
      </c>
      <c r="BK104" s="539" t="str">
        <f t="shared" si="54"/>
        <v/>
      </c>
      <c r="BL104" s="547" t="str">
        <f t="shared" si="55"/>
        <v/>
      </c>
    </row>
    <row r="105" spans="1:64" x14ac:dyDescent="0.3">
      <c r="A105" s="133">
        <v>98</v>
      </c>
      <c r="B105" s="294"/>
      <c r="C105" s="313"/>
      <c r="D105" s="292"/>
      <c r="E105" s="284"/>
      <c r="F105" s="284"/>
      <c r="G105" s="295"/>
      <c r="H105" s="296"/>
      <c r="I105" s="297"/>
      <c r="J105" s="292"/>
      <c r="K105" s="284"/>
      <c r="L105" s="284"/>
      <c r="M105" s="295"/>
      <c r="N105" s="296"/>
      <c r="O105" s="296"/>
      <c r="P105" s="284"/>
      <c r="Q105" s="298"/>
      <c r="R105" s="292"/>
      <c r="S105" s="299"/>
      <c r="T105" s="300"/>
      <c r="U105" s="317" t="str">
        <f t="shared" si="29"/>
        <v/>
      </c>
      <c r="V105" s="301"/>
      <c r="W105" s="136" t="str">
        <f t="shared" si="30"/>
        <v/>
      </c>
      <c r="X105" s="588" t="str">
        <f t="shared" si="48"/>
        <v/>
      </c>
      <c r="Y105" s="580"/>
      <c r="Z105" s="251" t="str">
        <f t="shared" si="31"/>
        <v/>
      </c>
      <c r="AA105" s="138" t="str">
        <f t="shared" si="56"/>
        <v/>
      </c>
      <c r="AB105" s="243" t="str">
        <f t="shared" si="49"/>
        <v/>
      </c>
      <c r="AC105" s="141" t="str">
        <f t="shared" si="32"/>
        <v/>
      </c>
      <c r="AD105" s="138" t="str">
        <f t="shared" si="50"/>
        <v/>
      </c>
      <c r="AE105" s="243" t="str">
        <f t="shared" si="33"/>
        <v/>
      </c>
      <c r="AF105" s="342" t="str">
        <f>IF(AM105="Row Not Used","",INDEX(SpaceTable[Annual Hours],(MATCH(B105,SpaceTable[Space Name Concatenated Helper],0))))</f>
        <v/>
      </c>
      <c r="AG105" s="205" t="str">
        <f t="shared" si="34"/>
        <v/>
      </c>
      <c r="AH105" s="234" t="str">
        <f t="shared" si="35"/>
        <v/>
      </c>
      <c r="AI105" s="205" t="str">
        <f t="shared" si="36"/>
        <v/>
      </c>
      <c r="AJ105" s="234" t="str">
        <f t="shared" si="37"/>
        <v/>
      </c>
      <c r="AK105" s="144" t="str">
        <f>IF(AM105="Row Not Used","",INDEX(SpaceTable[Row],(MATCH(B105,SpaceTable[Space Name Concatenated Helper],0))))</f>
        <v/>
      </c>
      <c r="AL105" s="238" t="str">
        <f>IF(AM105="Row Not Used","",INDEX(SpaceTable[HVAC Factor],(MATCH(B105,SpaceTable[Space Name Concatenated Helper],0))))</f>
        <v/>
      </c>
      <c r="AM105" s="520" t="str">
        <f t="shared" si="38"/>
        <v>Row Not Used</v>
      </c>
      <c r="AN105" s="512" t="e" cm="1">
        <f t="array" ref="AN105">INDEX(BallastFactorTable[Ballast Factor],MATCH(1,(BallastFactorTable[Fixture Class]=D105)*(BallastFactorTable[Fixture Category]=E105)*(BallastFactorTable[Fixture Sub-category]=F105),0))</f>
        <v>#N/A</v>
      </c>
      <c r="AO105" s="143" t="str">
        <f t="shared" si="51"/>
        <v/>
      </c>
      <c r="AP105" s="501" t="e" cm="1">
        <f t="array" ref="AP105">INDEX(BallastFactorTable[Wattage Range Name],MATCH(1,(BallastFactorTable[Fixture Class]=D105)*(BallastFactorTable[Fixture Category]=E105)*(BallastFactorTable[Fixture Sub-category]=F105),0))</f>
        <v>#N/A</v>
      </c>
      <c r="AQ105" s="515" t="str">
        <f t="shared" ca="1" si="39"/>
        <v>Okay</v>
      </c>
      <c r="AR105" s="512">
        <f t="shared" si="40"/>
        <v>0</v>
      </c>
      <c r="AS105" s="511" t="str">
        <f>IF(OR(Measures!AM105="Row Not Used",Measures!C105="Controls Only",Measures!C105="Decommissioning"),"",_xlfn.CONCAT(P105," ",Q105))</f>
        <v/>
      </c>
      <c r="AT105" s="264" t="str">
        <f t="shared" si="41"/>
        <v>None</v>
      </c>
      <c r="AU105" s="229">
        <f>IF(OR(AM105="Row Not Used",AM105="Controls Only"),0,INDEX(IncentiveRateTable[Incentive Rate],MATCH(AT105,IncentiveRateTable[Incentive Name],0)))</f>
        <v>0</v>
      </c>
      <c r="AV105" s="133" t="str">
        <f>IF(OR(AM105="Row Not Used",AM105="Controls Only"),"None",INDEX(IncentiveRateTable[Incentive Unit],MATCH(AT105,IncentiveRateTable[Incentive Name],0)))</f>
        <v>None</v>
      </c>
      <c r="AW105" s="578">
        <f t="shared" si="52"/>
        <v>0</v>
      </c>
      <c r="AX105" s="264" t="str">
        <f t="shared" si="42"/>
        <v>None</v>
      </c>
      <c r="AY105" s="229">
        <f>IF(OR(AM105="Row Not Used",AM105="Fixtures Only",AM105="Decommissioning"),0,INDEX(IncentiveRateTable[Incentive Rate],MATCH(AX105,IncentiveRateTable[Incentive Name],0)))</f>
        <v>0</v>
      </c>
      <c r="AZ105" s="133" t="str">
        <f>IF(OR(AM105="Row Not Used",AM105="Fixtures Only",AM105="Decommissioning"),"None",INDEX(IncentiveRateTable[Incentive Unit],MATCH(AX105,IncentiveRateTable[Incentive Name],0)))</f>
        <v>None</v>
      </c>
      <c r="BA105" s="465">
        <f t="shared" si="43"/>
        <v>0</v>
      </c>
      <c r="BB105" s="264" t="e" cm="1">
        <f t="array" ref="BB105">INDEX(BallastFactorTable[Commercial BPA Reference Number],MATCH(1,(BallastFactorTable[Fixture Class]=J105)*(BallastFactorTable[Fixture Category]=K105)*(BallastFactorTable[Fixture Sub-category]=L105),0))</f>
        <v>#N/A</v>
      </c>
      <c r="BC105" s="133" t="e" cm="1">
        <f t="array" ref="BC105">INDEX(BallastFactorTable[Industrial BPA Reference Number],MATCH(1,(BallastFactorTable[Fixture Class]=J105)*(BallastFactorTable[Fixture Category]=K105)*(BallastFactorTable[Fixture Sub-category]=L105),0))</f>
        <v>#N/A</v>
      </c>
      <c r="BD105" s="264" t="str">
        <f t="shared" si="44"/>
        <v>Sector is blank</v>
      </c>
      <c r="BE105" s="269" t="str">
        <f>IF(ISBLANK(SectorField),"Sector is blank",IF(AM105="Row Not Used","",IF(OR(R105="No Controls",ISBLANK(R105)),"",INDEX(ControlsBPARefNoTable[Reference Number],MATCH(SectorField,ControlsBPARefNoTable[Sector],0)))))</f>
        <v>Sector is blank</v>
      </c>
      <c r="BF105" s="530" t="str">
        <f t="shared" si="45"/>
        <v/>
      </c>
      <c r="BG105" s="132" t="str">
        <f t="shared" si="46"/>
        <v/>
      </c>
      <c r="BH105" s="531" t="str">
        <f t="shared" si="47"/>
        <v/>
      </c>
      <c r="BI105" s="532"/>
      <c r="BJ105" s="538" t="str">
        <f t="shared" si="53"/>
        <v/>
      </c>
      <c r="BK105" s="539" t="str">
        <f t="shared" si="54"/>
        <v/>
      </c>
      <c r="BL105" s="547" t="str">
        <f t="shared" si="55"/>
        <v/>
      </c>
    </row>
    <row r="106" spans="1:64" x14ac:dyDescent="0.3">
      <c r="A106" s="133">
        <v>99</v>
      </c>
      <c r="B106" s="294"/>
      <c r="C106" s="313"/>
      <c r="D106" s="292"/>
      <c r="E106" s="284"/>
      <c r="F106" s="284"/>
      <c r="G106" s="295"/>
      <c r="H106" s="296"/>
      <c r="I106" s="297"/>
      <c r="J106" s="292"/>
      <c r="K106" s="284"/>
      <c r="L106" s="284"/>
      <c r="M106" s="295"/>
      <c r="N106" s="296"/>
      <c r="O106" s="296"/>
      <c r="P106" s="284"/>
      <c r="Q106" s="298"/>
      <c r="R106" s="292"/>
      <c r="S106" s="299"/>
      <c r="T106" s="300"/>
      <c r="U106" s="317" t="str">
        <f t="shared" si="29"/>
        <v/>
      </c>
      <c r="V106" s="301"/>
      <c r="W106" s="137" t="str">
        <f t="shared" si="30"/>
        <v/>
      </c>
      <c r="X106" s="589" t="str">
        <f t="shared" si="48"/>
        <v/>
      </c>
      <c r="Y106" s="581"/>
      <c r="Z106" s="251" t="str">
        <f t="shared" si="31"/>
        <v/>
      </c>
      <c r="AA106" s="138" t="str">
        <f t="shared" si="56"/>
        <v/>
      </c>
      <c r="AB106" s="243" t="str">
        <f t="shared" si="49"/>
        <v/>
      </c>
      <c r="AC106" s="141" t="str">
        <f t="shared" si="32"/>
        <v/>
      </c>
      <c r="AD106" s="138" t="str">
        <f t="shared" si="50"/>
        <v/>
      </c>
      <c r="AE106" s="243" t="str">
        <f t="shared" si="33"/>
        <v/>
      </c>
      <c r="AF106" s="342" t="str">
        <f>IF(AM106="Row Not Used","",INDEX(SpaceTable[Annual Hours],(MATCH(B106,SpaceTable[Space Name Concatenated Helper],0))))</f>
        <v/>
      </c>
      <c r="AG106" s="205" t="str">
        <f t="shared" si="34"/>
        <v/>
      </c>
      <c r="AH106" s="234" t="str">
        <f t="shared" si="35"/>
        <v/>
      </c>
      <c r="AI106" s="205" t="str">
        <f t="shared" si="36"/>
        <v/>
      </c>
      <c r="AJ106" s="234" t="str">
        <f t="shared" si="37"/>
        <v/>
      </c>
      <c r="AK106" s="144" t="str">
        <f>IF(AM106="Row Not Used","",INDEX(SpaceTable[Row],(MATCH(B106,SpaceTable[Space Name Concatenated Helper],0))))</f>
        <v/>
      </c>
      <c r="AL106" s="238" t="str">
        <f>IF(AM106="Row Not Used","",INDEX(SpaceTable[HVAC Factor],(MATCH(B106,SpaceTable[Space Name Concatenated Helper],0))))</f>
        <v/>
      </c>
      <c r="AM106" s="520" t="str">
        <f t="shared" si="38"/>
        <v>Row Not Used</v>
      </c>
      <c r="AN106" s="512" t="e" cm="1">
        <f t="array" ref="AN106">INDEX(BallastFactorTable[Ballast Factor],MATCH(1,(BallastFactorTable[Fixture Class]=D106)*(BallastFactorTable[Fixture Category]=E106)*(BallastFactorTable[Fixture Sub-category]=F106),0))</f>
        <v>#N/A</v>
      </c>
      <c r="AO106" s="143" t="str">
        <f t="shared" si="51"/>
        <v/>
      </c>
      <c r="AP106" s="501" t="e" cm="1">
        <f t="array" ref="AP106">INDEX(BallastFactorTable[Wattage Range Name],MATCH(1,(BallastFactorTable[Fixture Class]=D106)*(BallastFactorTable[Fixture Category]=E106)*(BallastFactorTable[Fixture Sub-category]=F106),0))</f>
        <v>#N/A</v>
      </c>
      <c r="AQ106" s="515" t="str">
        <f t="shared" ca="1" si="39"/>
        <v>Okay</v>
      </c>
      <c r="AR106" s="512">
        <f t="shared" si="40"/>
        <v>0</v>
      </c>
      <c r="AS106" s="511" t="str">
        <f>IF(OR(Measures!AM106="Row Not Used",Measures!C106="Controls Only",Measures!C106="Decommissioning"),"",_xlfn.CONCAT(P106," ",Q106))</f>
        <v/>
      </c>
      <c r="AT106" s="264" t="str">
        <f t="shared" si="41"/>
        <v>None</v>
      </c>
      <c r="AU106" s="229">
        <f>IF(OR(AM106="Row Not Used",AM106="Controls Only"),0,INDEX(IncentiveRateTable[Incentive Rate],MATCH(AT106,IncentiveRateTable[Incentive Name],0)))</f>
        <v>0</v>
      </c>
      <c r="AV106" s="133" t="str">
        <f>IF(OR(AM106="Row Not Used",AM106="Controls Only"),"None",INDEX(IncentiveRateTable[Incentive Unit],MATCH(AT106,IncentiveRateTable[Incentive Name],0)))</f>
        <v>None</v>
      </c>
      <c r="AW106" s="578">
        <f t="shared" si="52"/>
        <v>0</v>
      </c>
      <c r="AX106" s="264" t="str">
        <f t="shared" si="42"/>
        <v>None</v>
      </c>
      <c r="AY106" s="229">
        <f>IF(OR(AM106="Row Not Used",AM106="Fixtures Only",AM106="Decommissioning"),0,INDEX(IncentiveRateTable[Incentive Rate],MATCH(AX106,IncentiveRateTable[Incentive Name],0)))</f>
        <v>0</v>
      </c>
      <c r="AZ106" s="133" t="str">
        <f>IF(OR(AM106="Row Not Used",AM106="Fixtures Only",AM106="Decommissioning"),"None",INDEX(IncentiveRateTable[Incentive Unit],MATCH(AX106,IncentiveRateTable[Incentive Name],0)))</f>
        <v>None</v>
      </c>
      <c r="BA106" s="465">
        <f t="shared" si="43"/>
        <v>0</v>
      </c>
      <c r="BB106" s="264" t="e" cm="1">
        <f t="array" ref="BB106">INDEX(BallastFactorTable[Commercial BPA Reference Number],MATCH(1,(BallastFactorTable[Fixture Class]=J106)*(BallastFactorTable[Fixture Category]=K106)*(BallastFactorTable[Fixture Sub-category]=L106),0))</f>
        <v>#N/A</v>
      </c>
      <c r="BC106" s="133" t="e" cm="1">
        <f t="array" ref="BC106">INDEX(BallastFactorTable[Industrial BPA Reference Number],MATCH(1,(BallastFactorTable[Fixture Class]=J106)*(BallastFactorTable[Fixture Category]=K106)*(BallastFactorTable[Fixture Sub-category]=L106),0))</f>
        <v>#N/A</v>
      </c>
      <c r="BD106" s="264" t="str">
        <f t="shared" si="44"/>
        <v>Sector is blank</v>
      </c>
      <c r="BE106" s="269" t="str">
        <f>IF(ISBLANK(SectorField),"Sector is blank",IF(AM106="Row Not Used","",IF(OR(R106="No Controls",ISBLANK(R106)),"",INDEX(ControlsBPARefNoTable[Reference Number],MATCH(SectorField,ControlsBPARefNoTable[Sector],0)))))</f>
        <v>Sector is blank</v>
      </c>
      <c r="BF106" s="530" t="str">
        <f t="shared" si="45"/>
        <v/>
      </c>
      <c r="BG106" s="132" t="str">
        <f t="shared" si="46"/>
        <v/>
      </c>
      <c r="BH106" s="531" t="str">
        <f t="shared" si="47"/>
        <v/>
      </c>
      <c r="BI106" s="532"/>
      <c r="BJ106" s="538" t="str">
        <f t="shared" si="53"/>
        <v/>
      </c>
      <c r="BK106" s="539" t="str">
        <f t="shared" si="54"/>
        <v/>
      </c>
      <c r="BL106" s="547" t="str">
        <f t="shared" si="55"/>
        <v/>
      </c>
    </row>
    <row r="107" spans="1:64" x14ac:dyDescent="0.3">
      <c r="A107" s="133">
        <v>100</v>
      </c>
      <c r="B107" s="294"/>
      <c r="C107" s="313"/>
      <c r="D107" s="292"/>
      <c r="E107" s="284"/>
      <c r="F107" s="284"/>
      <c r="G107" s="295"/>
      <c r="H107" s="296"/>
      <c r="I107" s="297"/>
      <c r="J107" s="292"/>
      <c r="K107" s="284"/>
      <c r="L107" s="284"/>
      <c r="M107" s="295"/>
      <c r="N107" s="296"/>
      <c r="O107" s="296"/>
      <c r="P107" s="284"/>
      <c r="Q107" s="298"/>
      <c r="R107" s="292"/>
      <c r="S107" s="299"/>
      <c r="T107" s="300"/>
      <c r="U107" s="317" t="str">
        <f t="shared" si="29"/>
        <v/>
      </c>
      <c r="V107" s="301"/>
      <c r="W107" s="136" t="str">
        <f t="shared" si="30"/>
        <v/>
      </c>
      <c r="X107" s="588" t="str">
        <f t="shared" si="48"/>
        <v/>
      </c>
      <c r="Y107" s="580"/>
      <c r="Z107" s="251" t="str">
        <f t="shared" si="31"/>
        <v/>
      </c>
      <c r="AA107" s="138" t="str">
        <f t="shared" si="56"/>
        <v/>
      </c>
      <c r="AB107" s="243" t="str">
        <f t="shared" si="49"/>
        <v/>
      </c>
      <c r="AC107" s="141" t="str">
        <f t="shared" si="32"/>
        <v/>
      </c>
      <c r="AD107" s="138" t="str">
        <f t="shared" si="50"/>
        <v/>
      </c>
      <c r="AE107" s="243" t="str">
        <f t="shared" si="33"/>
        <v/>
      </c>
      <c r="AF107" s="342" t="str">
        <f>IF(AM107="Row Not Used","",INDEX(SpaceTable[Annual Hours],(MATCH(B107,SpaceTable[Space Name Concatenated Helper],0))))</f>
        <v/>
      </c>
      <c r="AG107" s="205" t="str">
        <f t="shared" si="34"/>
        <v/>
      </c>
      <c r="AH107" s="234" t="str">
        <f t="shared" si="35"/>
        <v/>
      </c>
      <c r="AI107" s="205" t="str">
        <f t="shared" si="36"/>
        <v/>
      </c>
      <c r="AJ107" s="234" t="str">
        <f t="shared" si="37"/>
        <v/>
      </c>
      <c r="AK107" s="144" t="str">
        <f>IF(AM107="Row Not Used","",INDEX(SpaceTable[Row],(MATCH(B107,SpaceTable[Space Name Concatenated Helper],0))))</f>
        <v/>
      </c>
      <c r="AL107" s="238" t="str">
        <f>IF(AM107="Row Not Used","",INDEX(SpaceTable[HVAC Factor],(MATCH(B107,SpaceTable[Space Name Concatenated Helper],0))))</f>
        <v/>
      </c>
      <c r="AM107" s="520" t="str">
        <f t="shared" si="38"/>
        <v>Row Not Used</v>
      </c>
      <c r="AN107" s="512" t="e" cm="1">
        <f t="array" ref="AN107">INDEX(BallastFactorTable[Ballast Factor],MATCH(1,(BallastFactorTable[Fixture Class]=D107)*(BallastFactorTable[Fixture Category]=E107)*(BallastFactorTable[Fixture Sub-category]=F107),0))</f>
        <v>#N/A</v>
      </c>
      <c r="AO107" s="143" t="str">
        <f t="shared" si="51"/>
        <v/>
      </c>
      <c r="AP107" s="501" t="e" cm="1">
        <f t="array" ref="AP107">INDEX(BallastFactorTable[Wattage Range Name],MATCH(1,(BallastFactorTable[Fixture Class]=D107)*(BallastFactorTable[Fixture Category]=E107)*(BallastFactorTable[Fixture Sub-category]=F107),0))</f>
        <v>#N/A</v>
      </c>
      <c r="AQ107" s="515" t="str">
        <f t="shared" ca="1" si="39"/>
        <v>Okay</v>
      </c>
      <c r="AR107" s="512">
        <f t="shared" si="40"/>
        <v>0</v>
      </c>
      <c r="AS107" s="511" t="str">
        <f>IF(OR(Measures!AM107="Row Not Used",Measures!C107="Controls Only",Measures!C107="Decommissioning"),"",_xlfn.CONCAT(P107," ",Q107))</f>
        <v/>
      </c>
      <c r="AT107" s="264" t="str">
        <f t="shared" si="41"/>
        <v>None</v>
      </c>
      <c r="AU107" s="229">
        <f>IF(OR(AM107="Row Not Used",AM107="Controls Only"),0,INDEX(IncentiveRateTable[Incentive Rate],MATCH(AT107,IncentiveRateTable[Incentive Name],0)))</f>
        <v>0</v>
      </c>
      <c r="AV107" s="133" t="str">
        <f>IF(OR(AM107="Row Not Used",AM107="Controls Only"),"None",INDEX(IncentiveRateTable[Incentive Unit],MATCH(AT107,IncentiveRateTable[Incentive Name],0)))</f>
        <v>None</v>
      </c>
      <c r="AW107" s="578">
        <f t="shared" si="52"/>
        <v>0</v>
      </c>
      <c r="AX107" s="264" t="str">
        <f t="shared" si="42"/>
        <v>None</v>
      </c>
      <c r="AY107" s="229">
        <f>IF(OR(AM107="Row Not Used",AM107="Fixtures Only",AM107="Decommissioning"),0,INDEX(IncentiveRateTable[Incentive Rate],MATCH(AX107,IncentiveRateTable[Incentive Name],0)))</f>
        <v>0</v>
      </c>
      <c r="AZ107" s="133" t="str">
        <f>IF(OR(AM107="Row Not Used",AM107="Fixtures Only",AM107="Decommissioning"),"None",INDEX(IncentiveRateTable[Incentive Unit],MATCH(AX107,IncentiveRateTable[Incentive Name],0)))</f>
        <v>None</v>
      </c>
      <c r="BA107" s="465">
        <f t="shared" si="43"/>
        <v>0</v>
      </c>
      <c r="BB107" s="264" t="e" cm="1">
        <f t="array" ref="BB107">INDEX(BallastFactorTable[Commercial BPA Reference Number],MATCH(1,(BallastFactorTable[Fixture Class]=J107)*(BallastFactorTable[Fixture Category]=K107)*(BallastFactorTable[Fixture Sub-category]=L107),0))</f>
        <v>#N/A</v>
      </c>
      <c r="BC107" s="133" t="e" cm="1">
        <f t="array" ref="BC107">INDEX(BallastFactorTable[Industrial BPA Reference Number],MATCH(1,(BallastFactorTable[Fixture Class]=J107)*(BallastFactorTable[Fixture Category]=K107)*(BallastFactorTable[Fixture Sub-category]=L107),0))</f>
        <v>#N/A</v>
      </c>
      <c r="BD107" s="264" t="str">
        <f t="shared" si="44"/>
        <v>Sector is blank</v>
      </c>
      <c r="BE107" s="269" t="str">
        <f>IF(ISBLANK(SectorField),"Sector is blank",IF(AM107="Row Not Used","",IF(OR(R107="No Controls",ISBLANK(R107)),"",INDEX(ControlsBPARefNoTable[Reference Number],MATCH(SectorField,ControlsBPARefNoTable[Sector],0)))))</f>
        <v>Sector is blank</v>
      </c>
      <c r="BF107" s="530" t="str">
        <f t="shared" si="45"/>
        <v/>
      </c>
      <c r="BG107" s="132" t="str">
        <f t="shared" si="46"/>
        <v/>
      </c>
      <c r="BH107" s="531" t="str">
        <f t="shared" si="47"/>
        <v/>
      </c>
      <c r="BI107" s="532"/>
      <c r="BJ107" s="538" t="str">
        <f t="shared" si="53"/>
        <v/>
      </c>
      <c r="BK107" s="539" t="str">
        <f t="shared" si="54"/>
        <v/>
      </c>
      <c r="BL107" s="547" t="str">
        <f t="shared" si="55"/>
        <v/>
      </c>
    </row>
    <row r="108" spans="1:64" x14ac:dyDescent="0.3">
      <c r="A108" s="133">
        <v>101</v>
      </c>
      <c r="B108" s="294"/>
      <c r="C108" s="313"/>
      <c r="D108" s="292"/>
      <c r="E108" s="284"/>
      <c r="F108" s="284"/>
      <c r="G108" s="295"/>
      <c r="H108" s="296"/>
      <c r="I108" s="297"/>
      <c r="J108" s="292"/>
      <c r="K108" s="284"/>
      <c r="L108" s="284"/>
      <c r="M108" s="295"/>
      <c r="N108" s="296"/>
      <c r="O108" s="296"/>
      <c r="P108" s="284"/>
      <c r="Q108" s="298"/>
      <c r="R108" s="292"/>
      <c r="S108" s="299"/>
      <c r="T108" s="300"/>
      <c r="U108" s="317" t="str">
        <f t="shared" si="29"/>
        <v/>
      </c>
      <c r="V108" s="301"/>
      <c r="W108" s="137" t="str">
        <f t="shared" si="30"/>
        <v/>
      </c>
      <c r="X108" s="589" t="str">
        <f t="shared" si="48"/>
        <v/>
      </c>
      <c r="Y108" s="581"/>
      <c r="Z108" s="251" t="str">
        <f t="shared" si="31"/>
        <v/>
      </c>
      <c r="AA108" s="138" t="str">
        <f t="shared" si="56"/>
        <v/>
      </c>
      <c r="AB108" s="243" t="str">
        <f t="shared" si="49"/>
        <v/>
      </c>
      <c r="AC108" s="141" t="str">
        <f t="shared" si="32"/>
        <v/>
      </c>
      <c r="AD108" s="138" t="str">
        <f t="shared" si="50"/>
        <v/>
      </c>
      <c r="AE108" s="243" t="str">
        <f t="shared" si="33"/>
        <v/>
      </c>
      <c r="AF108" s="342" t="str">
        <f>IF(AM108="Row Not Used","",INDEX(SpaceTable[Annual Hours],(MATCH(B108,SpaceTable[Space Name Concatenated Helper],0))))</f>
        <v/>
      </c>
      <c r="AG108" s="205" t="str">
        <f t="shared" si="34"/>
        <v/>
      </c>
      <c r="AH108" s="234" t="str">
        <f t="shared" si="35"/>
        <v/>
      </c>
      <c r="AI108" s="205" t="str">
        <f t="shared" si="36"/>
        <v/>
      </c>
      <c r="AJ108" s="234" t="str">
        <f t="shared" si="37"/>
        <v/>
      </c>
      <c r="AK108" s="144" t="str">
        <f>IF(AM108="Row Not Used","",INDEX(SpaceTable[Row],(MATCH(B108,SpaceTable[Space Name Concatenated Helper],0))))</f>
        <v/>
      </c>
      <c r="AL108" s="238" t="str">
        <f>IF(AM108="Row Not Used","",INDEX(SpaceTable[HVAC Factor],(MATCH(B108,SpaceTable[Space Name Concatenated Helper],0))))</f>
        <v/>
      </c>
      <c r="AM108" s="520" t="str">
        <f t="shared" si="38"/>
        <v>Row Not Used</v>
      </c>
      <c r="AN108" s="512" t="e" cm="1">
        <f t="array" ref="AN108">INDEX(BallastFactorTable[Ballast Factor],MATCH(1,(BallastFactorTable[Fixture Class]=D108)*(BallastFactorTable[Fixture Category]=E108)*(BallastFactorTable[Fixture Sub-category]=F108),0))</f>
        <v>#N/A</v>
      </c>
      <c r="AO108" s="143" t="str">
        <f t="shared" si="51"/>
        <v/>
      </c>
      <c r="AP108" s="501" t="e" cm="1">
        <f t="array" ref="AP108">INDEX(BallastFactorTable[Wattage Range Name],MATCH(1,(BallastFactorTable[Fixture Class]=D108)*(BallastFactorTable[Fixture Category]=E108)*(BallastFactorTable[Fixture Sub-category]=F108),0))</f>
        <v>#N/A</v>
      </c>
      <c r="AQ108" s="515" t="str">
        <f t="shared" ca="1" si="39"/>
        <v>Okay</v>
      </c>
      <c r="AR108" s="512">
        <f t="shared" si="40"/>
        <v>0</v>
      </c>
      <c r="AS108" s="511" t="str">
        <f>IF(OR(Measures!AM108="Row Not Used",Measures!C108="Controls Only",Measures!C108="Decommissioning"),"",_xlfn.CONCAT(P108," ",Q108))</f>
        <v/>
      </c>
      <c r="AT108" s="264" t="str">
        <f t="shared" si="41"/>
        <v>None</v>
      </c>
      <c r="AU108" s="229">
        <f>IF(OR(AM108="Row Not Used",AM108="Controls Only"),0,INDEX(IncentiveRateTable[Incentive Rate],MATCH(AT108,IncentiveRateTable[Incentive Name],0)))</f>
        <v>0</v>
      </c>
      <c r="AV108" s="133" t="str">
        <f>IF(OR(AM108="Row Not Used",AM108="Controls Only"),"None",INDEX(IncentiveRateTable[Incentive Unit],MATCH(AT108,IncentiveRateTable[Incentive Name],0)))</f>
        <v>None</v>
      </c>
      <c r="AW108" s="578">
        <f t="shared" si="52"/>
        <v>0</v>
      </c>
      <c r="AX108" s="264" t="str">
        <f t="shared" si="42"/>
        <v>None</v>
      </c>
      <c r="AY108" s="229">
        <f>IF(OR(AM108="Row Not Used",AM108="Fixtures Only",AM108="Decommissioning"),0,INDEX(IncentiveRateTable[Incentive Rate],MATCH(AX108,IncentiveRateTable[Incentive Name],0)))</f>
        <v>0</v>
      </c>
      <c r="AZ108" s="133" t="str">
        <f>IF(OR(AM108="Row Not Used",AM108="Fixtures Only",AM108="Decommissioning"),"None",INDEX(IncentiveRateTable[Incentive Unit],MATCH(AX108,IncentiveRateTable[Incentive Name],0)))</f>
        <v>None</v>
      </c>
      <c r="BA108" s="465">
        <f t="shared" si="43"/>
        <v>0</v>
      </c>
      <c r="BB108" s="264" t="e" cm="1">
        <f t="array" ref="BB108">INDEX(BallastFactorTable[Commercial BPA Reference Number],MATCH(1,(BallastFactorTable[Fixture Class]=J108)*(BallastFactorTable[Fixture Category]=K108)*(BallastFactorTable[Fixture Sub-category]=L108),0))</f>
        <v>#N/A</v>
      </c>
      <c r="BC108" s="133" t="e" cm="1">
        <f t="array" ref="BC108">INDEX(BallastFactorTable[Industrial BPA Reference Number],MATCH(1,(BallastFactorTable[Fixture Class]=J108)*(BallastFactorTable[Fixture Category]=K108)*(BallastFactorTable[Fixture Sub-category]=L108),0))</f>
        <v>#N/A</v>
      </c>
      <c r="BD108" s="264" t="str">
        <f t="shared" si="44"/>
        <v>Sector is blank</v>
      </c>
      <c r="BE108" s="269" t="str">
        <f>IF(ISBLANK(SectorField),"Sector is blank",IF(AM108="Row Not Used","",IF(OR(R108="No Controls",ISBLANK(R108)),"",INDEX(ControlsBPARefNoTable[Reference Number],MATCH(SectorField,ControlsBPARefNoTable[Sector],0)))))</f>
        <v>Sector is blank</v>
      </c>
      <c r="BF108" s="530" t="str">
        <f t="shared" si="45"/>
        <v/>
      </c>
      <c r="BG108" s="132" t="str">
        <f t="shared" si="46"/>
        <v/>
      </c>
      <c r="BH108" s="531" t="str">
        <f t="shared" si="47"/>
        <v/>
      </c>
      <c r="BI108" s="532"/>
      <c r="BJ108" s="538" t="str">
        <f t="shared" si="53"/>
        <v/>
      </c>
      <c r="BK108" s="539" t="str">
        <f t="shared" si="54"/>
        <v/>
      </c>
      <c r="BL108" s="547" t="str">
        <f t="shared" si="55"/>
        <v/>
      </c>
    </row>
    <row r="109" spans="1:64" x14ac:dyDescent="0.3">
      <c r="A109" s="133">
        <v>102</v>
      </c>
      <c r="B109" s="294"/>
      <c r="C109" s="313"/>
      <c r="D109" s="292"/>
      <c r="E109" s="284"/>
      <c r="F109" s="284"/>
      <c r="G109" s="295"/>
      <c r="H109" s="296"/>
      <c r="I109" s="297"/>
      <c r="J109" s="292"/>
      <c r="K109" s="284"/>
      <c r="L109" s="284"/>
      <c r="M109" s="295"/>
      <c r="N109" s="296"/>
      <c r="O109" s="296"/>
      <c r="P109" s="284"/>
      <c r="Q109" s="298"/>
      <c r="R109" s="292"/>
      <c r="S109" s="299"/>
      <c r="T109" s="300"/>
      <c r="U109" s="317" t="str">
        <f t="shared" si="29"/>
        <v/>
      </c>
      <c r="V109" s="301"/>
      <c r="W109" s="136" t="str">
        <f t="shared" si="30"/>
        <v/>
      </c>
      <c r="X109" s="588" t="str">
        <f t="shared" si="48"/>
        <v/>
      </c>
      <c r="Y109" s="580"/>
      <c r="Z109" s="251" t="str">
        <f t="shared" si="31"/>
        <v/>
      </c>
      <c r="AA109" s="138" t="str">
        <f t="shared" si="56"/>
        <v/>
      </c>
      <c r="AB109" s="243" t="str">
        <f t="shared" si="49"/>
        <v/>
      </c>
      <c r="AC109" s="141" t="str">
        <f t="shared" si="32"/>
        <v/>
      </c>
      <c r="AD109" s="138" t="str">
        <f t="shared" si="50"/>
        <v/>
      </c>
      <c r="AE109" s="243" t="str">
        <f t="shared" si="33"/>
        <v/>
      </c>
      <c r="AF109" s="342" t="str">
        <f>IF(AM109="Row Not Used","",INDEX(SpaceTable[Annual Hours],(MATCH(B109,SpaceTable[Space Name Concatenated Helper],0))))</f>
        <v/>
      </c>
      <c r="AG109" s="205" t="str">
        <f t="shared" si="34"/>
        <v/>
      </c>
      <c r="AH109" s="234" t="str">
        <f t="shared" si="35"/>
        <v/>
      </c>
      <c r="AI109" s="205" t="str">
        <f t="shared" si="36"/>
        <v/>
      </c>
      <c r="AJ109" s="234" t="str">
        <f t="shared" si="37"/>
        <v/>
      </c>
      <c r="AK109" s="144" t="str">
        <f>IF(AM109="Row Not Used","",INDEX(SpaceTable[Row],(MATCH(B109,SpaceTable[Space Name Concatenated Helper],0))))</f>
        <v/>
      </c>
      <c r="AL109" s="238" t="str">
        <f>IF(AM109="Row Not Used","",INDEX(SpaceTable[HVAC Factor],(MATCH(B109,SpaceTable[Space Name Concatenated Helper],0))))</f>
        <v/>
      </c>
      <c r="AM109" s="520" t="str">
        <f t="shared" si="38"/>
        <v>Row Not Used</v>
      </c>
      <c r="AN109" s="512" t="e" cm="1">
        <f t="array" ref="AN109">INDEX(BallastFactorTable[Ballast Factor],MATCH(1,(BallastFactorTable[Fixture Class]=D109)*(BallastFactorTable[Fixture Category]=E109)*(BallastFactorTable[Fixture Sub-category]=F109),0))</f>
        <v>#N/A</v>
      </c>
      <c r="AO109" s="143" t="str">
        <f t="shared" si="51"/>
        <v/>
      </c>
      <c r="AP109" s="501" t="e" cm="1">
        <f t="array" ref="AP109">INDEX(BallastFactorTable[Wattage Range Name],MATCH(1,(BallastFactorTable[Fixture Class]=D109)*(BallastFactorTable[Fixture Category]=E109)*(BallastFactorTable[Fixture Sub-category]=F109),0))</f>
        <v>#N/A</v>
      </c>
      <c r="AQ109" s="515" t="str">
        <f t="shared" ca="1" si="39"/>
        <v>Okay</v>
      </c>
      <c r="AR109" s="512">
        <f t="shared" si="40"/>
        <v>0</v>
      </c>
      <c r="AS109" s="511" t="str">
        <f>IF(OR(Measures!AM109="Row Not Used",Measures!C109="Controls Only",Measures!C109="Decommissioning"),"",_xlfn.CONCAT(P109," ",Q109))</f>
        <v/>
      </c>
      <c r="AT109" s="264" t="str">
        <f t="shared" si="41"/>
        <v>None</v>
      </c>
      <c r="AU109" s="229">
        <f>IF(OR(AM109="Row Not Used",AM109="Controls Only"),0,INDEX(IncentiveRateTable[Incentive Rate],MATCH(AT109,IncentiveRateTable[Incentive Name],0)))</f>
        <v>0</v>
      </c>
      <c r="AV109" s="133" t="str">
        <f>IF(OR(AM109="Row Not Used",AM109="Controls Only"),"None",INDEX(IncentiveRateTable[Incentive Unit],MATCH(AT109,IncentiveRateTable[Incentive Name],0)))</f>
        <v>None</v>
      </c>
      <c r="AW109" s="578">
        <f t="shared" si="52"/>
        <v>0</v>
      </c>
      <c r="AX109" s="264" t="str">
        <f t="shared" si="42"/>
        <v>None</v>
      </c>
      <c r="AY109" s="229">
        <f>IF(OR(AM109="Row Not Used",AM109="Fixtures Only",AM109="Decommissioning"),0,INDEX(IncentiveRateTable[Incentive Rate],MATCH(AX109,IncentiveRateTable[Incentive Name],0)))</f>
        <v>0</v>
      </c>
      <c r="AZ109" s="133" t="str">
        <f>IF(OR(AM109="Row Not Used",AM109="Fixtures Only",AM109="Decommissioning"),"None",INDEX(IncentiveRateTable[Incentive Unit],MATCH(AX109,IncentiveRateTable[Incentive Name],0)))</f>
        <v>None</v>
      </c>
      <c r="BA109" s="465">
        <f t="shared" si="43"/>
        <v>0</v>
      </c>
      <c r="BB109" s="264" t="e" cm="1">
        <f t="array" ref="BB109">INDEX(BallastFactorTable[Commercial BPA Reference Number],MATCH(1,(BallastFactorTable[Fixture Class]=J109)*(BallastFactorTable[Fixture Category]=K109)*(BallastFactorTable[Fixture Sub-category]=L109),0))</f>
        <v>#N/A</v>
      </c>
      <c r="BC109" s="133" t="e" cm="1">
        <f t="array" ref="BC109">INDEX(BallastFactorTable[Industrial BPA Reference Number],MATCH(1,(BallastFactorTable[Fixture Class]=J109)*(BallastFactorTable[Fixture Category]=K109)*(BallastFactorTable[Fixture Sub-category]=L109),0))</f>
        <v>#N/A</v>
      </c>
      <c r="BD109" s="264" t="str">
        <f t="shared" si="44"/>
        <v>Sector is blank</v>
      </c>
      <c r="BE109" s="269" t="str">
        <f>IF(ISBLANK(SectorField),"Sector is blank",IF(AM109="Row Not Used","",IF(OR(R109="No Controls",ISBLANK(R109)),"",INDEX(ControlsBPARefNoTable[Reference Number],MATCH(SectorField,ControlsBPARefNoTable[Sector],0)))))</f>
        <v>Sector is blank</v>
      </c>
      <c r="BF109" s="530" t="str">
        <f t="shared" si="45"/>
        <v/>
      </c>
      <c r="BG109" s="132" t="str">
        <f t="shared" si="46"/>
        <v/>
      </c>
      <c r="BH109" s="531" t="str">
        <f t="shared" si="47"/>
        <v/>
      </c>
      <c r="BI109" s="532"/>
      <c r="BJ109" s="538" t="str">
        <f t="shared" si="53"/>
        <v/>
      </c>
      <c r="BK109" s="539" t="str">
        <f t="shared" si="54"/>
        <v/>
      </c>
      <c r="BL109" s="547" t="str">
        <f t="shared" si="55"/>
        <v/>
      </c>
    </row>
    <row r="110" spans="1:64" x14ac:dyDescent="0.3">
      <c r="A110" s="133">
        <v>103</v>
      </c>
      <c r="B110" s="294"/>
      <c r="C110" s="313"/>
      <c r="D110" s="292"/>
      <c r="E110" s="284"/>
      <c r="F110" s="284"/>
      <c r="G110" s="295"/>
      <c r="H110" s="296"/>
      <c r="I110" s="297"/>
      <c r="J110" s="292"/>
      <c r="K110" s="284"/>
      <c r="L110" s="284"/>
      <c r="M110" s="295"/>
      <c r="N110" s="296"/>
      <c r="O110" s="296"/>
      <c r="P110" s="284"/>
      <c r="Q110" s="298"/>
      <c r="R110" s="292"/>
      <c r="S110" s="299"/>
      <c r="T110" s="300"/>
      <c r="U110" s="317" t="str">
        <f t="shared" si="29"/>
        <v/>
      </c>
      <c r="V110" s="301"/>
      <c r="W110" s="137" t="str">
        <f t="shared" si="30"/>
        <v/>
      </c>
      <c r="X110" s="589" t="str">
        <f t="shared" si="48"/>
        <v/>
      </c>
      <c r="Y110" s="581"/>
      <c r="Z110" s="251" t="str">
        <f t="shared" si="31"/>
        <v/>
      </c>
      <c r="AA110" s="138" t="str">
        <f t="shared" si="56"/>
        <v/>
      </c>
      <c r="AB110" s="243" t="str">
        <f t="shared" si="49"/>
        <v/>
      </c>
      <c r="AC110" s="141" t="str">
        <f t="shared" si="32"/>
        <v/>
      </c>
      <c r="AD110" s="138" t="str">
        <f t="shared" si="50"/>
        <v/>
      </c>
      <c r="AE110" s="243" t="str">
        <f t="shared" si="33"/>
        <v/>
      </c>
      <c r="AF110" s="342" t="str">
        <f>IF(AM110="Row Not Used","",INDEX(SpaceTable[Annual Hours],(MATCH(B110,SpaceTable[Space Name Concatenated Helper],0))))</f>
        <v/>
      </c>
      <c r="AG110" s="205" t="str">
        <f t="shared" si="34"/>
        <v/>
      </c>
      <c r="AH110" s="234" t="str">
        <f t="shared" si="35"/>
        <v/>
      </c>
      <c r="AI110" s="205" t="str">
        <f t="shared" si="36"/>
        <v/>
      </c>
      <c r="AJ110" s="234" t="str">
        <f t="shared" si="37"/>
        <v/>
      </c>
      <c r="AK110" s="144" t="str">
        <f>IF(AM110="Row Not Used","",INDEX(SpaceTable[Row],(MATCH(B110,SpaceTable[Space Name Concatenated Helper],0))))</f>
        <v/>
      </c>
      <c r="AL110" s="238" t="str">
        <f>IF(AM110="Row Not Used","",INDEX(SpaceTable[HVAC Factor],(MATCH(B110,SpaceTable[Space Name Concatenated Helper],0))))</f>
        <v/>
      </c>
      <c r="AM110" s="520" t="str">
        <f t="shared" si="38"/>
        <v>Row Not Used</v>
      </c>
      <c r="AN110" s="512" t="e" cm="1">
        <f t="array" ref="AN110">INDEX(BallastFactorTable[Ballast Factor],MATCH(1,(BallastFactorTable[Fixture Class]=D110)*(BallastFactorTable[Fixture Category]=E110)*(BallastFactorTable[Fixture Sub-category]=F110),0))</f>
        <v>#N/A</v>
      </c>
      <c r="AO110" s="143" t="str">
        <f t="shared" si="51"/>
        <v/>
      </c>
      <c r="AP110" s="501" t="e" cm="1">
        <f t="array" ref="AP110">INDEX(BallastFactorTable[Wattage Range Name],MATCH(1,(BallastFactorTable[Fixture Class]=D110)*(BallastFactorTable[Fixture Category]=E110)*(BallastFactorTable[Fixture Sub-category]=F110),0))</f>
        <v>#N/A</v>
      </c>
      <c r="AQ110" s="515" t="str">
        <f t="shared" ca="1" si="39"/>
        <v>Okay</v>
      </c>
      <c r="AR110" s="512">
        <f t="shared" si="40"/>
        <v>0</v>
      </c>
      <c r="AS110" s="511" t="str">
        <f>IF(OR(Measures!AM110="Row Not Used",Measures!C110="Controls Only",Measures!C110="Decommissioning"),"",_xlfn.CONCAT(P110," ",Q110))</f>
        <v/>
      </c>
      <c r="AT110" s="264" t="str">
        <f t="shared" si="41"/>
        <v>None</v>
      </c>
      <c r="AU110" s="229">
        <f>IF(OR(AM110="Row Not Used",AM110="Controls Only"),0,INDEX(IncentiveRateTable[Incentive Rate],MATCH(AT110,IncentiveRateTable[Incentive Name],0)))</f>
        <v>0</v>
      </c>
      <c r="AV110" s="133" t="str">
        <f>IF(OR(AM110="Row Not Used",AM110="Controls Only"),"None",INDEX(IncentiveRateTable[Incentive Unit],MATCH(AT110,IncentiveRateTable[Incentive Name],0)))</f>
        <v>None</v>
      </c>
      <c r="AW110" s="578">
        <f t="shared" si="52"/>
        <v>0</v>
      </c>
      <c r="AX110" s="264" t="str">
        <f t="shared" si="42"/>
        <v>None</v>
      </c>
      <c r="AY110" s="229">
        <f>IF(OR(AM110="Row Not Used",AM110="Fixtures Only",AM110="Decommissioning"),0,INDEX(IncentiveRateTable[Incentive Rate],MATCH(AX110,IncentiveRateTable[Incentive Name],0)))</f>
        <v>0</v>
      </c>
      <c r="AZ110" s="133" t="str">
        <f>IF(OR(AM110="Row Not Used",AM110="Fixtures Only",AM110="Decommissioning"),"None",INDEX(IncentiveRateTable[Incentive Unit],MATCH(AX110,IncentiveRateTable[Incentive Name],0)))</f>
        <v>None</v>
      </c>
      <c r="BA110" s="465">
        <f t="shared" si="43"/>
        <v>0</v>
      </c>
      <c r="BB110" s="264" t="e" cm="1">
        <f t="array" ref="BB110">INDEX(BallastFactorTable[Commercial BPA Reference Number],MATCH(1,(BallastFactorTable[Fixture Class]=J110)*(BallastFactorTable[Fixture Category]=K110)*(BallastFactorTable[Fixture Sub-category]=L110),0))</f>
        <v>#N/A</v>
      </c>
      <c r="BC110" s="133" t="e" cm="1">
        <f t="array" ref="BC110">INDEX(BallastFactorTable[Industrial BPA Reference Number],MATCH(1,(BallastFactorTable[Fixture Class]=J110)*(BallastFactorTable[Fixture Category]=K110)*(BallastFactorTable[Fixture Sub-category]=L110),0))</f>
        <v>#N/A</v>
      </c>
      <c r="BD110" s="264" t="str">
        <f t="shared" si="44"/>
        <v>Sector is blank</v>
      </c>
      <c r="BE110" s="269" t="str">
        <f>IF(ISBLANK(SectorField),"Sector is blank",IF(AM110="Row Not Used","",IF(OR(R110="No Controls",ISBLANK(R110)),"",INDEX(ControlsBPARefNoTable[Reference Number],MATCH(SectorField,ControlsBPARefNoTable[Sector],0)))))</f>
        <v>Sector is blank</v>
      </c>
      <c r="BF110" s="530" t="str">
        <f t="shared" si="45"/>
        <v/>
      </c>
      <c r="BG110" s="132" t="str">
        <f t="shared" si="46"/>
        <v/>
      </c>
      <c r="BH110" s="531" t="str">
        <f t="shared" si="47"/>
        <v/>
      </c>
      <c r="BI110" s="532"/>
      <c r="BJ110" s="538" t="str">
        <f t="shared" si="53"/>
        <v/>
      </c>
      <c r="BK110" s="539" t="str">
        <f t="shared" si="54"/>
        <v/>
      </c>
      <c r="BL110" s="547" t="str">
        <f t="shared" si="55"/>
        <v/>
      </c>
    </row>
    <row r="111" spans="1:64" x14ac:dyDescent="0.3">
      <c r="A111" s="133">
        <v>104</v>
      </c>
      <c r="B111" s="294"/>
      <c r="C111" s="313"/>
      <c r="D111" s="292"/>
      <c r="E111" s="284"/>
      <c r="F111" s="284"/>
      <c r="G111" s="295"/>
      <c r="H111" s="296"/>
      <c r="I111" s="297"/>
      <c r="J111" s="292"/>
      <c r="K111" s="284"/>
      <c r="L111" s="284"/>
      <c r="M111" s="295"/>
      <c r="N111" s="296"/>
      <c r="O111" s="296"/>
      <c r="P111" s="284"/>
      <c r="Q111" s="298"/>
      <c r="R111" s="292"/>
      <c r="S111" s="299"/>
      <c r="T111" s="300"/>
      <c r="U111" s="317" t="str">
        <f t="shared" si="29"/>
        <v/>
      </c>
      <c r="V111" s="301"/>
      <c r="W111" s="136" t="str">
        <f t="shared" si="30"/>
        <v/>
      </c>
      <c r="X111" s="588" t="str">
        <f t="shared" si="48"/>
        <v/>
      </c>
      <c r="Y111" s="580"/>
      <c r="Z111" s="251" t="str">
        <f t="shared" si="31"/>
        <v/>
      </c>
      <c r="AA111" s="138" t="str">
        <f t="shared" si="56"/>
        <v/>
      </c>
      <c r="AB111" s="243" t="str">
        <f t="shared" si="49"/>
        <v/>
      </c>
      <c r="AC111" s="141" t="str">
        <f t="shared" si="32"/>
        <v/>
      </c>
      <c r="AD111" s="138" t="str">
        <f t="shared" si="50"/>
        <v/>
      </c>
      <c r="AE111" s="243" t="str">
        <f t="shared" si="33"/>
        <v/>
      </c>
      <c r="AF111" s="342" t="str">
        <f>IF(AM111="Row Not Used","",INDEX(SpaceTable[Annual Hours],(MATCH(B111,SpaceTable[Space Name Concatenated Helper],0))))</f>
        <v/>
      </c>
      <c r="AG111" s="205" t="str">
        <f t="shared" si="34"/>
        <v/>
      </c>
      <c r="AH111" s="234" t="str">
        <f t="shared" si="35"/>
        <v/>
      </c>
      <c r="AI111" s="205" t="str">
        <f t="shared" si="36"/>
        <v/>
      </c>
      <c r="AJ111" s="234" t="str">
        <f t="shared" si="37"/>
        <v/>
      </c>
      <c r="AK111" s="144" t="str">
        <f>IF(AM111="Row Not Used","",INDEX(SpaceTable[Row],(MATCH(B111,SpaceTable[Space Name Concatenated Helper],0))))</f>
        <v/>
      </c>
      <c r="AL111" s="238" t="str">
        <f>IF(AM111="Row Not Used","",INDEX(SpaceTable[HVAC Factor],(MATCH(B111,SpaceTable[Space Name Concatenated Helper],0))))</f>
        <v/>
      </c>
      <c r="AM111" s="520" t="str">
        <f t="shared" si="38"/>
        <v>Row Not Used</v>
      </c>
      <c r="AN111" s="512" t="e" cm="1">
        <f t="array" ref="AN111">INDEX(BallastFactorTable[Ballast Factor],MATCH(1,(BallastFactorTable[Fixture Class]=D111)*(BallastFactorTable[Fixture Category]=E111)*(BallastFactorTable[Fixture Sub-category]=F111),0))</f>
        <v>#N/A</v>
      </c>
      <c r="AO111" s="143" t="str">
        <f t="shared" si="51"/>
        <v/>
      </c>
      <c r="AP111" s="501" t="e" cm="1">
        <f t="array" ref="AP111">INDEX(BallastFactorTable[Wattage Range Name],MATCH(1,(BallastFactorTable[Fixture Class]=D111)*(BallastFactorTable[Fixture Category]=E111)*(BallastFactorTable[Fixture Sub-category]=F111),0))</f>
        <v>#N/A</v>
      </c>
      <c r="AQ111" s="515" t="str">
        <f t="shared" ca="1" si="39"/>
        <v>Okay</v>
      </c>
      <c r="AR111" s="512">
        <f t="shared" si="40"/>
        <v>0</v>
      </c>
      <c r="AS111" s="511" t="str">
        <f>IF(OR(Measures!AM111="Row Not Used",Measures!C111="Controls Only",Measures!C111="Decommissioning"),"",_xlfn.CONCAT(P111," ",Q111))</f>
        <v/>
      </c>
      <c r="AT111" s="264" t="str">
        <f t="shared" si="41"/>
        <v>None</v>
      </c>
      <c r="AU111" s="229">
        <f>IF(OR(AM111="Row Not Used",AM111="Controls Only"),0,INDEX(IncentiveRateTable[Incentive Rate],MATCH(AT111,IncentiveRateTable[Incentive Name],0)))</f>
        <v>0</v>
      </c>
      <c r="AV111" s="133" t="str">
        <f>IF(OR(AM111="Row Not Used",AM111="Controls Only"),"None",INDEX(IncentiveRateTable[Incentive Unit],MATCH(AT111,IncentiveRateTable[Incentive Name],0)))</f>
        <v>None</v>
      </c>
      <c r="AW111" s="578">
        <f t="shared" si="52"/>
        <v>0</v>
      </c>
      <c r="AX111" s="264" t="str">
        <f t="shared" si="42"/>
        <v>None</v>
      </c>
      <c r="AY111" s="229">
        <f>IF(OR(AM111="Row Not Used",AM111="Fixtures Only",AM111="Decommissioning"),0,INDEX(IncentiveRateTable[Incentive Rate],MATCH(AX111,IncentiveRateTable[Incentive Name],0)))</f>
        <v>0</v>
      </c>
      <c r="AZ111" s="133" t="str">
        <f>IF(OR(AM111="Row Not Used",AM111="Fixtures Only",AM111="Decommissioning"),"None",INDEX(IncentiveRateTable[Incentive Unit],MATCH(AX111,IncentiveRateTable[Incentive Name],0)))</f>
        <v>None</v>
      </c>
      <c r="BA111" s="465">
        <f t="shared" si="43"/>
        <v>0</v>
      </c>
      <c r="BB111" s="264" t="e" cm="1">
        <f t="array" ref="BB111">INDEX(BallastFactorTable[Commercial BPA Reference Number],MATCH(1,(BallastFactorTable[Fixture Class]=J111)*(BallastFactorTable[Fixture Category]=K111)*(BallastFactorTable[Fixture Sub-category]=L111),0))</f>
        <v>#N/A</v>
      </c>
      <c r="BC111" s="133" t="e" cm="1">
        <f t="array" ref="BC111">INDEX(BallastFactorTable[Industrial BPA Reference Number],MATCH(1,(BallastFactorTable[Fixture Class]=J111)*(BallastFactorTable[Fixture Category]=K111)*(BallastFactorTable[Fixture Sub-category]=L111),0))</f>
        <v>#N/A</v>
      </c>
      <c r="BD111" s="264" t="str">
        <f t="shared" si="44"/>
        <v>Sector is blank</v>
      </c>
      <c r="BE111" s="269" t="str">
        <f>IF(ISBLANK(SectorField),"Sector is blank",IF(AM111="Row Not Used","",IF(OR(R111="No Controls",ISBLANK(R111)),"",INDEX(ControlsBPARefNoTable[Reference Number],MATCH(SectorField,ControlsBPARefNoTable[Sector],0)))))</f>
        <v>Sector is blank</v>
      </c>
      <c r="BF111" s="530" t="str">
        <f t="shared" si="45"/>
        <v/>
      </c>
      <c r="BG111" s="132" t="str">
        <f t="shared" si="46"/>
        <v/>
      </c>
      <c r="BH111" s="531" t="str">
        <f t="shared" si="47"/>
        <v/>
      </c>
      <c r="BI111" s="532"/>
      <c r="BJ111" s="538" t="str">
        <f t="shared" si="53"/>
        <v/>
      </c>
      <c r="BK111" s="539" t="str">
        <f t="shared" si="54"/>
        <v/>
      </c>
      <c r="BL111" s="547" t="str">
        <f t="shared" si="55"/>
        <v/>
      </c>
    </row>
    <row r="112" spans="1:64" x14ac:dyDescent="0.3">
      <c r="A112" s="133">
        <v>105</v>
      </c>
      <c r="B112" s="294"/>
      <c r="C112" s="313"/>
      <c r="D112" s="292"/>
      <c r="E112" s="284"/>
      <c r="F112" s="284"/>
      <c r="G112" s="295"/>
      <c r="H112" s="296"/>
      <c r="I112" s="297"/>
      <c r="J112" s="292"/>
      <c r="K112" s="284"/>
      <c r="L112" s="284"/>
      <c r="M112" s="295"/>
      <c r="N112" s="296"/>
      <c r="O112" s="296"/>
      <c r="P112" s="284"/>
      <c r="Q112" s="298"/>
      <c r="R112" s="292"/>
      <c r="S112" s="299"/>
      <c r="T112" s="300"/>
      <c r="U112" s="317" t="str">
        <f t="shared" si="29"/>
        <v/>
      </c>
      <c r="V112" s="301"/>
      <c r="W112" s="137" t="str">
        <f t="shared" si="30"/>
        <v/>
      </c>
      <c r="X112" s="589" t="str">
        <f t="shared" si="48"/>
        <v/>
      </c>
      <c r="Y112" s="581"/>
      <c r="Z112" s="251" t="str">
        <f t="shared" si="31"/>
        <v/>
      </c>
      <c r="AA112" s="138" t="str">
        <f t="shared" si="56"/>
        <v/>
      </c>
      <c r="AB112" s="243" t="str">
        <f t="shared" si="49"/>
        <v/>
      </c>
      <c r="AC112" s="141" t="str">
        <f t="shared" si="32"/>
        <v/>
      </c>
      <c r="AD112" s="138" t="str">
        <f t="shared" si="50"/>
        <v/>
      </c>
      <c r="AE112" s="243" t="str">
        <f t="shared" si="33"/>
        <v/>
      </c>
      <c r="AF112" s="342" t="str">
        <f>IF(AM112="Row Not Used","",INDEX(SpaceTable[Annual Hours],(MATCH(B112,SpaceTable[Space Name Concatenated Helper],0))))</f>
        <v/>
      </c>
      <c r="AG112" s="205" t="str">
        <f t="shared" si="34"/>
        <v/>
      </c>
      <c r="AH112" s="234" t="str">
        <f t="shared" si="35"/>
        <v/>
      </c>
      <c r="AI112" s="205" t="str">
        <f t="shared" si="36"/>
        <v/>
      </c>
      <c r="AJ112" s="234" t="str">
        <f t="shared" si="37"/>
        <v/>
      </c>
      <c r="AK112" s="144" t="str">
        <f>IF(AM112="Row Not Used","",INDEX(SpaceTable[Row],(MATCH(B112,SpaceTable[Space Name Concatenated Helper],0))))</f>
        <v/>
      </c>
      <c r="AL112" s="238" t="str">
        <f>IF(AM112="Row Not Used","",INDEX(SpaceTable[HVAC Factor],(MATCH(B112,SpaceTable[Space Name Concatenated Helper],0))))</f>
        <v/>
      </c>
      <c r="AM112" s="520" t="str">
        <f t="shared" si="38"/>
        <v>Row Not Used</v>
      </c>
      <c r="AN112" s="512" t="e" cm="1">
        <f t="array" ref="AN112">INDEX(BallastFactorTable[Ballast Factor],MATCH(1,(BallastFactorTable[Fixture Class]=D112)*(BallastFactorTable[Fixture Category]=E112)*(BallastFactorTable[Fixture Sub-category]=F112),0))</f>
        <v>#N/A</v>
      </c>
      <c r="AO112" s="143" t="str">
        <f t="shared" si="51"/>
        <v/>
      </c>
      <c r="AP112" s="501" t="e" cm="1">
        <f t="array" ref="AP112">INDEX(BallastFactorTable[Wattage Range Name],MATCH(1,(BallastFactorTable[Fixture Class]=D112)*(BallastFactorTable[Fixture Category]=E112)*(BallastFactorTable[Fixture Sub-category]=F112),0))</f>
        <v>#N/A</v>
      </c>
      <c r="AQ112" s="515" t="str">
        <f t="shared" ca="1" si="39"/>
        <v>Okay</v>
      </c>
      <c r="AR112" s="512">
        <f t="shared" si="40"/>
        <v>0</v>
      </c>
      <c r="AS112" s="511" t="str">
        <f>IF(OR(Measures!AM112="Row Not Used",Measures!C112="Controls Only",Measures!C112="Decommissioning"),"",_xlfn.CONCAT(P112," ",Q112))</f>
        <v/>
      </c>
      <c r="AT112" s="264" t="str">
        <f t="shared" si="41"/>
        <v>None</v>
      </c>
      <c r="AU112" s="229">
        <f>IF(OR(AM112="Row Not Used",AM112="Controls Only"),0,INDEX(IncentiveRateTable[Incentive Rate],MATCH(AT112,IncentiveRateTable[Incentive Name],0)))</f>
        <v>0</v>
      </c>
      <c r="AV112" s="133" t="str">
        <f>IF(OR(AM112="Row Not Used",AM112="Controls Only"),"None",INDEX(IncentiveRateTable[Incentive Unit],MATCH(AT112,IncentiveRateTable[Incentive Name],0)))</f>
        <v>None</v>
      </c>
      <c r="AW112" s="578">
        <f t="shared" si="52"/>
        <v>0</v>
      </c>
      <c r="AX112" s="264" t="str">
        <f t="shared" si="42"/>
        <v>None</v>
      </c>
      <c r="AY112" s="229">
        <f>IF(OR(AM112="Row Not Used",AM112="Fixtures Only",AM112="Decommissioning"),0,INDEX(IncentiveRateTable[Incentive Rate],MATCH(AX112,IncentiveRateTable[Incentive Name],0)))</f>
        <v>0</v>
      </c>
      <c r="AZ112" s="133" t="str">
        <f>IF(OR(AM112="Row Not Used",AM112="Fixtures Only",AM112="Decommissioning"),"None",INDEX(IncentiveRateTable[Incentive Unit],MATCH(AX112,IncentiveRateTable[Incentive Name],0)))</f>
        <v>None</v>
      </c>
      <c r="BA112" s="465">
        <f t="shared" si="43"/>
        <v>0</v>
      </c>
      <c r="BB112" s="264" t="e" cm="1">
        <f t="array" ref="BB112">INDEX(BallastFactorTable[Commercial BPA Reference Number],MATCH(1,(BallastFactorTable[Fixture Class]=J112)*(BallastFactorTable[Fixture Category]=K112)*(BallastFactorTable[Fixture Sub-category]=L112),0))</f>
        <v>#N/A</v>
      </c>
      <c r="BC112" s="133" t="e" cm="1">
        <f t="array" ref="BC112">INDEX(BallastFactorTable[Industrial BPA Reference Number],MATCH(1,(BallastFactorTable[Fixture Class]=J112)*(BallastFactorTable[Fixture Category]=K112)*(BallastFactorTable[Fixture Sub-category]=L112),0))</f>
        <v>#N/A</v>
      </c>
      <c r="BD112" s="264" t="str">
        <f t="shared" si="44"/>
        <v>Sector is blank</v>
      </c>
      <c r="BE112" s="269" t="str">
        <f>IF(ISBLANK(SectorField),"Sector is blank",IF(AM112="Row Not Used","",IF(OR(R112="No Controls",ISBLANK(R112)),"",INDEX(ControlsBPARefNoTable[Reference Number],MATCH(SectorField,ControlsBPARefNoTable[Sector],0)))))</f>
        <v>Sector is blank</v>
      </c>
      <c r="BF112" s="530" t="str">
        <f t="shared" si="45"/>
        <v/>
      </c>
      <c r="BG112" s="132" t="str">
        <f t="shared" si="46"/>
        <v/>
      </c>
      <c r="BH112" s="531" t="str">
        <f t="shared" si="47"/>
        <v/>
      </c>
      <c r="BI112" s="532"/>
      <c r="BJ112" s="538" t="str">
        <f t="shared" si="53"/>
        <v/>
      </c>
      <c r="BK112" s="539" t="str">
        <f t="shared" si="54"/>
        <v/>
      </c>
      <c r="BL112" s="547" t="str">
        <f t="shared" si="55"/>
        <v/>
      </c>
    </row>
    <row r="113" spans="1:64" x14ac:dyDescent="0.3">
      <c r="A113" s="133">
        <v>106</v>
      </c>
      <c r="B113" s="294"/>
      <c r="C113" s="313"/>
      <c r="D113" s="292"/>
      <c r="E113" s="284"/>
      <c r="F113" s="284"/>
      <c r="G113" s="295"/>
      <c r="H113" s="296"/>
      <c r="I113" s="297"/>
      <c r="J113" s="292"/>
      <c r="K113" s="284"/>
      <c r="L113" s="284"/>
      <c r="M113" s="295"/>
      <c r="N113" s="296"/>
      <c r="O113" s="296"/>
      <c r="P113" s="284"/>
      <c r="Q113" s="298"/>
      <c r="R113" s="292"/>
      <c r="S113" s="299"/>
      <c r="T113" s="300"/>
      <c r="U113" s="317" t="str">
        <f t="shared" si="29"/>
        <v/>
      </c>
      <c r="V113" s="301"/>
      <c r="W113" s="136" t="str">
        <f t="shared" si="30"/>
        <v/>
      </c>
      <c r="X113" s="588" t="str">
        <f t="shared" si="48"/>
        <v/>
      </c>
      <c r="Y113" s="580"/>
      <c r="Z113" s="251" t="str">
        <f t="shared" si="31"/>
        <v/>
      </c>
      <c r="AA113" s="138" t="str">
        <f t="shared" si="56"/>
        <v/>
      </c>
      <c r="AB113" s="243" t="str">
        <f t="shared" si="49"/>
        <v/>
      </c>
      <c r="AC113" s="141" t="str">
        <f t="shared" si="32"/>
        <v/>
      </c>
      <c r="AD113" s="138" t="str">
        <f t="shared" si="50"/>
        <v/>
      </c>
      <c r="AE113" s="243" t="str">
        <f t="shared" si="33"/>
        <v/>
      </c>
      <c r="AF113" s="342" t="str">
        <f>IF(AM113="Row Not Used","",INDEX(SpaceTable[Annual Hours],(MATCH(B113,SpaceTable[Space Name Concatenated Helper],0))))</f>
        <v/>
      </c>
      <c r="AG113" s="205" t="str">
        <f t="shared" si="34"/>
        <v/>
      </c>
      <c r="AH113" s="234" t="str">
        <f t="shared" si="35"/>
        <v/>
      </c>
      <c r="AI113" s="205" t="str">
        <f t="shared" si="36"/>
        <v/>
      </c>
      <c r="AJ113" s="234" t="str">
        <f t="shared" si="37"/>
        <v/>
      </c>
      <c r="AK113" s="144" t="str">
        <f>IF(AM113="Row Not Used","",INDEX(SpaceTable[Row],(MATCH(B113,SpaceTable[Space Name Concatenated Helper],0))))</f>
        <v/>
      </c>
      <c r="AL113" s="238" t="str">
        <f>IF(AM113="Row Not Used","",INDEX(SpaceTable[HVAC Factor],(MATCH(B113,SpaceTable[Space Name Concatenated Helper],0))))</f>
        <v/>
      </c>
      <c r="AM113" s="520" t="str">
        <f t="shared" si="38"/>
        <v>Row Not Used</v>
      </c>
      <c r="AN113" s="512" t="e" cm="1">
        <f t="array" ref="AN113">INDEX(BallastFactorTable[Ballast Factor],MATCH(1,(BallastFactorTable[Fixture Class]=D113)*(BallastFactorTable[Fixture Category]=E113)*(BallastFactorTable[Fixture Sub-category]=F113),0))</f>
        <v>#N/A</v>
      </c>
      <c r="AO113" s="143" t="str">
        <f t="shared" si="51"/>
        <v/>
      </c>
      <c r="AP113" s="501" t="e" cm="1">
        <f t="array" ref="AP113">INDEX(BallastFactorTable[Wattage Range Name],MATCH(1,(BallastFactorTable[Fixture Class]=D113)*(BallastFactorTable[Fixture Category]=E113)*(BallastFactorTable[Fixture Sub-category]=F113),0))</f>
        <v>#N/A</v>
      </c>
      <c r="AQ113" s="515" t="str">
        <f t="shared" ca="1" si="39"/>
        <v>Okay</v>
      </c>
      <c r="AR113" s="512">
        <f t="shared" si="40"/>
        <v>0</v>
      </c>
      <c r="AS113" s="511" t="str">
        <f>IF(OR(Measures!AM113="Row Not Used",Measures!C113="Controls Only",Measures!C113="Decommissioning"),"",_xlfn.CONCAT(P113," ",Q113))</f>
        <v/>
      </c>
      <c r="AT113" s="264" t="str">
        <f t="shared" si="41"/>
        <v>None</v>
      </c>
      <c r="AU113" s="229">
        <f>IF(OR(AM113="Row Not Used",AM113="Controls Only"),0,INDEX(IncentiveRateTable[Incentive Rate],MATCH(AT113,IncentiveRateTable[Incentive Name],0)))</f>
        <v>0</v>
      </c>
      <c r="AV113" s="133" t="str">
        <f>IF(OR(AM113="Row Not Used",AM113="Controls Only"),"None",INDEX(IncentiveRateTable[Incentive Unit],MATCH(AT113,IncentiveRateTable[Incentive Name],0)))</f>
        <v>None</v>
      </c>
      <c r="AW113" s="578">
        <f t="shared" si="52"/>
        <v>0</v>
      </c>
      <c r="AX113" s="264" t="str">
        <f t="shared" si="42"/>
        <v>None</v>
      </c>
      <c r="AY113" s="229">
        <f>IF(OR(AM113="Row Not Used",AM113="Fixtures Only",AM113="Decommissioning"),0,INDEX(IncentiveRateTable[Incentive Rate],MATCH(AX113,IncentiveRateTable[Incentive Name],0)))</f>
        <v>0</v>
      </c>
      <c r="AZ113" s="133" t="str">
        <f>IF(OR(AM113="Row Not Used",AM113="Fixtures Only",AM113="Decommissioning"),"None",INDEX(IncentiveRateTable[Incentive Unit],MATCH(AX113,IncentiveRateTable[Incentive Name],0)))</f>
        <v>None</v>
      </c>
      <c r="BA113" s="465">
        <f t="shared" si="43"/>
        <v>0</v>
      </c>
      <c r="BB113" s="264" t="e" cm="1">
        <f t="array" ref="BB113">INDEX(BallastFactorTable[Commercial BPA Reference Number],MATCH(1,(BallastFactorTable[Fixture Class]=J113)*(BallastFactorTable[Fixture Category]=K113)*(BallastFactorTable[Fixture Sub-category]=L113),0))</f>
        <v>#N/A</v>
      </c>
      <c r="BC113" s="133" t="e" cm="1">
        <f t="array" ref="BC113">INDEX(BallastFactorTable[Industrial BPA Reference Number],MATCH(1,(BallastFactorTable[Fixture Class]=J113)*(BallastFactorTable[Fixture Category]=K113)*(BallastFactorTable[Fixture Sub-category]=L113),0))</f>
        <v>#N/A</v>
      </c>
      <c r="BD113" s="264" t="str">
        <f t="shared" si="44"/>
        <v>Sector is blank</v>
      </c>
      <c r="BE113" s="269" t="str">
        <f>IF(ISBLANK(SectorField),"Sector is blank",IF(AM113="Row Not Used","",IF(OR(R113="No Controls",ISBLANK(R113)),"",INDEX(ControlsBPARefNoTable[Reference Number],MATCH(SectorField,ControlsBPARefNoTable[Sector],0)))))</f>
        <v>Sector is blank</v>
      </c>
      <c r="BF113" s="530" t="str">
        <f t="shared" si="45"/>
        <v/>
      </c>
      <c r="BG113" s="132" t="str">
        <f t="shared" si="46"/>
        <v/>
      </c>
      <c r="BH113" s="531" t="str">
        <f t="shared" si="47"/>
        <v/>
      </c>
      <c r="BI113" s="532"/>
      <c r="BJ113" s="538" t="str">
        <f t="shared" si="53"/>
        <v/>
      </c>
      <c r="BK113" s="539" t="str">
        <f t="shared" si="54"/>
        <v/>
      </c>
      <c r="BL113" s="547" t="str">
        <f t="shared" si="55"/>
        <v/>
      </c>
    </row>
    <row r="114" spans="1:64" x14ac:dyDescent="0.3">
      <c r="A114" s="133">
        <v>107</v>
      </c>
      <c r="B114" s="294"/>
      <c r="C114" s="313"/>
      <c r="D114" s="292"/>
      <c r="E114" s="284"/>
      <c r="F114" s="284"/>
      <c r="G114" s="295"/>
      <c r="H114" s="296"/>
      <c r="I114" s="297"/>
      <c r="J114" s="292"/>
      <c r="K114" s="284"/>
      <c r="L114" s="284"/>
      <c r="M114" s="295"/>
      <c r="N114" s="296"/>
      <c r="O114" s="296"/>
      <c r="P114" s="284"/>
      <c r="Q114" s="298"/>
      <c r="R114" s="292"/>
      <c r="S114" s="299"/>
      <c r="T114" s="300"/>
      <c r="U114" s="317" t="str">
        <f t="shared" si="29"/>
        <v/>
      </c>
      <c r="V114" s="301"/>
      <c r="W114" s="137" t="str">
        <f t="shared" si="30"/>
        <v/>
      </c>
      <c r="X114" s="589" t="str">
        <f t="shared" si="48"/>
        <v/>
      </c>
      <c r="Y114" s="581"/>
      <c r="Z114" s="251" t="str">
        <f t="shared" si="31"/>
        <v/>
      </c>
      <c r="AA114" s="138" t="str">
        <f t="shared" si="56"/>
        <v/>
      </c>
      <c r="AB114" s="243" t="str">
        <f t="shared" si="49"/>
        <v/>
      </c>
      <c r="AC114" s="141" t="str">
        <f t="shared" si="32"/>
        <v/>
      </c>
      <c r="AD114" s="138" t="str">
        <f t="shared" si="50"/>
        <v/>
      </c>
      <c r="AE114" s="243" t="str">
        <f t="shared" si="33"/>
        <v/>
      </c>
      <c r="AF114" s="342" t="str">
        <f>IF(AM114="Row Not Used","",INDEX(SpaceTable[Annual Hours],(MATCH(B114,SpaceTable[Space Name Concatenated Helper],0))))</f>
        <v/>
      </c>
      <c r="AG114" s="205" t="str">
        <f t="shared" si="34"/>
        <v/>
      </c>
      <c r="AH114" s="234" t="str">
        <f t="shared" si="35"/>
        <v/>
      </c>
      <c r="AI114" s="205" t="str">
        <f t="shared" si="36"/>
        <v/>
      </c>
      <c r="AJ114" s="234" t="str">
        <f t="shared" si="37"/>
        <v/>
      </c>
      <c r="AK114" s="144" t="str">
        <f>IF(AM114="Row Not Used","",INDEX(SpaceTable[Row],(MATCH(B114,SpaceTable[Space Name Concatenated Helper],0))))</f>
        <v/>
      </c>
      <c r="AL114" s="238" t="str">
        <f>IF(AM114="Row Not Used","",INDEX(SpaceTable[HVAC Factor],(MATCH(B114,SpaceTable[Space Name Concatenated Helper],0))))</f>
        <v/>
      </c>
      <c r="AM114" s="520" t="str">
        <f t="shared" si="38"/>
        <v>Row Not Used</v>
      </c>
      <c r="AN114" s="512" t="e" cm="1">
        <f t="array" ref="AN114">INDEX(BallastFactorTable[Ballast Factor],MATCH(1,(BallastFactorTable[Fixture Class]=D114)*(BallastFactorTable[Fixture Category]=E114)*(BallastFactorTable[Fixture Sub-category]=F114),0))</f>
        <v>#N/A</v>
      </c>
      <c r="AO114" s="143" t="str">
        <f t="shared" si="51"/>
        <v/>
      </c>
      <c r="AP114" s="501" t="e" cm="1">
        <f t="array" ref="AP114">INDEX(BallastFactorTable[Wattage Range Name],MATCH(1,(BallastFactorTable[Fixture Class]=D114)*(BallastFactorTable[Fixture Category]=E114)*(BallastFactorTable[Fixture Sub-category]=F114),0))</f>
        <v>#N/A</v>
      </c>
      <c r="AQ114" s="515" t="str">
        <f t="shared" ca="1" si="39"/>
        <v>Okay</v>
      </c>
      <c r="AR114" s="512">
        <f t="shared" si="40"/>
        <v>0</v>
      </c>
      <c r="AS114" s="511" t="str">
        <f>IF(OR(Measures!AM114="Row Not Used",Measures!C114="Controls Only",Measures!C114="Decommissioning"),"",_xlfn.CONCAT(P114," ",Q114))</f>
        <v/>
      </c>
      <c r="AT114" s="264" t="str">
        <f t="shared" si="41"/>
        <v>None</v>
      </c>
      <c r="AU114" s="229">
        <f>IF(OR(AM114="Row Not Used",AM114="Controls Only"),0,INDEX(IncentiveRateTable[Incentive Rate],MATCH(AT114,IncentiveRateTable[Incentive Name],0)))</f>
        <v>0</v>
      </c>
      <c r="AV114" s="133" t="str">
        <f>IF(OR(AM114="Row Not Used",AM114="Controls Only"),"None",INDEX(IncentiveRateTable[Incentive Unit],MATCH(AT114,IncentiveRateTable[Incentive Name],0)))</f>
        <v>None</v>
      </c>
      <c r="AW114" s="578">
        <f t="shared" si="52"/>
        <v>0</v>
      </c>
      <c r="AX114" s="264" t="str">
        <f t="shared" si="42"/>
        <v>None</v>
      </c>
      <c r="AY114" s="229">
        <f>IF(OR(AM114="Row Not Used",AM114="Fixtures Only",AM114="Decommissioning"),0,INDEX(IncentiveRateTable[Incentive Rate],MATCH(AX114,IncentiveRateTable[Incentive Name],0)))</f>
        <v>0</v>
      </c>
      <c r="AZ114" s="133" t="str">
        <f>IF(OR(AM114="Row Not Used",AM114="Fixtures Only",AM114="Decommissioning"),"None",INDEX(IncentiveRateTable[Incentive Unit],MATCH(AX114,IncentiveRateTable[Incentive Name],0)))</f>
        <v>None</v>
      </c>
      <c r="BA114" s="465">
        <f t="shared" si="43"/>
        <v>0</v>
      </c>
      <c r="BB114" s="264" t="e" cm="1">
        <f t="array" ref="BB114">INDEX(BallastFactorTable[Commercial BPA Reference Number],MATCH(1,(BallastFactorTable[Fixture Class]=J114)*(BallastFactorTable[Fixture Category]=K114)*(BallastFactorTable[Fixture Sub-category]=L114),0))</f>
        <v>#N/A</v>
      </c>
      <c r="BC114" s="133" t="e" cm="1">
        <f t="array" ref="BC114">INDEX(BallastFactorTable[Industrial BPA Reference Number],MATCH(1,(BallastFactorTable[Fixture Class]=J114)*(BallastFactorTable[Fixture Category]=K114)*(BallastFactorTable[Fixture Sub-category]=L114),0))</f>
        <v>#N/A</v>
      </c>
      <c r="BD114" s="264" t="str">
        <f t="shared" si="44"/>
        <v>Sector is blank</v>
      </c>
      <c r="BE114" s="269" t="str">
        <f>IF(ISBLANK(SectorField),"Sector is blank",IF(AM114="Row Not Used","",IF(OR(R114="No Controls",ISBLANK(R114)),"",INDEX(ControlsBPARefNoTable[Reference Number],MATCH(SectorField,ControlsBPARefNoTable[Sector],0)))))</f>
        <v>Sector is blank</v>
      </c>
      <c r="BF114" s="530" t="str">
        <f t="shared" si="45"/>
        <v/>
      </c>
      <c r="BG114" s="132" t="str">
        <f t="shared" si="46"/>
        <v/>
      </c>
      <c r="BH114" s="531" t="str">
        <f t="shared" si="47"/>
        <v/>
      </c>
      <c r="BI114" s="532"/>
      <c r="BJ114" s="538" t="str">
        <f t="shared" si="53"/>
        <v/>
      </c>
      <c r="BK114" s="539" t="str">
        <f t="shared" si="54"/>
        <v/>
      </c>
      <c r="BL114" s="547" t="str">
        <f t="shared" si="55"/>
        <v/>
      </c>
    </row>
    <row r="115" spans="1:64" x14ac:dyDescent="0.3">
      <c r="A115" s="133">
        <v>108</v>
      </c>
      <c r="B115" s="294"/>
      <c r="C115" s="313"/>
      <c r="D115" s="292"/>
      <c r="E115" s="284"/>
      <c r="F115" s="284"/>
      <c r="G115" s="295"/>
      <c r="H115" s="296"/>
      <c r="I115" s="297"/>
      <c r="J115" s="292"/>
      <c r="K115" s="284"/>
      <c r="L115" s="284"/>
      <c r="M115" s="295"/>
      <c r="N115" s="296"/>
      <c r="O115" s="296"/>
      <c r="P115" s="284"/>
      <c r="Q115" s="298"/>
      <c r="R115" s="292"/>
      <c r="S115" s="299"/>
      <c r="T115" s="300"/>
      <c r="U115" s="317" t="str">
        <f t="shared" si="29"/>
        <v/>
      </c>
      <c r="V115" s="301"/>
      <c r="W115" s="136" t="str">
        <f t="shared" si="30"/>
        <v/>
      </c>
      <c r="X115" s="588" t="str">
        <f t="shared" si="48"/>
        <v/>
      </c>
      <c r="Y115" s="580"/>
      <c r="Z115" s="251" t="str">
        <f t="shared" si="31"/>
        <v/>
      </c>
      <c r="AA115" s="138" t="str">
        <f t="shared" si="56"/>
        <v/>
      </c>
      <c r="AB115" s="243" t="str">
        <f t="shared" si="49"/>
        <v/>
      </c>
      <c r="AC115" s="141" t="str">
        <f t="shared" si="32"/>
        <v/>
      </c>
      <c r="AD115" s="138" t="str">
        <f t="shared" si="50"/>
        <v/>
      </c>
      <c r="AE115" s="243" t="str">
        <f t="shared" si="33"/>
        <v/>
      </c>
      <c r="AF115" s="342" t="str">
        <f>IF(AM115="Row Not Used","",INDEX(SpaceTable[Annual Hours],(MATCH(B115,SpaceTable[Space Name Concatenated Helper],0))))</f>
        <v/>
      </c>
      <c r="AG115" s="205" t="str">
        <f t="shared" si="34"/>
        <v/>
      </c>
      <c r="AH115" s="234" t="str">
        <f t="shared" si="35"/>
        <v/>
      </c>
      <c r="AI115" s="205" t="str">
        <f t="shared" si="36"/>
        <v/>
      </c>
      <c r="AJ115" s="234" t="str">
        <f t="shared" si="37"/>
        <v/>
      </c>
      <c r="AK115" s="144" t="str">
        <f>IF(AM115="Row Not Used","",INDEX(SpaceTable[Row],(MATCH(B115,SpaceTable[Space Name Concatenated Helper],0))))</f>
        <v/>
      </c>
      <c r="AL115" s="238" t="str">
        <f>IF(AM115="Row Not Used","",INDEX(SpaceTable[HVAC Factor],(MATCH(B115,SpaceTable[Space Name Concatenated Helper],0))))</f>
        <v/>
      </c>
      <c r="AM115" s="520" t="str">
        <f t="shared" si="38"/>
        <v>Row Not Used</v>
      </c>
      <c r="AN115" s="512" t="e" cm="1">
        <f t="array" ref="AN115">INDEX(BallastFactorTable[Ballast Factor],MATCH(1,(BallastFactorTable[Fixture Class]=D115)*(BallastFactorTable[Fixture Category]=E115)*(BallastFactorTable[Fixture Sub-category]=F115),0))</f>
        <v>#N/A</v>
      </c>
      <c r="AO115" s="143" t="str">
        <f t="shared" si="51"/>
        <v/>
      </c>
      <c r="AP115" s="501" t="e" cm="1">
        <f t="array" ref="AP115">INDEX(BallastFactorTable[Wattage Range Name],MATCH(1,(BallastFactorTable[Fixture Class]=D115)*(BallastFactorTable[Fixture Category]=E115)*(BallastFactorTable[Fixture Sub-category]=F115),0))</f>
        <v>#N/A</v>
      </c>
      <c r="AQ115" s="515" t="str">
        <f t="shared" ca="1" si="39"/>
        <v>Okay</v>
      </c>
      <c r="AR115" s="512">
        <f t="shared" si="40"/>
        <v>0</v>
      </c>
      <c r="AS115" s="511" t="str">
        <f>IF(OR(Measures!AM115="Row Not Used",Measures!C115="Controls Only",Measures!C115="Decommissioning"),"",_xlfn.CONCAT(P115," ",Q115))</f>
        <v/>
      </c>
      <c r="AT115" s="264" t="str">
        <f t="shared" si="41"/>
        <v>None</v>
      </c>
      <c r="AU115" s="229">
        <f>IF(OR(AM115="Row Not Used",AM115="Controls Only"),0,INDEX(IncentiveRateTable[Incentive Rate],MATCH(AT115,IncentiveRateTable[Incentive Name],0)))</f>
        <v>0</v>
      </c>
      <c r="AV115" s="133" t="str">
        <f>IF(OR(AM115="Row Not Used",AM115="Controls Only"),"None",INDEX(IncentiveRateTable[Incentive Unit],MATCH(AT115,IncentiveRateTable[Incentive Name],0)))</f>
        <v>None</v>
      </c>
      <c r="AW115" s="578">
        <f t="shared" si="52"/>
        <v>0</v>
      </c>
      <c r="AX115" s="264" t="str">
        <f t="shared" si="42"/>
        <v>None</v>
      </c>
      <c r="AY115" s="229">
        <f>IF(OR(AM115="Row Not Used",AM115="Fixtures Only",AM115="Decommissioning"),0,INDEX(IncentiveRateTable[Incentive Rate],MATCH(AX115,IncentiveRateTable[Incentive Name],0)))</f>
        <v>0</v>
      </c>
      <c r="AZ115" s="133" t="str">
        <f>IF(OR(AM115="Row Not Used",AM115="Fixtures Only",AM115="Decommissioning"),"None",INDEX(IncentiveRateTable[Incentive Unit],MATCH(AX115,IncentiveRateTable[Incentive Name],0)))</f>
        <v>None</v>
      </c>
      <c r="BA115" s="465">
        <f t="shared" si="43"/>
        <v>0</v>
      </c>
      <c r="BB115" s="264" t="e" cm="1">
        <f t="array" ref="BB115">INDEX(BallastFactorTable[Commercial BPA Reference Number],MATCH(1,(BallastFactorTable[Fixture Class]=J115)*(BallastFactorTable[Fixture Category]=K115)*(BallastFactorTable[Fixture Sub-category]=L115),0))</f>
        <v>#N/A</v>
      </c>
      <c r="BC115" s="133" t="e" cm="1">
        <f t="array" ref="BC115">INDEX(BallastFactorTable[Industrial BPA Reference Number],MATCH(1,(BallastFactorTable[Fixture Class]=J115)*(BallastFactorTable[Fixture Category]=K115)*(BallastFactorTable[Fixture Sub-category]=L115),0))</f>
        <v>#N/A</v>
      </c>
      <c r="BD115" s="264" t="str">
        <f t="shared" si="44"/>
        <v>Sector is blank</v>
      </c>
      <c r="BE115" s="269" t="str">
        <f>IF(ISBLANK(SectorField),"Sector is blank",IF(AM115="Row Not Used","",IF(OR(R115="No Controls",ISBLANK(R115)),"",INDEX(ControlsBPARefNoTable[Reference Number],MATCH(SectorField,ControlsBPARefNoTable[Sector],0)))))</f>
        <v>Sector is blank</v>
      </c>
      <c r="BF115" s="530" t="str">
        <f t="shared" si="45"/>
        <v/>
      </c>
      <c r="BG115" s="132" t="str">
        <f t="shared" si="46"/>
        <v/>
      </c>
      <c r="BH115" s="531" t="str">
        <f t="shared" si="47"/>
        <v/>
      </c>
      <c r="BI115" s="532"/>
      <c r="BJ115" s="538" t="str">
        <f t="shared" si="53"/>
        <v/>
      </c>
      <c r="BK115" s="539" t="str">
        <f t="shared" si="54"/>
        <v/>
      </c>
      <c r="BL115" s="547" t="str">
        <f t="shared" si="55"/>
        <v/>
      </c>
    </row>
    <row r="116" spans="1:64" x14ac:dyDescent="0.3">
      <c r="A116" s="133">
        <v>109</v>
      </c>
      <c r="B116" s="294"/>
      <c r="C116" s="313"/>
      <c r="D116" s="292"/>
      <c r="E116" s="284"/>
      <c r="F116" s="284"/>
      <c r="G116" s="295"/>
      <c r="H116" s="296"/>
      <c r="I116" s="297"/>
      <c r="J116" s="292"/>
      <c r="K116" s="284"/>
      <c r="L116" s="284"/>
      <c r="M116" s="295"/>
      <c r="N116" s="296"/>
      <c r="O116" s="296"/>
      <c r="P116" s="284"/>
      <c r="Q116" s="298"/>
      <c r="R116" s="292"/>
      <c r="S116" s="299"/>
      <c r="T116" s="300"/>
      <c r="U116" s="317" t="str">
        <f t="shared" si="29"/>
        <v/>
      </c>
      <c r="V116" s="301"/>
      <c r="W116" s="137" t="str">
        <f t="shared" si="30"/>
        <v/>
      </c>
      <c r="X116" s="589" t="str">
        <f t="shared" si="48"/>
        <v/>
      </c>
      <c r="Y116" s="581"/>
      <c r="Z116" s="251" t="str">
        <f t="shared" si="31"/>
        <v/>
      </c>
      <c r="AA116" s="138" t="str">
        <f t="shared" si="56"/>
        <v/>
      </c>
      <c r="AB116" s="243" t="str">
        <f t="shared" si="49"/>
        <v/>
      </c>
      <c r="AC116" s="141" t="str">
        <f t="shared" si="32"/>
        <v/>
      </c>
      <c r="AD116" s="138" t="str">
        <f t="shared" si="50"/>
        <v/>
      </c>
      <c r="AE116" s="243" t="str">
        <f t="shared" si="33"/>
        <v/>
      </c>
      <c r="AF116" s="342" t="str">
        <f>IF(AM116="Row Not Used","",INDEX(SpaceTable[Annual Hours],(MATCH(B116,SpaceTable[Space Name Concatenated Helper],0))))</f>
        <v/>
      </c>
      <c r="AG116" s="205" t="str">
        <f t="shared" si="34"/>
        <v/>
      </c>
      <c r="AH116" s="234" t="str">
        <f t="shared" si="35"/>
        <v/>
      </c>
      <c r="AI116" s="205" t="str">
        <f t="shared" si="36"/>
        <v/>
      </c>
      <c r="AJ116" s="234" t="str">
        <f t="shared" si="37"/>
        <v/>
      </c>
      <c r="AK116" s="144" t="str">
        <f>IF(AM116="Row Not Used","",INDEX(SpaceTable[Row],(MATCH(B116,SpaceTable[Space Name Concatenated Helper],0))))</f>
        <v/>
      </c>
      <c r="AL116" s="238" t="str">
        <f>IF(AM116="Row Not Used","",INDEX(SpaceTable[HVAC Factor],(MATCH(B116,SpaceTable[Space Name Concatenated Helper],0))))</f>
        <v/>
      </c>
      <c r="AM116" s="520" t="str">
        <f t="shared" si="38"/>
        <v>Row Not Used</v>
      </c>
      <c r="AN116" s="512" t="e" cm="1">
        <f t="array" ref="AN116">INDEX(BallastFactorTable[Ballast Factor],MATCH(1,(BallastFactorTable[Fixture Class]=D116)*(BallastFactorTable[Fixture Category]=E116)*(BallastFactorTable[Fixture Sub-category]=F116),0))</f>
        <v>#N/A</v>
      </c>
      <c r="AO116" s="143" t="str">
        <f t="shared" si="51"/>
        <v/>
      </c>
      <c r="AP116" s="501" t="e" cm="1">
        <f t="array" ref="AP116">INDEX(BallastFactorTable[Wattage Range Name],MATCH(1,(BallastFactorTable[Fixture Class]=D116)*(BallastFactorTable[Fixture Category]=E116)*(BallastFactorTable[Fixture Sub-category]=F116),0))</f>
        <v>#N/A</v>
      </c>
      <c r="AQ116" s="515" t="str">
        <f t="shared" ca="1" si="39"/>
        <v>Okay</v>
      </c>
      <c r="AR116" s="512">
        <f t="shared" si="40"/>
        <v>0</v>
      </c>
      <c r="AS116" s="511" t="str">
        <f>IF(OR(Measures!AM116="Row Not Used",Measures!C116="Controls Only",Measures!C116="Decommissioning"),"",_xlfn.CONCAT(P116," ",Q116))</f>
        <v/>
      </c>
      <c r="AT116" s="264" t="str">
        <f t="shared" si="41"/>
        <v>None</v>
      </c>
      <c r="AU116" s="229">
        <f>IF(OR(AM116="Row Not Used",AM116="Controls Only"),0,INDEX(IncentiveRateTable[Incentive Rate],MATCH(AT116,IncentiveRateTable[Incentive Name],0)))</f>
        <v>0</v>
      </c>
      <c r="AV116" s="133" t="str">
        <f>IF(OR(AM116="Row Not Used",AM116="Controls Only"),"None",INDEX(IncentiveRateTable[Incentive Unit],MATCH(AT116,IncentiveRateTable[Incentive Name],0)))</f>
        <v>None</v>
      </c>
      <c r="AW116" s="578">
        <f t="shared" si="52"/>
        <v>0</v>
      </c>
      <c r="AX116" s="264" t="str">
        <f t="shared" si="42"/>
        <v>None</v>
      </c>
      <c r="AY116" s="229">
        <f>IF(OR(AM116="Row Not Used",AM116="Fixtures Only",AM116="Decommissioning"),0,INDEX(IncentiveRateTable[Incentive Rate],MATCH(AX116,IncentiveRateTable[Incentive Name],0)))</f>
        <v>0</v>
      </c>
      <c r="AZ116" s="133" t="str">
        <f>IF(OR(AM116="Row Not Used",AM116="Fixtures Only",AM116="Decommissioning"),"None",INDEX(IncentiveRateTable[Incentive Unit],MATCH(AX116,IncentiveRateTable[Incentive Name],0)))</f>
        <v>None</v>
      </c>
      <c r="BA116" s="465">
        <f t="shared" si="43"/>
        <v>0</v>
      </c>
      <c r="BB116" s="264" t="e" cm="1">
        <f t="array" ref="BB116">INDEX(BallastFactorTable[Commercial BPA Reference Number],MATCH(1,(BallastFactorTable[Fixture Class]=J116)*(BallastFactorTable[Fixture Category]=K116)*(BallastFactorTable[Fixture Sub-category]=L116),0))</f>
        <v>#N/A</v>
      </c>
      <c r="BC116" s="133" t="e" cm="1">
        <f t="array" ref="BC116">INDEX(BallastFactorTable[Industrial BPA Reference Number],MATCH(1,(BallastFactorTable[Fixture Class]=J116)*(BallastFactorTable[Fixture Category]=K116)*(BallastFactorTable[Fixture Sub-category]=L116),0))</f>
        <v>#N/A</v>
      </c>
      <c r="BD116" s="264" t="str">
        <f t="shared" si="44"/>
        <v>Sector is blank</v>
      </c>
      <c r="BE116" s="269" t="str">
        <f>IF(ISBLANK(SectorField),"Sector is blank",IF(AM116="Row Not Used","",IF(OR(R116="No Controls",ISBLANK(R116)),"",INDEX(ControlsBPARefNoTable[Reference Number],MATCH(SectorField,ControlsBPARefNoTable[Sector],0)))))</f>
        <v>Sector is blank</v>
      </c>
      <c r="BF116" s="530" t="str">
        <f t="shared" si="45"/>
        <v/>
      </c>
      <c r="BG116" s="132" t="str">
        <f t="shared" si="46"/>
        <v/>
      </c>
      <c r="BH116" s="531" t="str">
        <f t="shared" si="47"/>
        <v/>
      </c>
      <c r="BI116" s="532"/>
      <c r="BJ116" s="538" t="str">
        <f t="shared" si="53"/>
        <v/>
      </c>
      <c r="BK116" s="539" t="str">
        <f t="shared" si="54"/>
        <v/>
      </c>
      <c r="BL116" s="547" t="str">
        <f t="shared" si="55"/>
        <v/>
      </c>
    </row>
    <row r="117" spans="1:64" x14ac:dyDescent="0.3">
      <c r="A117" s="133">
        <v>110</v>
      </c>
      <c r="B117" s="294"/>
      <c r="C117" s="313"/>
      <c r="D117" s="292"/>
      <c r="E117" s="284"/>
      <c r="F117" s="284"/>
      <c r="G117" s="295"/>
      <c r="H117" s="296"/>
      <c r="I117" s="297"/>
      <c r="J117" s="292"/>
      <c r="K117" s="284"/>
      <c r="L117" s="284"/>
      <c r="M117" s="295"/>
      <c r="N117" s="296"/>
      <c r="O117" s="296"/>
      <c r="P117" s="284"/>
      <c r="Q117" s="298"/>
      <c r="R117" s="292"/>
      <c r="S117" s="299"/>
      <c r="T117" s="300"/>
      <c r="U117" s="317" t="str">
        <f t="shared" si="29"/>
        <v/>
      </c>
      <c r="V117" s="301"/>
      <c r="W117" s="136" t="str">
        <f t="shared" si="30"/>
        <v/>
      </c>
      <c r="X117" s="588" t="str">
        <f t="shared" si="48"/>
        <v/>
      </c>
      <c r="Y117" s="580"/>
      <c r="Z117" s="251" t="str">
        <f t="shared" si="31"/>
        <v/>
      </c>
      <c r="AA117" s="138" t="str">
        <f t="shared" si="56"/>
        <v/>
      </c>
      <c r="AB117" s="243" t="str">
        <f t="shared" si="49"/>
        <v/>
      </c>
      <c r="AC117" s="141" t="str">
        <f t="shared" si="32"/>
        <v/>
      </c>
      <c r="AD117" s="138" t="str">
        <f t="shared" si="50"/>
        <v/>
      </c>
      <c r="AE117" s="243" t="str">
        <f t="shared" si="33"/>
        <v/>
      </c>
      <c r="AF117" s="342" t="str">
        <f>IF(AM117="Row Not Used","",INDEX(SpaceTable[Annual Hours],(MATCH(B117,SpaceTable[Space Name Concatenated Helper],0))))</f>
        <v/>
      </c>
      <c r="AG117" s="205" t="str">
        <f t="shared" si="34"/>
        <v/>
      </c>
      <c r="AH117" s="234" t="str">
        <f t="shared" si="35"/>
        <v/>
      </c>
      <c r="AI117" s="205" t="str">
        <f t="shared" si="36"/>
        <v/>
      </c>
      <c r="AJ117" s="234" t="str">
        <f t="shared" si="37"/>
        <v/>
      </c>
      <c r="AK117" s="144" t="str">
        <f>IF(AM117="Row Not Used","",INDEX(SpaceTable[Row],(MATCH(B117,SpaceTable[Space Name Concatenated Helper],0))))</f>
        <v/>
      </c>
      <c r="AL117" s="238" t="str">
        <f>IF(AM117="Row Not Used","",INDEX(SpaceTable[HVAC Factor],(MATCH(B117,SpaceTable[Space Name Concatenated Helper],0))))</f>
        <v/>
      </c>
      <c r="AM117" s="520" t="str">
        <f t="shared" si="38"/>
        <v>Row Not Used</v>
      </c>
      <c r="AN117" s="512" t="e" cm="1">
        <f t="array" ref="AN117">INDEX(BallastFactorTable[Ballast Factor],MATCH(1,(BallastFactorTable[Fixture Class]=D117)*(BallastFactorTable[Fixture Category]=E117)*(BallastFactorTable[Fixture Sub-category]=F117),0))</f>
        <v>#N/A</v>
      </c>
      <c r="AO117" s="143" t="str">
        <f t="shared" si="51"/>
        <v/>
      </c>
      <c r="AP117" s="501" t="e" cm="1">
        <f t="array" ref="AP117">INDEX(BallastFactorTable[Wattage Range Name],MATCH(1,(BallastFactorTable[Fixture Class]=D117)*(BallastFactorTable[Fixture Category]=E117)*(BallastFactorTable[Fixture Sub-category]=F117),0))</f>
        <v>#N/A</v>
      </c>
      <c r="AQ117" s="515" t="str">
        <f t="shared" ca="1" si="39"/>
        <v>Okay</v>
      </c>
      <c r="AR117" s="512">
        <f t="shared" si="40"/>
        <v>0</v>
      </c>
      <c r="AS117" s="511" t="str">
        <f>IF(OR(Measures!AM117="Row Not Used",Measures!C117="Controls Only",Measures!C117="Decommissioning"),"",_xlfn.CONCAT(P117," ",Q117))</f>
        <v/>
      </c>
      <c r="AT117" s="264" t="str">
        <f t="shared" si="41"/>
        <v>None</v>
      </c>
      <c r="AU117" s="229">
        <f>IF(OR(AM117="Row Not Used",AM117="Controls Only"),0,INDEX(IncentiveRateTable[Incentive Rate],MATCH(AT117,IncentiveRateTable[Incentive Name],0)))</f>
        <v>0</v>
      </c>
      <c r="AV117" s="133" t="str">
        <f>IF(OR(AM117="Row Not Used",AM117="Controls Only"),"None",INDEX(IncentiveRateTable[Incentive Unit],MATCH(AT117,IncentiveRateTable[Incentive Name],0)))</f>
        <v>None</v>
      </c>
      <c r="AW117" s="578">
        <f t="shared" si="52"/>
        <v>0</v>
      </c>
      <c r="AX117" s="264" t="str">
        <f t="shared" si="42"/>
        <v>None</v>
      </c>
      <c r="AY117" s="229">
        <f>IF(OR(AM117="Row Not Used",AM117="Fixtures Only",AM117="Decommissioning"),0,INDEX(IncentiveRateTable[Incentive Rate],MATCH(AX117,IncentiveRateTable[Incentive Name],0)))</f>
        <v>0</v>
      </c>
      <c r="AZ117" s="133" t="str">
        <f>IF(OR(AM117="Row Not Used",AM117="Fixtures Only",AM117="Decommissioning"),"None",INDEX(IncentiveRateTable[Incentive Unit],MATCH(AX117,IncentiveRateTable[Incentive Name],0)))</f>
        <v>None</v>
      </c>
      <c r="BA117" s="465">
        <f t="shared" si="43"/>
        <v>0</v>
      </c>
      <c r="BB117" s="264" t="e" cm="1">
        <f t="array" ref="BB117">INDEX(BallastFactorTable[Commercial BPA Reference Number],MATCH(1,(BallastFactorTable[Fixture Class]=J117)*(BallastFactorTable[Fixture Category]=K117)*(BallastFactorTable[Fixture Sub-category]=L117),0))</f>
        <v>#N/A</v>
      </c>
      <c r="BC117" s="133" t="e" cm="1">
        <f t="array" ref="BC117">INDEX(BallastFactorTable[Industrial BPA Reference Number],MATCH(1,(BallastFactorTable[Fixture Class]=J117)*(BallastFactorTable[Fixture Category]=K117)*(BallastFactorTable[Fixture Sub-category]=L117),0))</f>
        <v>#N/A</v>
      </c>
      <c r="BD117" s="264" t="str">
        <f t="shared" si="44"/>
        <v>Sector is blank</v>
      </c>
      <c r="BE117" s="269" t="str">
        <f>IF(ISBLANK(SectorField),"Sector is blank",IF(AM117="Row Not Used","",IF(OR(R117="No Controls",ISBLANK(R117)),"",INDEX(ControlsBPARefNoTable[Reference Number],MATCH(SectorField,ControlsBPARefNoTable[Sector],0)))))</f>
        <v>Sector is blank</v>
      </c>
      <c r="BF117" s="530" t="str">
        <f t="shared" si="45"/>
        <v/>
      </c>
      <c r="BG117" s="132" t="str">
        <f t="shared" si="46"/>
        <v/>
      </c>
      <c r="BH117" s="531" t="str">
        <f t="shared" si="47"/>
        <v/>
      </c>
      <c r="BI117" s="532"/>
      <c r="BJ117" s="538" t="str">
        <f t="shared" si="53"/>
        <v/>
      </c>
      <c r="BK117" s="539" t="str">
        <f t="shared" si="54"/>
        <v/>
      </c>
      <c r="BL117" s="547" t="str">
        <f t="shared" si="55"/>
        <v/>
      </c>
    </row>
    <row r="118" spans="1:64" x14ac:dyDescent="0.3">
      <c r="A118" s="133">
        <v>111</v>
      </c>
      <c r="B118" s="294"/>
      <c r="C118" s="313"/>
      <c r="D118" s="292"/>
      <c r="E118" s="284"/>
      <c r="F118" s="284"/>
      <c r="G118" s="295"/>
      <c r="H118" s="296"/>
      <c r="I118" s="297"/>
      <c r="J118" s="292"/>
      <c r="K118" s="284"/>
      <c r="L118" s="284"/>
      <c r="M118" s="295"/>
      <c r="N118" s="296"/>
      <c r="O118" s="296"/>
      <c r="P118" s="284"/>
      <c r="Q118" s="298"/>
      <c r="R118" s="292"/>
      <c r="S118" s="299"/>
      <c r="T118" s="300"/>
      <c r="U118" s="317" t="str">
        <f t="shared" si="29"/>
        <v/>
      </c>
      <c r="V118" s="301"/>
      <c r="W118" s="137" t="str">
        <f t="shared" si="30"/>
        <v/>
      </c>
      <c r="X118" s="589" t="str">
        <f t="shared" si="48"/>
        <v/>
      </c>
      <c r="Y118" s="581"/>
      <c r="Z118" s="251" t="str">
        <f t="shared" si="31"/>
        <v/>
      </c>
      <c r="AA118" s="138" t="str">
        <f t="shared" si="56"/>
        <v/>
      </c>
      <c r="AB118" s="243" t="str">
        <f t="shared" si="49"/>
        <v/>
      </c>
      <c r="AC118" s="141" t="str">
        <f t="shared" si="32"/>
        <v/>
      </c>
      <c r="AD118" s="138" t="str">
        <f t="shared" si="50"/>
        <v/>
      </c>
      <c r="AE118" s="243" t="str">
        <f t="shared" si="33"/>
        <v/>
      </c>
      <c r="AF118" s="342" t="str">
        <f>IF(AM118="Row Not Used","",INDEX(SpaceTable[Annual Hours],(MATCH(B118,SpaceTable[Space Name Concatenated Helper],0))))</f>
        <v/>
      </c>
      <c r="AG118" s="205" t="str">
        <f t="shared" si="34"/>
        <v/>
      </c>
      <c r="AH118" s="234" t="str">
        <f t="shared" si="35"/>
        <v/>
      </c>
      <c r="AI118" s="205" t="str">
        <f t="shared" si="36"/>
        <v/>
      </c>
      <c r="AJ118" s="234" t="str">
        <f t="shared" si="37"/>
        <v/>
      </c>
      <c r="AK118" s="144" t="str">
        <f>IF(AM118="Row Not Used","",INDEX(SpaceTable[Row],(MATCH(B118,SpaceTable[Space Name Concatenated Helper],0))))</f>
        <v/>
      </c>
      <c r="AL118" s="238" t="str">
        <f>IF(AM118="Row Not Used","",INDEX(SpaceTable[HVAC Factor],(MATCH(B118,SpaceTable[Space Name Concatenated Helper],0))))</f>
        <v/>
      </c>
      <c r="AM118" s="520" t="str">
        <f t="shared" si="38"/>
        <v>Row Not Used</v>
      </c>
      <c r="AN118" s="512" t="e" cm="1">
        <f t="array" ref="AN118">INDEX(BallastFactorTable[Ballast Factor],MATCH(1,(BallastFactorTable[Fixture Class]=D118)*(BallastFactorTable[Fixture Category]=E118)*(BallastFactorTable[Fixture Sub-category]=F118),0))</f>
        <v>#N/A</v>
      </c>
      <c r="AO118" s="143" t="str">
        <f t="shared" si="51"/>
        <v/>
      </c>
      <c r="AP118" s="501" t="e" cm="1">
        <f t="array" ref="AP118">INDEX(BallastFactorTable[Wattage Range Name],MATCH(1,(BallastFactorTable[Fixture Class]=D118)*(BallastFactorTable[Fixture Category]=E118)*(BallastFactorTable[Fixture Sub-category]=F118),0))</f>
        <v>#N/A</v>
      </c>
      <c r="AQ118" s="515" t="str">
        <f t="shared" ca="1" si="39"/>
        <v>Okay</v>
      </c>
      <c r="AR118" s="512">
        <f t="shared" si="40"/>
        <v>0</v>
      </c>
      <c r="AS118" s="511" t="str">
        <f>IF(OR(Measures!AM118="Row Not Used",Measures!C118="Controls Only",Measures!C118="Decommissioning"),"",_xlfn.CONCAT(P118," ",Q118))</f>
        <v/>
      </c>
      <c r="AT118" s="264" t="str">
        <f t="shared" si="41"/>
        <v>None</v>
      </c>
      <c r="AU118" s="229">
        <f>IF(OR(AM118="Row Not Used",AM118="Controls Only"),0,INDEX(IncentiveRateTable[Incentive Rate],MATCH(AT118,IncentiveRateTable[Incentive Name],0)))</f>
        <v>0</v>
      </c>
      <c r="AV118" s="133" t="str">
        <f>IF(OR(AM118="Row Not Used",AM118="Controls Only"),"None",INDEX(IncentiveRateTable[Incentive Unit],MATCH(AT118,IncentiveRateTable[Incentive Name],0)))</f>
        <v>None</v>
      </c>
      <c r="AW118" s="578">
        <f t="shared" si="52"/>
        <v>0</v>
      </c>
      <c r="AX118" s="264" t="str">
        <f t="shared" si="42"/>
        <v>None</v>
      </c>
      <c r="AY118" s="229">
        <f>IF(OR(AM118="Row Not Used",AM118="Fixtures Only",AM118="Decommissioning"),0,INDEX(IncentiveRateTable[Incentive Rate],MATCH(AX118,IncentiveRateTable[Incentive Name],0)))</f>
        <v>0</v>
      </c>
      <c r="AZ118" s="133" t="str">
        <f>IF(OR(AM118="Row Not Used",AM118="Fixtures Only",AM118="Decommissioning"),"None",INDEX(IncentiveRateTable[Incentive Unit],MATCH(AX118,IncentiveRateTable[Incentive Name],0)))</f>
        <v>None</v>
      </c>
      <c r="BA118" s="465">
        <f t="shared" si="43"/>
        <v>0</v>
      </c>
      <c r="BB118" s="264" t="e" cm="1">
        <f t="array" ref="BB118">INDEX(BallastFactorTable[Commercial BPA Reference Number],MATCH(1,(BallastFactorTable[Fixture Class]=J118)*(BallastFactorTable[Fixture Category]=K118)*(BallastFactorTable[Fixture Sub-category]=L118),0))</f>
        <v>#N/A</v>
      </c>
      <c r="BC118" s="133" t="e" cm="1">
        <f t="array" ref="BC118">INDEX(BallastFactorTable[Industrial BPA Reference Number],MATCH(1,(BallastFactorTable[Fixture Class]=J118)*(BallastFactorTable[Fixture Category]=K118)*(BallastFactorTable[Fixture Sub-category]=L118),0))</f>
        <v>#N/A</v>
      </c>
      <c r="BD118" s="264" t="str">
        <f t="shared" si="44"/>
        <v>Sector is blank</v>
      </c>
      <c r="BE118" s="269" t="str">
        <f>IF(ISBLANK(SectorField),"Sector is blank",IF(AM118="Row Not Used","",IF(OR(R118="No Controls",ISBLANK(R118)),"",INDEX(ControlsBPARefNoTable[Reference Number],MATCH(SectorField,ControlsBPARefNoTable[Sector],0)))))</f>
        <v>Sector is blank</v>
      </c>
      <c r="BF118" s="530" t="str">
        <f t="shared" si="45"/>
        <v/>
      </c>
      <c r="BG118" s="132" t="str">
        <f t="shared" si="46"/>
        <v/>
      </c>
      <c r="BH118" s="531" t="str">
        <f t="shared" si="47"/>
        <v/>
      </c>
      <c r="BI118" s="532"/>
      <c r="BJ118" s="538" t="str">
        <f t="shared" si="53"/>
        <v/>
      </c>
      <c r="BK118" s="539" t="str">
        <f t="shared" si="54"/>
        <v/>
      </c>
      <c r="BL118" s="547" t="str">
        <f t="shared" si="55"/>
        <v/>
      </c>
    </row>
    <row r="119" spans="1:64" x14ac:dyDescent="0.3">
      <c r="A119" s="133">
        <v>112</v>
      </c>
      <c r="B119" s="294"/>
      <c r="C119" s="313"/>
      <c r="D119" s="292"/>
      <c r="E119" s="284"/>
      <c r="F119" s="284"/>
      <c r="G119" s="295"/>
      <c r="H119" s="296"/>
      <c r="I119" s="297"/>
      <c r="J119" s="292"/>
      <c r="K119" s="284"/>
      <c r="L119" s="284"/>
      <c r="M119" s="295"/>
      <c r="N119" s="296"/>
      <c r="O119" s="296"/>
      <c r="P119" s="284"/>
      <c r="Q119" s="298"/>
      <c r="R119" s="292"/>
      <c r="S119" s="299"/>
      <c r="T119" s="300"/>
      <c r="U119" s="317" t="str">
        <f t="shared" si="29"/>
        <v/>
      </c>
      <c r="V119" s="301"/>
      <c r="W119" s="136" t="str">
        <f t="shared" si="30"/>
        <v/>
      </c>
      <c r="X119" s="588" t="str">
        <f t="shared" si="48"/>
        <v/>
      </c>
      <c r="Y119" s="580"/>
      <c r="Z119" s="251" t="str">
        <f t="shared" si="31"/>
        <v/>
      </c>
      <c r="AA119" s="138" t="str">
        <f t="shared" si="56"/>
        <v/>
      </c>
      <c r="AB119" s="243" t="str">
        <f t="shared" si="49"/>
        <v/>
      </c>
      <c r="AC119" s="141" t="str">
        <f t="shared" si="32"/>
        <v/>
      </c>
      <c r="AD119" s="138" t="str">
        <f t="shared" si="50"/>
        <v/>
      </c>
      <c r="AE119" s="243" t="str">
        <f t="shared" si="33"/>
        <v/>
      </c>
      <c r="AF119" s="342" t="str">
        <f>IF(AM119="Row Not Used","",INDEX(SpaceTable[Annual Hours],(MATCH(B119,SpaceTable[Space Name Concatenated Helper],0))))</f>
        <v/>
      </c>
      <c r="AG119" s="205" t="str">
        <f t="shared" si="34"/>
        <v/>
      </c>
      <c r="AH119" s="234" t="str">
        <f t="shared" si="35"/>
        <v/>
      </c>
      <c r="AI119" s="205" t="str">
        <f t="shared" si="36"/>
        <v/>
      </c>
      <c r="AJ119" s="234" t="str">
        <f t="shared" si="37"/>
        <v/>
      </c>
      <c r="AK119" s="144" t="str">
        <f>IF(AM119="Row Not Used","",INDEX(SpaceTable[Row],(MATCH(B119,SpaceTable[Space Name Concatenated Helper],0))))</f>
        <v/>
      </c>
      <c r="AL119" s="238" t="str">
        <f>IF(AM119="Row Not Used","",INDEX(SpaceTable[HVAC Factor],(MATCH(B119,SpaceTable[Space Name Concatenated Helper],0))))</f>
        <v/>
      </c>
      <c r="AM119" s="520" t="str">
        <f t="shared" si="38"/>
        <v>Row Not Used</v>
      </c>
      <c r="AN119" s="512" t="e" cm="1">
        <f t="array" ref="AN119">INDEX(BallastFactorTable[Ballast Factor],MATCH(1,(BallastFactorTable[Fixture Class]=D119)*(BallastFactorTable[Fixture Category]=E119)*(BallastFactorTable[Fixture Sub-category]=F119),0))</f>
        <v>#N/A</v>
      </c>
      <c r="AO119" s="143" t="str">
        <f t="shared" si="51"/>
        <v/>
      </c>
      <c r="AP119" s="501" t="e" cm="1">
        <f t="array" ref="AP119">INDEX(BallastFactorTable[Wattage Range Name],MATCH(1,(BallastFactorTable[Fixture Class]=D119)*(BallastFactorTable[Fixture Category]=E119)*(BallastFactorTable[Fixture Sub-category]=F119),0))</f>
        <v>#N/A</v>
      </c>
      <c r="AQ119" s="515" t="str">
        <f t="shared" ca="1" si="39"/>
        <v>Okay</v>
      </c>
      <c r="AR119" s="512">
        <f t="shared" si="40"/>
        <v>0</v>
      </c>
      <c r="AS119" s="511" t="str">
        <f>IF(OR(Measures!AM119="Row Not Used",Measures!C119="Controls Only",Measures!C119="Decommissioning"),"",_xlfn.CONCAT(P119," ",Q119))</f>
        <v/>
      </c>
      <c r="AT119" s="264" t="str">
        <f t="shared" si="41"/>
        <v>None</v>
      </c>
      <c r="AU119" s="229">
        <f>IF(OR(AM119="Row Not Used",AM119="Controls Only"),0,INDEX(IncentiveRateTable[Incentive Rate],MATCH(AT119,IncentiveRateTable[Incentive Name],0)))</f>
        <v>0</v>
      </c>
      <c r="AV119" s="133" t="str">
        <f>IF(OR(AM119="Row Not Used",AM119="Controls Only"),"None",INDEX(IncentiveRateTable[Incentive Unit],MATCH(AT119,IncentiveRateTable[Incentive Name],0)))</f>
        <v>None</v>
      </c>
      <c r="AW119" s="578">
        <f t="shared" si="52"/>
        <v>0</v>
      </c>
      <c r="AX119" s="264" t="str">
        <f t="shared" si="42"/>
        <v>None</v>
      </c>
      <c r="AY119" s="229">
        <f>IF(OR(AM119="Row Not Used",AM119="Fixtures Only",AM119="Decommissioning"),0,INDEX(IncentiveRateTable[Incentive Rate],MATCH(AX119,IncentiveRateTable[Incentive Name],0)))</f>
        <v>0</v>
      </c>
      <c r="AZ119" s="133" t="str">
        <f>IF(OR(AM119="Row Not Used",AM119="Fixtures Only",AM119="Decommissioning"),"None",INDEX(IncentiveRateTable[Incentive Unit],MATCH(AX119,IncentiveRateTable[Incentive Name],0)))</f>
        <v>None</v>
      </c>
      <c r="BA119" s="465">
        <f t="shared" si="43"/>
        <v>0</v>
      </c>
      <c r="BB119" s="264" t="e" cm="1">
        <f t="array" ref="BB119">INDEX(BallastFactorTable[Commercial BPA Reference Number],MATCH(1,(BallastFactorTable[Fixture Class]=J119)*(BallastFactorTable[Fixture Category]=K119)*(BallastFactorTable[Fixture Sub-category]=L119),0))</f>
        <v>#N/A</v>
      </c>
      <c r="BC119" s="133" t="e" cm="1">
        <f t="array" ref="BC119">INDEX(BallastFactorTable[Industrial BPA Reference Number],MATCH(1,(BallastFactorTable[Fixture Class]=J119)*(BallastFactorTable[Fixture Category]=K119)*(BallastFactorTable[Fixture Sub-category]=L119),0))</f>
        <v>#N/A</v>
      </c>
      <c r="BD119" s="264" t="str">
        <f t="shared" si="44"/>
        <v>Sector is blank</v>
      </c>
      <c r="BE119" s="269" t="str">
        <f>IF(ISBLANK(SectorField),"Sector is blank",IF(AM119="Row Not Used","",IF(OR(R119="No Controls",ISBLANK(R119)),"",INDEX(ControlsBPARefNoTable[Reference Number],MATCH(SectorField,ControlsBPARefNoTable[Sector],0)))))</f>
        <v>Sector is blank</v>
      </c>
      <c r="BF119" s="530" t="str">
        <f t="shared" si="45"/>
        <v/>
      </c>
      <c r="BG119" s="132" t="str">
        <f t="shared" si="46"/>
        <v/>
      </c>
      <c r="BH119" s="531" t="str">
        <f t="shared" si="47"/>
        <v/>
      </c>
      <c r="BI119" s="532"/>
      <c r="BJ119" s="538" t="str">
        <f t="shared" si="53"/>
        <v/>
      </c>
      <c r="BK119" s="539" t="str">
        <f t="shared" si="54"/>
        <v/>
      </c>
      <c r="BL119" s="547" t="str">
        <f t="shared" si="55"/>
        <v/>
      </c>
    </row>
    <row r="120" spans="1:64" x14ac:dyDescent="0.3">
      <c r="A120" s="133">
        <v>113</v>
      </c>
      <c r="B120" s="294"/>
      <c r="C120" s="313"/>
      <c r="D120" s="292"/>
      <c r="E120" s="284"/>
      <c r="F120" s="284"/>
      <c r="G120" s="295"/>
      <c r="H120" s="296"/>
      <c r="I120" s="297"/>
      <c r="J120" s="292"/>
      <c r="K120" s="284"/>
      <c r="L120" s="284"/>
      <c r="M120" s="295"/>
      <c r="N120" s="296"/>
      <c r="O120" s="296"/>
      <c r="P120" s="284"/>
      <c r="Q120" s="298"/>
      <c r="R120" s="292"/>
      <c r="S120" s="299"/>
      <c r="T120" s="300"/>
      <c r="U120" s="317" t="str">
        <f t="shared" si="29"/>
        <v/>
      </c>
      <c r="V120" s="301"/>
      <c r="W120" s="137" t="str">
        <f t="shared" si="30"/>
        <v/>
      </c>
      <c r="X120" s="589" t="str">
        <f t="shared" si="48"/>
        <v/>
      </c>
      <c r="Y120" s="581"/>
      <c r="Z120" s="251" t="str">
        <f t="shared" si="31"/>
        <v/>
      </c>
      <c r="AA120" s="138" t="str">
        <f t="shared" si="56"/>
        <v/>
      </c>
      <c r="AB120" s="243" t="str">
        <f t="shared" si="49"/>
        <v/>
      </c>
      <c r="AC120" s="141" t="str">
        <f t="shared" si="32"/>
        <v/>
      </c>
      <c r="AD120" s="138" t="str">
        <f t="shared" si="50"/>
        <v/>
      </c>
      <c r="AE120" s="243" t="str">
        <f t="shared" si="33"/>
        <v/>
      </c>
      <c r="AF120" s="342" t="str">
        <f>IF(AM120="Row Not Used","",INDEX(SpaceTable[Annual Hours],(MATCH(B120,SpaceTable[Space Name Concatenated Helper],0))))</f>
        <v/>
      </c>
      <c r="AG120" s="205" t="str">
        <f t="shared" si="34"/>
        <v/>
      </c>
      <c r="AH120" s="234" t="str">
        <f t="shared" si="35"/>
        <v/>
      </c>
      <c r="AI120" s="205" t="str">
        <f t="shared" si="36"/>
        <v/>
      </c>
      <c r="AJ120" s="234" t="str">
        <f t="shared" si="37"/>
        <v/>
      </c>
      <c r="AK120" s="144" t="str">
        <f>IF(AM120="Row Not Used","",INDEX(SpaceTable[Row],(MATCH(B120,SpaceTable[Space Name Concatenated Helper],0))))</f>
        <v/>
      </c>
      <c r="AL120" s="238" t="str">
        <f>IF(AM120="Row Not Used","",INDEX(SpaceTable[HVAC Factor],(MATCH(B120,SpaceTable[Space Name Concatenated Helper],0))))</f>
        <v/>
      </c>
      <c r="AM120" s="520" t="str">
        <f t="shared" si="38"/>
        <v>Row Not Used</v>
      </c>
      <c r="AN120" s="512" t="e" cm="1">
        <f t="array" ref="AN120">INDEX(BallastFactorTable[Ballast Factor],MATCH(1,(BallastFactorTable[Fixture Class]=D120)*(BallastFactorTable[Fixture Category]=E120)*(BallastFactorTable[Fixture Sub-category]=F120),0))</f>
        <v>#N/A</v>
      </c>
      <c r="AO120" s="143" t="str">
        <f t="shared" si="51"/>
        <v/>
      </c>
      <c r="AP120" s="501" t="e" cm="1">
        <f t="array" ref="AP120">INDEX(BallastFactorTable[Wattage Range Name],MATCH(1,(BallastFactorTable[Fixture Class]=D120)*(BallastFactorTable[Fixture Category]=E120)*(BallastFactorTable[Fixture Sub-category]=F120),0))</f>
        <v>#N/A</v>
      </c>
      <c r="AQ120" s="515" t="str">
        <f t="shared" ca="1" si="39"/>
        <v>Okay</v>
      </c>
      <c r="AR120" s="512">
        <f t="shared" si="40"/>
        <v>0</v>
      </c>
      <c r="AS120" s="511" t="str">
        <f>IF(OR(Measures!AM120="Row Not Used",Measures!C120="Controls Only",Measures!C120="Decommissioning"),"",_xlfn.CONCAT(P120," ",Q120))</f>
        <v/>
      </c>
      <c r="AT120" s="264" t="str">
        <f t="shared" si="41"/>
        <v>None</v>
      </c>
      <c r="AU120" s="229">
        <f>IF(OR(AM120="Row Not Used",AM120="Controls Only"),0,INDEX(IncentiveRateTable[Incentive Rate],MATCH(AT120,IncentiveRateTable[Incentive Name],0)))</f>
        <v>0</v>
      </c>
      <c r="AV120" s="133" t="str">
        <f>IF(OR(AM120="Row Not Used",AM120="Controls Only"),"None",INDEX(IncentiveRateTable[Incentive Unit],MATCH(AT120,IncentiveRateTable[Incentive Name],0)))</f>
        <v>None</v>
      </c>
      <c r="AW120" s="578">
        <f t="shared" si="52"/>
        <v>0</v>
      </c>
      <c r="AX120" s="264" t="str">
        <f t="shared" si="42"/>
        <v>None</v>
      </c>
      <c r="AY120" s="229">
        <f>IF(OR(AM120="Row Not Used",AM120="Fixtures Only",AM120="Decommissioning"),0,INDEX(IncentiveRateTable[Incentive Rate],MATCH(AX120,IncentiveRateTable[Incentive Name],0)))</f>
        <v>0</v>
      </c>
      <c r="AZ120" s="133" t="str">
        <f>IF(OR(AM120="Row Not Used",AM120="Fixtures Only",AM120="Decommissioning"),"None",INDEX(IncentiveRateTable[Incentive Unit],MATCH(AX120,IncentiveRateTable[Incentive Name],0)))</f>
        <v>None</v>
      </c>
      <c r="BA120" s="465">
        <f t="shared" si="43"/>
        <v>0</v>
      </c>
      <c r="BB120" s="264" t="e" cm="1">
        <f t="array" ref="BB120">INDEX(BallastFactorTable[Commercial BPA Reference Number],MATCH(1,(BallastFactorTable[Fixture Class]=J120)*(BallastFactorTable[Fixture Category]=K120)*(BallastFactorTable[Fixture Sub-category]=L120),0))</f>
        <v>#N/A</v>
      </c>
      <c r="BC120" s="133" t="e" cm="1">
        <f t="array" ref="BC120">INDEX(BallastFactorTable[Industrial BPA Reference Number],MATCH(1,(BallastFactorTable[Fixture Class]=J120)*(BallastFactorTable[Fixture Category]=K120)*(BallastFactorTable[Fixture Sub-category]=L120),0))</f>
        <v>#N/A</v>
      </c>
      <c r="BD120" s="264" t="str">
        <f t="shared" si="44"/>
        <v>Sector is blank</v>
      </c>
      <c r="BE120" s="269" t="str">
        <f>IF(ISBLANK(SectorField),"Sector is blank",IF(AM120="Row Not Used","",IF(OR(R120="No Controls",ISBLANK(R120)),"",INDEX(ControlsBPARefNoTable[Reference Number],MATCH(SectorField,ControlsBPARefNoTable[Sector],0)))))</f>
        <v>Sector is blank</v>
      </c>
      <c r="BF120" s="530" t="str">
        <f t="shared" si="45"/>
        <v/>
      </c>
      <c r="BG120" s="132" t="str">
        <f t="shared" si="46"/>
        <v/>
      </c>
      <c r="BH120" s="531" t="str">
        <f t="shared" si="47"/>
        <v/>
      </c>
      <c r="BI120" s="532"/>
      <c r="BJ120" s="538" t="str">
        <f t="shared" si="53"/>
        <v/>
      </c>
      <c r="BK120" s="539" t="str">
        <f t="shared" si="54"/>
        <v/>
      </c>
      <c r="BL120" s="547" t="str">
        <f t="shared" si="55"/>
        <v/>
      </c>
    </row>
    <row r="121" spans="1:64" x14ac:dyDescent="0.3">
      <c r="A121" s="133">
        <v>114</v>
      </c>
      <c r="B121" s="294"/>
      <c r="C121" s="313"/>
      <c r="D121" s="292"/>
      <c r="E121" s="284"/>
      <c r="F121" s="284"/>
      <c r="G121" s="295"/>
      <c r="H121" s="296"/>
      <c r="I121" s="297"/>
      <c r="J121" s="292"/>
      <c r="K121" s="284"/>
      <c r="L121" s="284"/>
      <c r="M121" s="295"/>
      <c r="N121" s="296"/>
      <c r="O121" s="296"/>
      <c r="P121" s="284"/>
      <c r="Q121" s="298"/>
      <c r="R121" s="292"/>
      <c r="S121" s="299"/>
      <c r="T121" s="300"/>
      <c r="U121" s="317" t="str">
        <f t="shared" si="29"/>
        <v/>
      </c>
      <c r="V121" s="301"/>
      <c r="W121" s="136" t="str">
        <f t="shared" si="30"/>
        <v/>
      </c>
      <c r="X121" s="588" t="str">
        <f t="shared" si="48"/>
        <v/>
      </c>
      <c r="Y121" s="580"/>
      <c r="Z121" s="251" t="str">
        <f t="shared" si="31"/>
        <v/>
      </c>
      <c r="AA121" s="138" t="str">
        <f t="shared" si="56"/>
        <v/>
      </c>
      <c r="AB121" s="243" t="str">
        <f t="shared" si="49"/>
        <v/>
      </c>
      <c r="AC121" s="141" t="str">
        <f t="shared" si="32"/>
        <v/>
      </c>
      <c r="AD121" s="138" t="str">
        <f t="shared" si="50"/>
        <v/>
      </c>
      <c r="AE121" s="243" t="str">
        <f t="shared" si="33"/>
        <v/>
      </c>
      <c r="AF121" s="342" t="str">
        <f>IF(AM121="Row Not Used","",INDEX(SpaceTable[Annual Hours],(MATCH(B121,SpaceTable[Space Name Concatenated Helper],0))))</f>
        <v/>
      </c>
      <c r="AG121" s="205" t="str">
        <f t="shared" si="34"/>
        <v/>
      </c>
      <c r="AH121" s="234" t="str">
        <f t="shared" si="35"/>
        <v/>
      </c>
      <c r="AI121" s="205" t="str">
        <f t="shared" si="36"/>
        <v/>
      </c>
      <c r="AJ121" s="234" t="str">
        <f t="shared" si="37"/>
        <v/>
      </c>
      <c r="AK121" s="144" t="str">
        <f>IF(AM121="Row Not Used","",INDEX(SpaceTable[Row],(MATCH(B121,SpaceTable[Space Name Concatenated Helper],0))))</f>
        <v/>
      </c>
      <c r="AL121" s="238" t="str">
        <f>IF(AM121="Row Not Used","",INDEX(SpaceTable[HVAC Factor],(MATCH(B121,SpaceTable[Space Name Concatenated Helper],0))))</f>
        <v/>
      </c>
      <c r="AM121" s="520" t="str">
        <f t="shared" si="38"/>
        <v>Row Not Used</v>
      </c>
      <c r="AN121" s="512" t="e" cm="1">
        <f t="array" ref="AN121">INDEX(BallastFactorTable[Ballast Factor],MATCH(1,(BallastFactorTable[Fixture Class]=D121)*(BallastFactorTable[Fixture Category]=E121)*(BallastFactorTable[Fixture Sub-category]=F121),0))</f>
        <v>#N/A</v>
      </c>
      <c r="AO121" s="143" t="str">
        <f t="shared" si="51"/>
        <v/>
      </c>
      <c r="AP121" s="501" t="e" cm="1">
        <f t="array" ref="AP121">INDEX(BallastFactorTable[Wattage Range Name],MATCH(1,(BallastFactorTable[Fixture Class]=D121)*(BallastFactorTable[Fixture Category]=E121)*(BallastFactorTable[Fixture Sub-category]=F121),0))</f>
        <v>#N/A</v>
      </c>
      <c r="AQ121" s="515" t="str">
        <f t="shared" ca="1" si="39"/>
        <v>Okay</v>
      </c>
      <c r="AR121" s="512">
        <f t="shared" si="40"/>
        <v>0</v>
      </c>
      <c r="AS121" s="511" t="str">
        <f>IF(OR(Measures!AM121="Row Not Used",Measures!C121="Controls Only",Measures!C121="Decommissioning"),"",_xlfn.CONCAT(P121," ",Q121))</f>
        <v/>
      </c>
      <c r="AT121" s="264" t="str">
        <f t="shared" si="41"/>
        <v>None</v>
      </c>
      <c r="AU121" s="229">
        <f>IF(OR(AM121="Row Not Used",AM121="Controls Only"),0,INDEX(IncentiveRateTable[Incentive Rate],MATCH(AT121,IncentiveRateTable[Incentive Name],0)))</f>
        <v>0</v>
      </c>
      <c r="AV121" s="133" t="str">
        <f>IF(OR(AM121="Row Not Used",AM121="Controls Only"),"None",INDEX(IncentiveRateTable[Incentive Unit],MATCH(AT121,IncentiveRateTable[Incentive Name],0)))</f>
        <v>None</v>
      </c>
      <c r="AW121" s="578">
        <f t="shared" si="52"/>
        <v>0</v>
      </c>
      <c r="AX121" s="264" t="str">
        <f t="shared" si="42"/>
        <v>None</v>
      </c>
      <c r="AY121" s="229">
        <f>IF(OR(AM121="Row Not Used",AM121="Fixtures Only",AM121="Decommissioning"),0,INDEX(IncentiveRateTable[Incentive Rate],MATCH(AX121,IncentiveRateTable[Incentive Name],0)))</f>
        <v>0</v>
      </c>
      <c r="AZ121" s="133" t="str">
        <f>IF(OR(AM121="Row Not Used",AM121="Fixtures Only",AM121="Decommissioning"),"None",INDEX(IncentiveRateTable[Incentive Unit],MATCH(AX121,IncentiveRateTable[Incentive Name],0)))</f>
        <v>None</v>
      </c>
      <c r="BA121" s="465">
        <f t="shared" si="43"/>
        <v>0</v>
      </c>
      <c r="BB121" s="264" t="e" cm="1">
        <f t="array" ref="BB121">INDEX(BallastFactorTable[Commercial BPA Reference Number],MATCH(1,(BallastFactorTable[Fixture Class]=J121)*(BallastFactorTable[Fixture Category]=K121)*(BallastFactorTable[Fixture Sub-category]=L121),0))</f>
        <v>#N/A</v>
      </c>
      <c r="BC121" s="133" t="e" cm="1">
        <f t="array" ref="BC121">INDEX(BallastFactorTable[Industrial BPA Reference Number],MATCH(1,(BallastFactorTable[Fixture Class]=J121)*(BallastFactorTable[Fixture Category]=K121)*(BallastFactorTable[Fixture Sub-category]=L121),0))</f>
        <v>#N/A</v>
      </c>
      <c r="BD121" s="264" t="str">
        <f t="shared" si="44"/>
        <v>Sector is blank</v>
      </c>
      <c r="BE121" s="269" t="str">
        <f>IF(ISBLANK(SectorField),"Sector is blank",IF(AM121="Row Not Used","",IF(OR(R121="No Controls",ISBLANK(R121)),"",INDEX(ControlsBPARefNoTable[Reference Number],MATCH(SectorField,ControlsBPARefNoTable[Sector],0)))))</f>
        <v>Sector is blank</v>
      </c>
      <c r="BF121" s="530" t="str">
        <f t="shared" si="45"/>
        <v/>
      </c>
      <c r="BG121" s="132" t="str">
        <f t="shared" si="46"/>
        <v/>
      </c>
      <c r="BH121" s="531" t="str">
        <f t="shared" si="47"/>
        <v/>
      </c>
      <c r="BI121" s="532"/>
      <c r="BJ121" s="538" t="str">
        <f t="shared" si="53"/>
        <v/>
      </c>
      <c r="BK121" s="539" t="str">
        <f t="shared" si="54"/>
        <v/>
      </c>
      <c r="BL121" s="547" t="str">
        <f t="shared" si="55"/>
        <v/>
      </c>
    </row>
    <row r="122" spans="1:64" x14ac:dyDescent="0.3">
      <c r="A122" s="133">
        <v>115</v>
      </c>
      <c r="B122" s="294"/>
      <c r="C122" s="313"/>
      <c r="D122" s="292"/>
      <c r="E122" s="284"/>
      <c r="F122" s="284"/>
      <c r="G122" s="295"/>
      <c r="H122" s="296"/>
      <c r="I122" s="297"/>
      <c r="J122" s="292"/>
      <c r="K122" s="284"/>
      <c r="L122" s="284"/>
      <c r="M122" s="295"/>
      <c r="N122" s="296"/>
      <c r="O122" s="296"/>
      <c r="P122" s="284"/>
      <c r="Q122" s="298"/>
      <c r="R122" s="292"/>
      <c r="S122" s="299"/>
      <c r="T122" s="300"/>
      <c r="U122" s="317" t="str">
        <f t="shared" si="29"/>
        <v/>
      </c>
      <c r="V122" s="301"/>
      <c r="W122" s="137" t="str">
        <f t="shared" si="30"/>
        <v/>
      </c>
      <c r="X122" s="589" t="str">
        <f t="shared" si="48"/>
        <v/>
      </c>
      <c r="Y122" s="581"/>
      <c r="Z122" s="251" t="str">
        <f t="shared" si="31"/>
        <v/>
      </c>
      <c r="AA122" s="138" t="str">
        <f t="shared" si="56"/>
        <v/>
      </c>
      <c r="AB122" s="243" t="str">
        <f t="shared" si="49"/>
        <v/>
      </c>
      <c r="AC122" s="141" t="str">
        <f t="shared" si="32"/>
        <v/>
      </c>
      <c r="AD122" s="138" t="str">
        <f t="shared" si="50"/>
        <v/>
      </c>
      <c r="AE122" s="243" t="str">
        <f t="shared" si="33"/>
        <v/>
      </c>
      <c r="AF122" s="342" t="str">
        <f>IF(AM122="Row Not Used","",INDEX(SpaceTable[Annual Hours],(MATCH(B122,SpaceTable[Space Name Concatenated Helper],0))))</f>
        <v/>
      </c>
      <c r="AG122" s="205" t="str">
        <f t="shared" si="34"/>
        <v/>
      </c>
      <c r="AH122" s="234" t="str">
        <f t="shared" si="35"/>
        <v/>
      </c>
      <c r="AI122" s="205" t="str">
        <f t="shared" si="36"/>
        <v/>
      </c>
      <c r="AJ122" s="234" t="str">
        <f t="shared" si="37"/>
        <v/>
      </c>
      <c r="AK122" s="144" t="str">
        <f>IF(AM122="Row Not Used","",INDEX(SpaceTable[Row],(MATCH(B122,SpaceTable[Space Name Concatenated Helper],0))))</f>
        <v/>
      </c>
      <c r="AL122" s="238" t="str">
        <f>IF(AM122="Row Not Used","",INDEX(SpaceTable[HVAC Factor],(MATCH(B122,SpaceTable[Space Name Concatenated Helper],0))))</f>
        <v/>
      </c>
      <c r="AM122" s="520" t="str">
        <f t="shared" si="38"/>
        <v>Row Not Used</v>
      </c>
      <c r="AN122" s="512" t="e" cm="1">
        <f t="array" ref="AN122">INDEX(BallastFactorTable[Ballast Factor],MATCH(1,(BallastFactorTable[Fixture Class]=D122)*(BallastFactorTable[Fixture Category]=E122)*(BallastFactorTable[Fixture Sub-category]=F122),0))</f>
        <v>#N/A</v>
      </c>
      <c r="AO122" s="143" t="str">
        <f t="shared" si="51"/>
        <v/>
      </c>
      <c r="AP122" s="501" t="e" cm="1">
        <f t="array" ref="AP122">INDEX(BallastFactorTable[Wattage Range Name],MATCH(1,(BallastFactorTable[Fixture Class]=D122)*(BallastFactorTable[Fixture Category]=E122)*(BallastFactorTable[Fixture Sub-category]=F122),0))</f>
        <v>#N/A</v>
      </c>
      <c r="AQ122" s="515" t="str">
        <f t="shared" ca="1" si="39"/>
        <v>Okay</v>
      </c>
      <c r="AR122" s="512">
        <f t="shared" si="40"/>
        <v>0</v>
      </c>
      <c r="AS122" s="511" t="str">
        <f>IF(OR(Measures!AM122="Row Not Used",Measures!C122="Controls Only",Measures!C122="Decommissioning"),"",_xlfn.CONCAT(P122," ",Q122))</f>
        <v/>
      </c>
      <c r="AT122" s="264" t="str">
        <f t="shared" si="41"/>
        <v>None</v>
      </c>
      <c r="AU122" s="229">
        <f>IF(OR(AM122="Row Not Used",AM122="Controls Only"),0,INDEX(IncentiveRateTable[Incentive Rate],MATCH(AT122,IncentiveRateTable[Incentive Name],0)))</f>
        <v>0</v>
      </c>
      <c r="AV122" s="133" t="str">
        <f>IF(OR(AM122="Row Not Used",AM122="Controls Only"),"None",INDEX(IncentiveRateTable[Incentive Unit],MATCH(AT122,IncentiveRateTable[Incentive Name],0)))</f>
        <v>None</v>
      </c>
      <c r="AW122" s="578">
        <f t="shared" si="52"/>
        <v>0</v>
      </c>
      <c r="AX122" s="264" t="str">
        <f t="shared" si="42"/>
        <v>None</v>
      </c>
      <c r="AY122" s="229">
        <f>IF(OR(AM122="Row Not Used",AM122="Fixtures Only",AM122="Decommissioning"),0,INDEX(IncentiveRateTable[Incentive Rate],MATCH(AX122,IncentiveRateTable[Incentive Name],0)))</f>
        <v>0</v>
      </c>
      <c r="AZ122" s="133" t="str">
        <f>IF(OR(AM122="Row Not Used",AM122="Fixtures Only",AM122="Decommissioning"),"None",INDEX(IncentiveRateTable[Incentive Unit],MATCH(AX122,IncentiveRateTable[Incentive Name],0)))</f>
        <v>None</v>
      </c>
      <c r="BA122" s="465">
        <f t="shared" si="43"/>
        <v>0</v>
      </c>
      <c r="BB122" s="264" t="e" cm="1">
        <f t="array" ref="BB122">INDEX(BallastFactorTable[Commercial BPA Reference Number],MATCH(1,(BallastFactorTable[Fixture Class]=J122)*(BallastFactorTable[Fixture Category]=K122)*(BallastFactorTable[Fixture Sub-category]=L122),0))</f>
        <v>#N/A</v>
      </c>
      <c r="BC122" s="133" t="e" cm="1">
        <f t="array" ref="BC122">INDEX(BallastFactorTable[Industrial BPA Reference Number],MATCH(1,(BallastFactorTable[Fixture Class]=J122)*(BallastFactorTable[Fixture Category]=K122)*(BallastFactorTable[Fixture Sub-category]=L122),0))</f>
        <v>#N/A</v>
      </c>
      <c r="BD122" s="264" t="str">
        <f t="shared" si="44"/>
        <v>Sector is blank</v>
      </c>
      <c r="BE122" s="269" t="str">
        <f>IF(ISBLANK(SectorField),"Sector is blank",IF(AM122="Row Not Used","",IF(OR(R122="No Controls",ISBLANK(R122)),"",INDEX(ControlsBPARefNoTable[Reference Number],MATCH(SectorField,ControlsBPARefNoTable[Sector],0)))))</f>
        <v>Sector is blank</v>
      </c>
      <c r="BF122" s="530" t="str">
        <f t="shared" si="45"/>
        <v/>
      </c>
      <c r="BG122" s="132" t="str">
        <f t="shared" si="46"/>
        <v/>
      </c>
      <c r="BH122" s="531" t="str">
        <f t="shared" si="47"/>
        <v/>
      </c>
      <c r="BI122" s="532"/>
      <c r="BJ122" s="538" t="str">
        <f t="shared" si="53"/>
        <v/>
      </c>
      <c r="BK122" s="539" t="str">
        <f t="shared" si="54"/>
        <v/>
      </c>
      <c r="BL122" s="547" t="str">
        <f t="shared" si="55"/>
        <v/>
      </c>
    </row>
    <row r="123" spans="1:64" x14ac:dyDescent="0.3">
      <c r="A123" s="133">
        <v>116</v>
      </c>
      <c r="B123" s="294"/>
      <c r="C123" s="313"/>
      <c r="D123" s="292"/>
      <c r="E123" s="284"/>
      <c r="F123" s="284"/>
      <c r="G123" s="295"/>
      <c r="H123" s="296"/>
      <c r="I123" s="297"/>
      <c r="J123" s="292"/>
      <c r="K123" s="284"/>
      <c r="L123" s="284"/>
      <c r="M123" s="295"/>
      <c r="N123" s="296"/>
      <c r="O123" s="296"/>
      <c r="P123" s="284"/>
      <c r="Q123" s="298"/>
      <c r="R123" s="292"/>
      <c r="S123" s="299"/>
      <c r="T123" s="300"/>
      <c r="U123" s="317" t="str">
        <f t="shared" si="29"/>
        <v/>
      </c>
      <c r="V123" s="301"/>
      <c r="W123" s="136" t="str">
        <f t="shared" si="30"/>
        <v/>
      </c>
      <c r="X123" s="588" t="str">
        <f t="shared" si="48"/>
        <v/>
      </c>
      <c r="Y123" s="580"/>
      <c r="Z123" s="251" t="str">
        <f t="shared" si="31"/>
        <v/>
      </c>
      <c r="AA123" s="138" t="str">
        <f t="shared" si="56"/>
        <v/>
      </c>
      <c r="AB123" s="243" t="str">
        <f t="shared" si="49"/>
        <v/>
      </c>
      <c r="AC123" s="141" t="str">
        <f t="shared" si="32"/>
        <v/>
      </c>
      <c r="AD123" s="138" t="str">
        <f t="shared" si="50"/>
        <v/>
      </c>
      <c r="AE123" s="243" t="str">
        <f t="shared" si="33"/>
        <v/>
      </c>
      <c r="AF123" s="342" t="str">
        <f>IF(AM123="Row Not Used","",INDEX(SpaceTable[Annual Hours],(MATCH(B123,SpaceTable[Space Name Concatenated Helper],0))))</f>
        <v/>
      </c>
      <c r="AG123" s="205" t="str">
        <f t="shared" si="34"/>
        <v/>
      </c>
      <c r="AH123" s="234" t="str">
        <f t="shared" si="35"/>
        <v/>
      </c>
      <c r="AI123" s="205" t="str">
        <f t="shared" si="36"/>
        <v/>
      </c>
      <c r="AJ123" s="234" t="str">
        <f t="shared" si="37"/>
        <v/>
      </c>
      <c r="AK123" s="144" t="str">
        <f>IF(AM123="Row Not Used","",INDEX(SpaceTable[Row],(MATCH(B123,SpaceTable[Space Name Concatenated Helper],0))))</f>
        <v/>
      </c>
      <c r="AL123" s="238" t="str">
        <f>IF(AM123="Row Not Used","",INDEX(SpaceTable[HVAC Factor],(MATCH(B123,SpaceTable[Space Name Concatenated Helper],0))))</f>
        <v/>
      </c>
      <c r="AM123" s="520" t="str">
        <f t="shared" si="38"/>
        <v>Row Not Used</v>
      </c>
      <c r="AN123" s="512" t="e" cm="1">
        <f t="array" ref="AN123">INDEX(BallastFactorTable[Ballast Factor],MATCH(1,(BallastFactorTable[Fixture Class]=D123)*(BallastFactorTable[Fixture Category]=E123)*(BallastFactorTable[Fixture Sub-category]=F123),0))</f>
        <v>#N/A</v>
      </c>
      <c r="AO123" s="143" t="str">
        <f t="shared" si="51"/>
        <v/>
      </c>
      <c r="AP123" s="501" t="e" cm="1">
        <f t="array" ref="AP123">INDEX(BallastFactorTable[Wattage Range Name],MATCH(1,(BallastFactorTable[Fixture Class]=D123)*(BallastFactorTable[Fixture Category]=E123)*(BallastFactorTable[Fixture Sub-category]=F123),0))</f>
        <v>#N/A</v>
      </c>
      <c r="AQ123" s="515" t="str">
        <f t="shared" ca="1" si="39"/>
        <v>Okay</v>
      </c>
      <c r="AR123" s="512">
        <f t="shared" si="40"/>
        <v>0</v>
      </c>
      <c r="AS123" s="511" t="str">
        <f>IF(OR(Measures!AM123="Row Not Used",Measures!C123="Controls Only",Measures!C123="Decommissioning"),"",_xlfn.CONCAT(P123," ",Q123))</f>
        <v/>
      </c>
      <c r="AT123" s="264" t="str">
        <f t="shared" si="41"/>
        <v>None</v>
      </c>
      <c r="AU123" s="229">
        <f>IF(OR(AM123="Row Not Used",AM123="Controls Only"),0,INDEX(IncentiveRateTable[Incentive Rate],MATCH(AT123,IncentiveRateTable[Incentive Name],0)))</f>
        <v>0</v>
      </c>
      <c r="AV123" s="133" t="str">
        <f>IF(OR(AM123="Row Not Used",AM123="Controls Only"),"None",INDEX(IncentiveRateTable[Incentive Unit],MATCH(AT123,IncentiveRateTable[Incentive Name],0)))</f>
        <v>None</v>
      </c>
      <c r="AW123" s="578">
        <f t="shared" si="52"/>
        <v>0</v>
      </c>
      <c r="AX123" s="264" t="str">
        <f t="shared" si="42"/>
        <v>None</v>
      </c>
      <c r="AY123" s="229">
        <f>IF(OR(AM123="Row Not Used",AM123="Fixtures Only",AM123="Decommissioning"),0,INDEX(IncentiveRateTable[Incentive Rate],MATCH(AX123,IncentiveRateTable[Incentive Name],0)))</f>
        <v>0</v>
      </c>
      <c r="AZ123" s="133" t="str">
        <f>IF(OR(AM123="Row Not Used",AM123="Fixtures Only",AM123="Decommissioning"),"None",INDEX(IncentiveRateTable[Incentive Unit],MATCH(AX123,IncentiveRateTable[Incentive Name],0)))</f>
        <v>None</v>
      </c>
      <c r="BA123" s="465">
        <f t="shared" si="43"/>
        <v>0</v>
      </c>
      <c r="BB123" s="264" t="e" cm="1">
        <f t="array" ref="BB123">INDEX(BallastFactorTable[Commercial BPA Reference Number],MATCH(1,(BallastFactorTable[Fixture Class]=J123)*(BallastFactorTable[Fixture Category]=K123)*(BallastFactorTable[Fixture Sub-category]=L123),0))</f>
        <v>#N/A</v>
      </c>
      <c r="BC123" s="133" t="e" cm="1">
        <f t="array" ref="BC123">INDEX(BallastFactorTable[Industrial BPA Reference Number],MATCH(1,(BallastFactorTable[Fixture Class]=J123)*(BallastFactorTable[Fixture Category]=K123)*(BallastFactorTable[Fixture Sub-category]=L123),0))</f>
        <v>#N/A</v>
      </c>
      <c r="BD123" s="264" t="str">
        <f t="shared" si="44"/>
        <v>Sector is blank</v>
      </c>
      <c r="BE123" s="269" t="str">
        <f>IF(ISBLANK(SectorField),"Sector is blank",IF(AM123="Row Not Used","",IF(OR(R123="No Controls",ISBLANK(R123)),"",INDEX(ControlsBPARefNoTable[Reference Number],MATCH(SectorField,ControlsBPARefNoTable[Sector],0)))))</f>
        <v>Sector is blank</v>
      </c>
      <c r="BF123" s="530" t="str">
        <f t="shared" si="45"/>
        <v/>
      </c>
      <c r="BG123" s="132" t="str">
        <f t="shared" si="46"/>
        <v/>
      </c>
      <c r="BH123" s="531" t="str">
        <f t="shared" si="47"/>
        <v/>
      </c>
      <c r="BI123" s="532"/>
      <c r="BJ123" s="538" t="str">
        <f t="shared" si="53"/>
        <v/>
      </c>
      <c r="BK123" s="539" t="str">
        <f t="shared" si="54"/>
        <v/>
      </c>
      <c r="BL123" s="547" t="str">
        <f t="shared" si="55"/>
        <v/>
      </c>
    </row>
    <row r="124" spans="1:64" x14ac:dyDescent="0.3">
      <c r="A124" s="133">
        <v>117</v>
      </c>
      <c r="B124" s="294"/>
      <c r="C124" s="313"/>
      <c r="D124" s="292"/>
      <c r="E124" s="284"/>
      <c r="F124" s="284"/>
      <c r="G124" s="295"/>
      <c r="H124" s="296"/>
      <c r="I124" s="297"/>
      <c r="J124" s="292"/>
      <c r="K124" s="284"/>
      <c r="L124" s="284"/>
      <c r="M124" s="295"/>
      <c r="N124" s="296"/>
      <c r="O124" s="296"/>
      <c r="P124" s="284"/>
      <c r="Q124" s="298"/>
      <c r="R124" s="292"/>
      <c r="S124" s="299"/>
      <c r="T124" s="300"/>
      <c r="U124" s="317" t="str">
        <f t="shared" si="29"/>
        <v/>
      </c>
      <c r="V124" s="301"/>
      <c r="W124" s="137" t="str">
        <f t="shared" si="30"/>
        <v/>
      </c>
      <c r="X124" s="589" t="str">
        <f t="shared" si="48"/>
        <v/>
      </c>
      <c r="Y124" s="581"/>
      <c r="Z124" s="251" t="str">
        <f t="shared" si="31"/>
        <v/>
      </c>
      <c r="AA124" s="138" t="str">
        <f t="shared" si="56"/>
        <v/>
      </c>
      <c r="AB124" s="243" t="str">
        <f t="shared" si="49"/>
        <v/>
      </c>
      <c r="AC124" s="141" t="str">
        <f t="shared" si="32"/>
        <v/>
      </c>
      <c r="AD124" s="138" t="str">
        <f t="shared" si="50"/>
        <v/>
      </c>
      <c r="AE124" s="243" t="str">
        <f t="shared" si="33"/>
        <v/>
      </c>
      <c r="AF124" s="342" t="str">
        <f>IF(AM124="Row Not Used","",INDEX(SpaceTable[Annual Hours],(MATCH(B124,SpaceTable[Space Name Concatenated Helper],0))))</f>
        <v/>
      </c>
      <c r="AG124" s="205" t="str">
        <f t="shared" si="34"/>
        <v/>
      </c>
      <c r="AH124" s="234" t="str">
        <f t="shared" si="35"/>
        <v/>
      </c>
      <c r="AI124" s="205" t="str">
        <f t="shared" si="36"/>
        <v/>
      </c>
      <c r="AJ124" s="234" t="str">
        <f t="shared" si="37"/>
        <v/>
      </c>
      <c r="AK124" s="144" t="str">
        <f>IF(AM124="Row Not Used","",INDEX(SpaceTable[Row],(MATCH(B124,SpaceTable[Space Name Concatenated Helper],0))))</f>
        <v/>
      </c>
      <c r="AL124" s="238" t="str">
        <f>IF(AM124="Row Not Used","",INDEX(SpaceTable[HVAC Factor],(MATCH(B124,SpaceTable[Space Name Concatenated Helper],0))))</f>
        <v/>
      </c>
      <c r="AM124" s="520" t="str">
        <f t="shared" si="38"/>
        <v>Row Not Used</v>
      </c>
      <c r="AN124" s="512" t="e" cm="1">
        <f t="array" ref="AN124">INDEX(BallastFactorTable[Ballast Factor],MATCH(1,(BallastFactorTable[Fixture Class]=D124)*(BallastFactorTable[Fixture Category]=E124)*(BallastFactorTable[Fixture Sub-category]=F124),0))</f>
        <v>#N/A</v>
      </c>
      <c r="AO124" s="143" t="str">
        <f t="shared" si="51"/>
        <v/>
      </c>
      <c r="AP124" s="501" t="e" cm="1">
        <f t="array" ref="AP124">INDEX(BallastFactorTable[Wattage Range Name],MATCH(1,(BallastFactorTable[Fixture Class]=D124)*(BallastFactorTable[Fixture Category]=E124)*(BallastFactorTable[Fixture Sub-category]=F124),0))</f>
        <v>#N/A</v>
      </c>
      <c r="AQ124" s="515" t="str">
        <f t="shared" ca="1" si="39"/>
        <v>Okay</v>
      </c>
      <c r="AR124" s="512">
        <f t="shared" si="40"/>
        <v>0</v>
      </c>
      <c r="AS124" s="511" t="str">
        <f>IF(OR(Measures!AM124="Row Not Used",Measures!C124="Controls Only",Measures!C124="Decommissioning"),"",_xlfn.CONCAT(P124," ",Q124))</f>
        <v/>
      </c>
      <c r="AT124" s="264" t="str">
        <f t="shared" si="41"/>
        <v>None</v>
      </c>
      <c r="AU124" s="229">
        <f>IF(OR(AM124="Row Not Used",AM124="Controls Only"),0,INDEX(IncentiveRateTable[Incentive Rate],MATCH(AT124,IncentiveRateTable[Incentive Name],0)))</f>
        <v>0</v>
      </c>
      <c r="AV124" s="133" t="str">
        <f>IF(OR(AM124="Row Not Used",AM124="Controls Only"),"None",INDEX(IncentiveRateTable[Incentive Unit],MATCH(AT124,IncentiveRateTable[Incentive Name],0)))</f>
        <v>None</v>
      </c>
      <c r="AW124" s="578">
        <f t="shared" si="52"/>
        <v>0</v>
      </c>
      <c r="AX124" s="264" t="str">
        <f t="shared" si="42"/>
        <v>None</v>
      </c>
      <c r="AY124" s="229">
        <f>IF(OR(AM124="Row Not Used",AM124="Fixtures Only",AM124="Decommissioning"),0,INDEX(IncentiveRateTable[Incentive Rate],MATCH(AX124,IncentiveRateTable[Incentive Name],0)))</f>
        <v>0</v>
      </c>
      <c r="AZ124" s="133" t="str">
        <f>IF(OR(AM124="Row Not Used",AM124="Fixtures Only",AM124="Decommissioning"),"None",INDEX(IncentiveRateTable[Incentive Unit],MATCH(AX124,IncentiveRateTable[Incentive Name],0)))</f>
        <v>None</v>
      </c>
      <c r="BA124" s="465">
        <f t="shared" si="43"/>
        <v>0</v>
      </c>
      <c r="BB124" s="264" t="e" cm="1">
        <f t="array" ref="BB124">INDEX(BallastFactorTable[Commercial BPA Reference Number],MATCH(1,(BallastFactorTable[Fixture Class]=J124)*(BallastFactorTable[Fixture Category]=K124)*(BallastFactorTable[Fixture Sub-category]=L124),0))</f>
        <v>#N/A</v>
      </c>
      <c r="BC124" s="133" t="e" cm="1">
        <f t="array" ref="BC124">INDEX(BallastFactorTable[Industrial BPA Reference Number],MATCH(1,(BallastFactorTable[Fixture Class]=J124)*(BallastFactorTable[Fixture Category]=K124)*(BallastFactorTable[Fixture Sub-category]=L124),0))</f>
        <v>#N/A</v>
      </c>
      <c r="BD124" s="264" t="str">
        <f t="shared" si="44"/>
        <v>Sector is blank</v>
      </c>
      <c r="BE124" s="269" t="str">
        <f>IF(ISBLANK(SectorField),"Sector is blank",IF(AM124="Row Not Used","",IF(OR(R124="No Controls",ISBLANK(R124)),"",INDEX(ControlsBPARefNoTable[Reference Number],MATCH(SectorField,ControlsBPARefNoTable[Sector],0)))))</f>
        <v>Sector is blank</v>
      </c>
      <c r="BF124" s="530" t="str">
        <f t="shared" si="45"/>
        <v/>
      </c>
      <c r="BG124" s="132" t="str">
        <f t="shared" si="46"/>
        <v/>
      </c>
      <c r="BH124" s="531" t="str">
        <f t="shared" si="47"/>
        <v/>
      </c>
      <c r="BI124" s="532"/>
      <c r="BJ124" s="538" t="str">
        <f t="shared" si="53"/>
        <v/>
      </c>
      <c r="BK124" s="539" t="str">
        <f t="shared" si="54"/>
        <v/>
      </c>
      <c r="BL124" s="547" t="str">
        <f t="shared" si="55"/>
        <v/>
      </c>
    </row>
    <row r="125" spans="1:64" x14ac:dyDescent="0.3">
      <c r="A125" s="133">
        <v>118</v>
      </c>
      <c r="B125" s="294"/>
      <c r="C125" s="313"/>
      <c r="D125" s="292"/>
      <c r="E125" s="284"/>
      <c r="F125" s="284"/>
      <c r="G125" s="295"/>
      <c r="H125" s="296"/>
      <c r="I125" s="297"/>
      <c r="J125" s="292"/>
      <c r="K125" s="284"/>
      <c r="L125" s="284"/>
      <c r="M125" s="295"/>
      <c r="N125" s="296"/>
      <c r="O125" s="296"/>
      <c r="P125" s="284"/>
      <c r="Q125" s="298"/>
      <c r="R125" s="292"/>
      <c r="S125" s="299"/>
      <c r="T125" s="300"/>
      <c r="U125" s="317" t="str">
        <f t="shared" si="29"/>
        <v/>
      </c>
      <c r="V125" s="301"/>
      <c r="W125" s="136" t="str">
        <f t="shared" si="30"/>
        <v/>
      </c>
      <c r="X125" s="588" t="str">
        <f t="shared" si="48"/>
        <v/>
      </c>
      <c r="Y125" s="580"/>
      <c r="Z125" s="251" t="str">
        <f t="shared" si="31"/>
        <v/>
      </c>
      <c r="AA125" s="138" t="str">
        <f t="shared" si="56"/>
        <v/>
      </c>
      <c r="AB125" s="243" t="str">
        <f t="shared" si="49"/>
        <v/>
      </c>
      <c r="AC125" s="141" t="str">
        <f t="shared" si="32"/>
        <v/>
      </c>
      <c r="AD125" s="138" t="str">
        <f t="shared" si="50"/>
        <v/>
      </c>
      <c r="AE125" s="243" t="str">
        <f t="shared" si="33"/>
        <v/>
      </c>
      <c r="AF125" s="342" t="str">
        <f>IF(AM125="Row Not Used","",INDEX(SpaceTable[Annual Hours],(MATCH(B125,SpaceTable[Space Name Concatenated Helper],0))))</f>
        <v/>
      </c>
      <c r="AG125" s="205" t="str">
        <f t="shared" si="34"/>
        <v/>
      </c>
      <c r="AH125" s="234" t="str">
        <f t="shared" si="35"/>
        <v/>
      </c>
      <c r="AI125" s="205" t="str">
        <f t="shared" si="36"/>
        <v/>
      </c>
      <c r="AJ125" s="234" t="str">
        <f t="shared" si="37"/>
        <v/>
      </c>
      <c r="AK125" s="144" t="str">
        <f>IF(AM125="Row Not Used","",INDEX(SpaceTable[Row],(MATCH(B125,SpaceTable[Space Name Concatenated Helper],0))))</f>
        <v/>
      </c>
      <c r="AL125" s="238" t="str">
        <f>IF(AM125="Row Not Used","",INDEX(SpaceTable[HVAC Factor],(MATCH(B125,SpaceTable[Space Name Concatenated Helper],0))))</f>
        <v/>
      </c>
      <c r="AM125" s="520" t="str">
        <f t="shared" si="38"/>
        <v>Row Not Used</v>
      </c>
      <c r="AN125" s="512" t="e" cm="1">
        <f t="array" ref="AN125">INDEX(BallastFactorTable[Ballast Factor],MATCH(1,(BallastFactorTable[Fixture Class]=D125)*(BallastFactorTable[Fixture Category]=E125)*(BallastFactorTable[Fixture Sub-category]=F125),0))</f>
        <v>#N/A</v>
      </c>
      <c r="AO125" s="143" t="str">
        <f t="shared" si="51"/>
        <v/>
      </c>
      <c r="AP125" s="501" t="e" cm="1">
        <f t="array" ref="AP125">INDEX(BallastFactorTable[Wattage Range Name],MATCH(1,(BallastFactorTable[Fixture Class]=D125)*(BallastFactorTable[Fixture Category]=E125)*(BallastFactorTable[Fixture Sub-category]=F125),0))</f>
        <v>#N/A</v>
      </c>
      <c r="AQ125" s="515" t="str">
        <f t="shared" ca="1" si="39"/>
        <v>Okay</v>
      </c>
      <c r="AR125" s="512">
        <f t="shared" si="40"/>
        <v>0</v>
      </c>
      <c r="AS125" s="511" t="str">
        <f>IF(OR(Measures!AM125="Row Not Used",Measures!C125="Controls Only",Measures!C125="Decommissioning"),"",_xlfn.CONCAT(P125," ",Q125))</f>
        <v/>
      </c>
      <c r="AT125" s="264" t="str">
        <f t="shared" si="41"/>
        <v>None</v>
      </c>
      <c r="AU125" s="229">
        <f>IF(OR(AM125="Row Not Used",AM125="Controls Only"),0,INDEX(IncentiveRateTable[Incentive Rate],MATCH(AT125,IncentiveRateTable[Incentive Name],0)))</f>
        <v>0</v>
      </c>
      <c r="AV125" s="133" t="str">
        <f>IF(OR(AM125="Row Not Used",AM125="Controls Only"),"None",INDEX(IncentiveRateTable[Incentive Unit],MATCH(AT125,IncentiveRateTable[Incentive Name],0)))</f>
        <v>None</v>
      </c>
      <c r="AW125" s="578">
        <f t="shared" si="52"/>
        <v>0</v>
      </c>
      <c r="AX125" s="264" t="str">
        <f t="shared" si="42"/>
        <v>None</v>
      </c>
      <c r="AY125" s="229">
        <f>IF(OR(AM125="Row Not Used",AM125="Fixtures Only",AM125="Decommissioning"),0,INDEX(IncentiveRateTable[Incentive Rate],MATCH(AX125,IncentiveRateTable[Incentive Name],0)))</f>
        <v>0</v>
      </c>
      <c r="AZ125" s="133" t="str">
        <f>IF(OR(AM125="Row Not Used",AM125="Fixtures Only",AM125="Decommissioning"),"None",INDEX(IncentiveRateTable[Incentive Unit],MATCH(AX125,IncentiveRateTable[Incentive Name],0)))</f>
        <v>None</v>
      </c>
      <c r="BA125" s="465">
        <f t="shared" si="43"/>
        <v>0</v>
      </c>
      <c r="BB125" s="264" t="e" cm="1">
        <f t="array" ref="BB125">INDEX(BallastFactorTable[Commercial BPA Reference Number],MATCH(1,(BallastFactorTable[Fixture Class]=J125)*(BallastFactorTable[Fixture Category]=K125)*(BallastFactorTable[Fixture Sub-category]=L125),0))</f>
        <v>#N/A</v>
      </c>
      <c r="BC125" s="133" t="e" cm="1">
        <f t="array" ref="BC125">INDEX(BallastFactorTable[Industrial BPA Reference Number],MATCH(1,(BallastFactorTable[Fixture Class]=J125)*(BallastFactorTable[Fixture Category]=K125)*(BallastFactorTable[Fixture Sub-category]=L125),0))</f>
        <v>#N/A</v>
      </c>
      <c r="BD125" s="264" t="str">
        <f t="shared" si="44"/>
        <v>Sector is blank</v>
      </c>
      <c r="BE125" s="269" t="str">
        <f>IF(ISBLANK(SectorField),"Sector is blank",IF(AM125="Row Not Used","",IF(OR(R125="No Controls",ISBLANK(R125)),"",INDEX(ControlsBPARefNoTable[Reference Number],MATCH(SectorField,ControlsBPARefNoTable[Sector],0)))))</f>
        <v>Sector is blank</v>
      </c>
      <c r="BF125" s="530" t="str">
        <f t="shared" si="45"/>
        <v/>
      </c>
      <c r="BG125" s="132" t="str">
        <f t="shared" si="46"/>
        <v/>
      </c>
      <c r="BH125" s="531" t="str">
        <f t="shared" si="47"/>
        <v/>
      </c>
      <c r="BI125" s="532"/>
      <c r="BJ125" s="538" t="str">
        <f t="shared" si="53"/>
        <v/>
      </c>
      <c r="BK125" s="539" t="str">
        <f t="shared" si="54"/>
        <v/>
      </c>
      <c r="BL125" s="547" t="str">
        <f t="shared" si="55"/>
        <v/>
      </c>
    </row>
    <row r="126" spans="1:64" x14ac:dyDescent="0.3">
      <c r="A126" s="133">
        <v>119</v>
      </c>
      <c r="B126" s="294"/>
      <c r="C126" s="313"/>
      <c r="D126" s="292"/>
      <c r="E126" s="284"/>
      <c r="F126" s="284"/>
      <c r="G126" s="295"/>
      <c r="H126" s="296"/>
      <c r="I126" s="297"/>
      <c r="J126" s="292"/>
      <c r="K126" s="284"/>
      <c r="L126" s="284"/>
      <c r="M126" s="295"/>
      <c r="N126" s="296"/>
      <c r="O126" s="296"/>
      <c r="P126" s="284"/>
      <c r="Q126" s="298"/>
      <c r="R126" s="292"/>
      <c r="S126" s="299"/>
      <c r="T126" s="300"/>
      <c r="U126" s="317" t="str">
        <f t="shared" si="29"/>
        <v/>
      </c>
      <c r="V126" s="301"/>
      <c r="W126" s="137" t="str">
        <f t="shared" si="30"/>
        <v/>
      </c>
      <c r="X126" s="589" t="str">
        <f t="shared" si="48"/>
        <v/>
      </c>
      <c r="Y126" s="581"/>
      <c r="Z126" s="251" t="str">
        <f t="shared" si="31"/>
        <v/>
      </c>
      <c r="AA126" s="138" t="str">
        <f t="shared" si="56"/>
        <v/>
      </c>
      <c r="AB126" s="243" t="str">
        <f t="shared" si="49"/>
        <v/>
      </c>
      <c r="AC126" s="141" t="str">
        <f t="shared" si="32"/>
        <v/>
      </c>
      <c r="AD126" s="138" t="str">
        <f t="shared" si="50"/>
        <v/>
      </c>
      <c r="AE126" s="243" t="str">
        <f t="shared" si="33"/>
        <v/>
      </c>
      <c r="AF126" s="342" t="str">
        <f>IF(AM126="Row Not Used","",INDEX(SpaceTable[Annual Hours],(MATCH(B126,SpaceTable[Space Name Concatenated Helper],0))))</f>
        <v/>
      </c>
      <c r="AG126" s="205" t="str">
        <f t="shared" si="34"/>
        <v/>
      </c>
      <c r="AH126" s="234" t="str">
        <f t="shared" si="35"/>
        <v/>
      </c>
      <c r="AI126" s="205" t="str">
        <f t="shared" si="36"/>
        <v/>
      </c>
      <c r="AJ126" s="234" t="str">
        <f t="shared" si="37"/>
        <v/>
      </c>
      <c r="AK126" s="144" t="str">
        <f>IF(AM126="Row Not Used","",INDEX(SpaceTable[Row],(MATCH(B126,SpaceTable[Space Name Concatenated Helper],0))))</f>
        <v/>
      </c>
      <c r="AL126" s="238" t="str">
        <f>IF(AM126="Row Not Used","",INDEX(SpaceTable[HVAC Factor],(MATCH(B126,SpaceTable[Space Name Concatenated Helper],0))))</f>
        <v/>
      </c>
      <c r="AM126" s="520" t="str">
        <f t="shared" si="38"/>
        <v>Row Not Used</v>
      </c>
      <c r="AN126" s="512" t="e" cm="1">
        <f t="array" ref="AN126">INDEX(BallastFactorTable[Ballast Factor],MATCH(1,(BallastFactorTable[Fixture Class]=D126)*(BallastFactorTable[Fixture Category]=E126)*(BallastFactorTable[Fixture Sub-category]=F126),0))</f>
        <v>#N/A</v>
      </c>
      <c r="AO126" s="143" t="str">
        <f t="shared" si="51"/>
        <v/>
      </c>
      <c r="AP126" s="501" t="e" cm="1">
        <f t="array" ref="AP126">INDEX(BallastFactorTable[Wattage Range Name],MATCH(1,(BallastFactorTable[Fixture Class]=D126)*(BallastFactorTable[Fixture Category]=E126)*(BallastFactorTable[Fixture Sub-category]=F126),0))</f>
        <v>#N/A</v>
      </c>
      <c r="AQ126" s="515" t="str">
        <f t="shared" ca="1" si="39"/>
        <v>Okay</v>
      </c>
      <c r="AR126" s="512">
        <f t="shared" si="40"/>
        <v>0</v>
      </c>
      <c r="AS126" s="511" t="str">
        <f>IF(OR(Measures!AM126="Row Not Used",Measures!C126="Controls Only",Measures!C126="Decommissioning"),"",_xlfn.CONCAT(P126," ",Q126))</f>
        <v/>
      </c>
      <c r="AT126" s="264" t="str">
        <f t="shared" si="41"/>
        <v>None</v>
      </c>
      <c r="AU126" s="229">
        <f>IF(OR(AM126="Row Not Used",AM126="Controls Only"),0,INDEX(IncentiveRateTable[Incentive Rate],MATCH(AT126,IncentiveRateTable[Incentive Name],0)))</f>
        <v>0</v>
      </c>
      <c r="AV126" s="133" t="str">
        <f>IF(OR(AM126="Row Not Used",AM126="Controls Only"),"None",INDEX(IncentiveRateTable[Incentive Unit],MATCH(AT126,IncentiveRateTable[Incentive Name],0)))</f>
        <v>None</v>
      </c>
      <c r="AW126" s="578">
        <f t="shared" si="52"/>
        <v>0</v>
      </c>
      <c r="AX126" s="264" t="str">
        <f t="shared" si="42"/>
        <v>None</v>
      </c>
      <c r="AY126" s="229">
        <f>IF(OR(AM126="Row Not Used",AM126="Fixtures Only",AM126="Decommissioning"),0,INDEX(IncentiveRateTable[Incentive Rate],MATCH(AX126,IncentiveRateTable[Incentive Name],0)))</f>
        <v>0</v>
      </c>
      <c r="AZ126" s="133" t="str">
        <f>IF(OR(AM126="Row Not Used",AM126="Fixtures Only",AM126="Decommissioning"),"None",INDEX(IncentiveRateTable[Incentive Unit],MATCH(AX126,IncentiveRateTable[Incentive Name],0)))</f>
        <v>None</v>
      </c>
      <c r="BA126" s="465">
        <f t="shared" si="43"/>
        <v>0</v>
      </c>
      <c r="BB126" s="264" t="e" cm="1">
        <f t="array" ref="BB126">INDEX(BallastFactorTable[Commercial BPA Reference Number],MATCH(1,(BallastFactorTable[Fixture Class]=J126)*(BallastFactorTable[Fixture Category]=K126)*(BallastFactorTable[Fixture Sub-category]=L126),0))</f>
        <v>#N/A</v>
      </c>
      <c r="BC126" s="133" t="e" cm="1">
        <f t="array" ref="BC126">INDEX(BallastFactorTable[Industrial BPA Reference Number],MATCH(1,(BallastFactorTable[Fixture Class]=J126)*(BallastFactorTable[Fixture Category]=K126)*(BallastFactorTable[Fixture Sub-category]=L126),0))</f>
        <v>#N/A</v>
      </c>
      <c r="BD126" s="264" t="str">
        <f t="shared" si="44"/>
        <v>Sector is blank</v>
      </c>
      <c r="BE126" s="269" t="str">
        <f>IF(ISBLANK(SectorField),"Sector is blank",IF(AM126="Row Not Used","",IF(OR(R126="No Controls",ISBLANK(R126)),"",INDEX(ControlsBPARefNoTable[Reference Number],MATCH(SectorField,ControlsBPARefNoTable[Sector],0)))))</f>
        <v>Sector is blank</v>
      </c>
      <c r="BF126" s="530" t="str">
        <f t="shared" si="45"/>
        <v/>
      </c>
      <c r="BG126" s="132" t="str">
        <f t="shared" si="46"/>
        <v/>
      </c>
      <c r="BH126" s="531" t="str">
        <f t="shared" si="47"/>
        <v/>
      </c>
      <c r="BI126" s="532"/>
      <c r="BJ126" s="538" t="str">
        <f t="shared" si="53"/>
        <v/>
      </c>
      <c r="BK126" s="539" t="str">
        <f t="shared" si="54"/>
        <v/>
      </c>
      <c r="BL126" s="547" t="str">
        <f t="shared" si="55"/>
        <v/>
      </c>
    </row>
    <row r="127" spans="1:64" x14ac:dyDescent="0.3">
      <c r="A127" s="133">
        <v>120</v>
      </c>
      <c r="B127" s="294"/>
      <c r="C127" s="313"/>
      <c r="D127" s="292"/>
      <c r="E127" s="284"/>
      <c r="F127" s="284"/>
      <c r="G127" s="295"/>
      <c r="H127" s="296"/>
      <c r="I127" s="297"/>
      <c r="J127" s="292"/>
      <c r="K127" s="284"/>
      <c r="L127" s="284"/>
      <c r="M127" s="295"/>
      <c r="N127" s="296"/>
      <c r="O127" s="296"/>
      <c r="P127" s="284"/>
      <c r="Q127" s="298"/>
      <c r="R127" s="292"/>
      <c r="S127" s="299"/>
      <c r="T127" s="300"/>
      <c r="U127" s="317" t="str">
        <f t="shared" si="29"/>
        <v/>
      </c>
      <c r="V127" s="301"/>
      <c r="W127" s="136" t="str">
        <f t="shared" si="30"/>
        <v/>
      </c>
      <c r="X127" s="588" t="str">
        <f t="shared" si="48"/>
        <v/>
      </c>
      <c r="Y127" s="580"/>
      <c r="Z127" s="251" t="str">
        <f t="shared" si="31"/>
        <v/>
      </c>
      <c r="AA127" s="138" t="str">
        <f t="shared" si="56"/>
        <v/>
      </c>
      <c r="AB127" s="243" t="str">
        <f t="shared" si="49"/>
        <v/>
      </c>
      <c r="AC127" s="141" t="str">
        <f t="shared" si="32"/>
        <v/>
      </c>
      <c r="AD127" s="138" t="str">
        <f t="shared" si="50"/>
        <v/>
      </c>
      <c r="AE127" s="243" t="str">
        <f t="shared" si="33"/>
        <v/>
      </c>
      <c r="AF127" s="342" t="str">
        <f>IF(AM127="Row Not Used","",INDEX(SpaceTable[Annual Hours],(MATCH(B127,SpaceTable[Space Name Concatenated Helper],0))))</f>
        <v/>
      </c>
      <c r="AG127" s="205" t="str">
        <f t="shared" si="34"/>
        <v/>
      </c>
      <c r="AH127" s="234" t="str">
        <f t="shared" si="35"/>
        <v/>
      </c>
      <c r="AI127" s="205" t="str">
        <f t="shared" si="36"/>
        <v/>
      </c>
      <c r="AJ127" s="234" t="str">
        <f t="shared" si="37"/>
        <v/>
      </c>
      <c r="AK127" s="144" t="str">
        <f>IF(AM127="Row Not Used","",INDEX(SpaceTable[Row],(MATCH(B127,SpaceTable[Space Name Concatenated Helper],0))))</f>
        <v/>
      </c>
      <c r="AL127" s="238" t="str">
        <f>IF(AM127="Row Not Used","",INDEX(SpaceTable[HVAC Factor],(MATCH(B127,SpaceTable[Space Name Concatenated Helper],0))))</f>
        <v/>
      </c>
      <c r="AM127" s="520" t="str">
        <f t="shared" si="38"/>
        <v>Row Not Used</v>
      </c>
      <c r="AN127" s="512" t="e" cm="1">
        <f t="array" ref="AN127">INDEX(BallastFactorTable[Ballast Factor],MATCH(1,(BallastFactorTable[Fixture Class]=D127)*(BallastFactorTable[Fixture Category]=E127)*(BallastFactorTable[Fixture Sub-category]=F127),0))</f>
        <v>#N/A</v>
      </c>
      <c r="AO127" s="143" t="str">
        <f t="shared" si="51"/>
        <v/>
      </c>
      <c r="AP127" s="501" t="e" cm="1">
        <f t="array" ref="AP127">INDEX(BallastFactorTable[Wattage Range Name],MATCH(1,(BallastFactorTable[Fixture Class]=D127)*(BallastFactorTable[Fixture Category]=E127)*(BallastFactorTable[Fixture Sub-category]=F127),0))</f>
        <v>#N/A</v>
      </c>
      <c r="AQ127" s="515" t="str">
        <f t="shared" ca="1" si="39"/>
        <v>Okay</v>
      </c>
      <c r="AR127" s="512">
        <f t="shared" si="40"/>
        <v>0</v>
      </c>
      <c r="AS127" s="511" t="str">
        <f>IF(OR(Measures!AM127="Row Not Used",Measures!C127="Controls Only",Measures!C127="Decommissioning"),"",_xlfn.CONCAT(P127," ",Q127))</f>
        <v/>
      </c>
      <c r="AT127" s="264" t="str">
        <f t="shared" si="41"/>
        <v>None</v>
      </c>
      <c r="AU127" s="229">
        <f>IF(OR(AM127="Row Not Used",AM127="Controls Only"),0,INDEX(IncentiveRateTable[Incentive Rate],MATCH(AT127,IncentiveRateTable[Incentive Name],0)))</f>
        <v>0</v>
      </c>
      <c r="AV127" s="133" t="str">
        <f>IF(OR(AM127="Row Not Used",AM127="Controls Only"),"None",INDEX(IncentiveRateTable[Incentive Unit],MATCH(AT127,IncentiveRateTable[Incentive Name],0)))</f>
        <v>None</v>
      </c>
      <c r="AW127" s="578">
        <f t="shared" si="52"/>
        <v>0</v>
      </c>
      <c r="AX127" s="264" t="str">
        <f t="shared" si="42"/>
        <v>None</v>
      </c>
      <c r="AY127" s="229">
        <f>IF(OR(AM127="Row Not Used",AM127="Fixtures Only",AM127="Decommissioning"),0,INDEX(IncentiveRateTable[Incentive Rate],MATCH(AX127,IncentiveRateTable[Incentive Name],0)))</f>
        <v>0</v>
      </c>
      <c r="AZ127" s="133" t="str">
        <f>IF(OR(AM127="Row Not Used",AM127="Fixtures Only",AM127="Decommissioning"),"None",INDEX(IncentiveRateTable[Incentive Unit],MATCH(AX127,IncentiveRateTable[Incentive Name],0)))</f>
        <v>None</v>
      </c>
      <c r="BA127" s="465">
        <f t="shared" si="43"/>
        <v>0</v>
      </c>
      <c r="BB127" s="264" t="e" cm="1">
        <f t="array" ref="BB127">INDEX(BallastFactorTable[Commercial BPA Reference Number],MATCH(1,(BallastFactorTable[Fixture Class]=J127)*(BallastFactorTable[Fixture Category]=K127)*(BallastFactorTable[Fixture Sub-category]=L127),0))</f>
        <v>#N/A</v>
      </c>
      <c r="BC127" s="133" t="e" cm="1">
        <f t="array" ref="BC127">INDEX(BallastFactorTable[Industrial BPA Reference Number],MATCH(1,(BallastFactorTable[Fixture Class]=J127)*(BallastFactorTable[Fixture Category]=K127)*(BallastFactorTable[Fixture Sub-category]=L127),0))</f>
        <v>#N/A</v>
      </c>
      <c r="BD127" s="264" t="str">
        <f t="shared" si="44"/>
        <v>Sector is blank</v>
      </c>
      <c r="BE127" s="269" t="str">
        <f>IF(ISBLANK(SectorField),"Sector is blank",IF(AM127="Row Not Used","",IF(OR(R127="No Controls",ISBLANK(R127)),"",INDEX(ControlsBPARefNoTable[Reference Number],MATCH(SectorField,ControlsBPARefNoTable[Sector],0)))))</f>
        <v>Sector is blank</v>
      </c>
      <c r="BF127" s="530" t="str">
        <f t="shared" si="45"/>
        <v/>
      </c>
      <c r="BG127" s="132" t="str">
        <f t="shared" si="46"/>
        <v/>
      </c>
      <c r="BH127" s="531" t="str">
        <f t="shared" si="47"/>
        <v/>
      </c>
      <c r="BI127" s="532"/>
      <c r="BJ127" s="538" t="str">
        <f t="shared" si="53"/>
        <v/>
      </c>
      <c r="BK127" s="539" t="str">
        <f t="shared" si="54"/>
        <v/>
      </c>
      <c r="BL127" s="547" t="str">
        <f t="shared" si="55"/>
        <v/>
      </c>
    </row>
    <row r="128" spans="1:64" x14ac:dyDescent="0.3">
      <c r="A128" s="133">
        <v>121</v>
      </c>
      <c r="B128" s="294"/>
      <c r="C128" s="313"/>
      <c r="D128" s="292"/>
      <c r="E128" s="284"/>
      <c r="F128" s="284"/>
      <c r="G128" s="295"/>
      <c r="H128" s="296"/>
      <c r="I128" s="297"/>
      <c r="J128" s="292"/>
      <c r="K128" s="284"/>
      <c r="L128" s="284"/>
      <c r="M128" s="295"/>
      <c r="N128" s="296"/>
      <c r="O128" s="296"/>
      <c r="P128" s="284"/>
      <c r="Q128" s="298"/>
      <c r="R128" s="292"/>
      <c r="S128" s="299"/>
      <c r="T128" s="300"/>
      <c r="U128" s="317" t="str">
        <f t="shared" si="29"/>
        <v/>
      </c>
      <c r="V128" s="301"/>
      <c r="W128" s="137" t="str">
        <f t="shared" si="30"/>
        <v/>
      </c>
      <c r="X128" s="589" t="str">
        <f t="shared" si="48"/>
        <v/>
      </c>
      <c r="Y128" s="581"/>
      <c r="Z128" s="251" t="str">
        <f t="shared" si="31"/>
        <v/>
      </c>
      <c r="AA128" s="138" t="str">
        <f t="shared" si="56"/>
        <v/>
      </c>
      <c r="AB128" s="243" t="str">
        <f t="shared" si="49"/>
        <v/>
      </c>
      <c r="AC128" s="141" t="str">
        <f t="shared" si="32"/>
        <v/>
      </c>
      <c r="AD128" s="138" t="str">
        <f t="shared" si="50"/>
        <v/>
      </c>
      <c r="AE128" s="243" t="str">
        <f t="shared" si="33"/>
        <v/>
      </c>
      <c r="AF128" s="342" t="str">
        <f>IF(AM128="Row Not Used","",INDEX(SpaceTable[Annual Hours],(MATCH(B128,SpaceTable[Space Name Concatenated Helper],0))))</f>
        <v/>
      </c>
      <c r="AG128" s="205" t="str">
        <f t="shared" si="34"/>
        <v/>
      </c>
      <c r="AH128" s="234" t="str">
        <f t="shared" si="35"/>
        <v/>
      </c>
      <c r="AI128" s="205" t="str">
        <f t="shared" si="36"/>
        <v/>
      </c>
      <c r="AJ128" s="234" t="str">
        <f t="shared" si="37"/>
        <v/>
      </c>
      <c r="AK128" s="144" t="str">
        <f>IF(AM128="Row Not Used","",INDEX(SpaceTable[Row],(MATCH(B128,SpaceTable[Space Name Concatenated Helper],0))))</f>
        <v/>
      </c>
      <c r="AL128" s="238" t="str">
        <f>IF(AM128="Row Not Used","",INDEX(SpaceTable[HVAC Factor],(MATCH(B128,SpaceTable[Space Name Concatenated Helper],0))))</f>
        <v/>
      </c>
      <c r="AM128" s="520" t="str">
        <f t="shared" si="38"/>
        <v>Row Not Used</v>
      </c>
      <c r="AN128" s="512" t="e" cm="1">
        <f t="array" ref="AN128">INDEX(BallastFactorTable[Ballast Factor],MATCH(1,(BallastFactorTable[Fixture Class]=D128)*(BallastFactorTable[Fixture Category]=E128)*(BallastFactorTable[Fixture Sub-category]=F128),0))</f>
        <v>#N/A</v>
      </c>
      <c r="AO128" s="143" t="str">
        <f t="shared" si="51"/>
        <v/>
      </c>
      <c r="AP128" s="501" t="e" cm="1">
        <f t="array" ref="AP128">INDEX(BallastFactorTable[Wattage Range Name],MATCH(1,(BallastFactorTable[Fixture Class]=D128)*(BallastFactorTable[Fixture Category]=E128)*(BallastFactorTable[Fixture Sub-category]=F128),0))</f>
        <v>#N/A</v>
      </c>
      <c r="AQ128" s="515" t="str">
        <f t="shared" ca="1" si="39"/>
        <v>Okay</v>
      </c>
      <c r="AR128" s="512">
        <f t="shared" si="40"/>
        <v>0</v>
      </c>
      <c r="AS128" s="511" t="str">
        <f>IF(OR(Measures!AM128="Row Not Used",Measures!C128="Controls Only",Measures!C128="Decommissioning"),"",_xlfn.CONCAT(P128," ",Q128))</f>
        <v/>
      </c>
      <c r="AT128" s="264" t="str">
        <f t="shared" si="41"/>
        <v>None</v>
      </c>
      <c r="AU128" s="229">
        <f>IF(OR(AM128="Row Not Used",AM128="Controls Only"),0,INDEX(IncentiveRateTable[Incentive Rate],MATCH(AT128,IncentiveRateTable[Incentive Name],0)))</f>
        <v>0</v>
      </c>
      <c r="AV128" s="133" t="str">
        <f>IF(OR(AM128="Row Not Used",AM128="Controls Only"),"None",INDEX(IncentiveRateTable[Incentive Unit],MATCH(AT128,IncentiveRateTable[Incentive Name],0)))</f>
        <v>None</v>
      </c>
      <c r="AW128" s="578">
        <f t="shared" si="52"/>
        <v>0</v>
      </c>
      <c r="AX128" s="264" t="str">
        <f t="shared" si="42"/>
        <v>None</v>
      </c>
      <c r="AY128" s="229">
        <f>IF(OR(AM128="Row Not Used",AM128="Fixtures Only",AM128="Decommissioning"),0,INDEX(IncentiveRateTable[Incentive Rate],MATCH(AX128,IncentiveRateTable[Incentive Name],0)))</f>
        <v>0</v>
      </c>
      <c r="AZ128" s="133" t="str">
        <f>IF(OR(AM128="Row Not Used",AM128="Fixtures Only",AM128="Decommissioning"),"None",INDEX(IncentiveRateTable[Incentive Unit],MATCH(AX128,IncentiveRateTable[Incentive Name],0)))</f>
        <v>None</v>
      </c>
      <c r="BA128" s="465">
        <f t="shared" si="43"/>
        <v>0</v>
      </c>
      <c r="BB128" s="264" t="e" cm="1">
        <f t="array" ref="BB128">INDEX(BallastFactorTable[Commercial BPA Reference Number],MATCH(1,(BallastFactorTable[Fixture Class]=J128)*(BallastFactorTable[Fixture Category]=K128)*(BallastFactorTable[Fixture Sub-category]=L128),0))</f>
        <v>#N/A</v>
      </c>
      <c r="BC128" s="133" t="e" cm="1">
        <f t="array" ref="BC128">INDEX(BallastFactorTable[Industrial BPA Reference Number],MATCH(1,(BallastFactorTable[Fixture Class]=J128)*(BallastFactorTable[Fixture Category]=K128)*(BallastFactorTable[Fixture Sub-category]=L128),0))</f>
        <v>#N/A</v>
      </c>
      <c r="BD128" s="264" t="str">
        <f t="shared" si="44"/>
        <v>Sector is blank</v>
      </c>
      <c r="BE128" s="269" t="str">
        <f>IF(ISBLANK(SectorField),"Sector is blank",IF(AM128="Row Not Used","",IF(OR(R128="No Controls",ISBLANK(R128)),"",INDEX(ControlsBPARefNoTable[Reference Number],MATCH(SectorField,ControlsBPARefNoTable[Sector],0)))))</f>
        <v>Sector is blank</v>
      </c>
      <c r="BF128" s="530" t="str">
        <f t="shared" si="45"/>
        <v/>
      </c>
      <c r="BG128" s="132" t="str">
        <f t="shared" si="46"/>
        <v/>
      </c>
      <c r="BH128" s="531" t="str">
        <f t="shared" si="47"/>
        <v/>
      </c>
      <c r="BI128" s="532"/>
      <c r="BJ128" s="538" t="str">
        <f t="shared" si="53"/>
        <v/>
      </c>
      <c r="BK128" s="539" t="str">
        <f t="shared" si="54"/>
        <v/>
      </c>
      <c r="BL128" s="547" t="str">
        <f t="shared" si="55"/>
        <v/>
      </c>
    </row>
    <row r="129" spans="1:64" x14ac:dyDescent="0.3">
      <c r="A129" s="133">
        <v>122</v>
      </c>
      <c r="B129" s="294"/>
      <c r="C129" s="313"/>
      <c r="D129" s="292"/>
      <c r="E129" s="284"/>
      <c r="F129" s="284"/>
      <c r="G129" s="295"/>
      <c r="H129" s="296"/>
      <c r="I129" s="297"/>
      <c r="J129" s="292"/>
      <c r="K129" s="284"/>
      <c r="L129" s="284"/>
      <c r="M129" s="295"/>
      <c r="N129" s="296"/>
      <c r="O129" s="296"/>
      <c r="P129" s="284"/>
      <c r="Q129" s="298"/>
      <c r="R129" s="292"/>
      <c r="S129" s="299"/>
      <c r="T129" s="300"/>
      <c r="U129" s="317" t="str">
        <f t="shared" si="29"/>
        <v/>
      </c>
      <c r="V129" s="301"/>
      <c r="W129" s="136" t="str">
        <f t="shared" si="30"/>
        <v/>
      </c>
      <c r="X129" s="588" t="str">
        <f t="shared" si="48"/>
        <v/>
      </c>
      <c r="Y129" s="580"/>
      <c r="Z129" s="251" t="str">
        <f t="shared" si="31"/>
        <v/>
      </c>
      <c r="AA129" s="138" t="str">
        <f t="shared" si="56"/>
        <v/>
      </c>
      <c r="AB129" s="243" t="str">
        <f t="shared" si="49"/>
        <v/>
      </c>
      <c r="AC129" s="141" t="str">
        <f t="shared" si="32"/>
        <v/>
      </c>
      <c r="AD129" s="138" t="str">
        <f t="shared" si="50"/>
        <v/>
      </c>
      <c r="AE129" s="243" t="str">
        <f t="shared" si="33"/>
        <v/>
      </c>
      <c r="AF129" s="342" t="str">
        <f>IF(AM129="Row Not Used","",INDEX(SpaceTable[Annual Hours],(MATCH(B129,SpaceTable[Space Name Concatenated Helper],0))))</f>
        <v/>
      </c>
      <c r="AG129" s="205" t="str">
        <f t="shared" si="34"/>
        <v/>
      </c>
      <c r="AH129" s="234" t="str">
        <f t="shared" si="35"/>
        <v/>
      </c>
      <c r="AI129" s="205" t="str">
        <f t="shared" si="36"/>
        <v/>
      </c>
      <c r="AJ129" s="234" t="str">
        <f t="shared" si="37"/>
        <v/>
      </c>
      <c r="AK129" s="144" t="str">
        <f>IF(AM129="Row Not Used","",INDEX(SpaceTable[Row],(MATCH(B129,SpaceTable[Space Name Concatenated Helper],0))))</f>
        <v/>
      </c>
      <c r="AL129" s="238" t="str">
        <f>IF(AM129="Row Not Used","",INDEX(SpaceTable[HVAC Factor],(MATCH(B129,SpaceTable[Space Name Concatenated Helper],0))))</f>
        <v/>
      </c>
      <c r="AM129" s="520" t="str">
        <f t="shared" si="38"/>
        <v>Row Not Used</v>
      </c>
      <c r="AN129" s="512" t="e" cm="1">
        <f t="array" ref="AN129">INDEX(BallastFactorTable[Ballast Factor],MATCH(1,(BallastFactorTable[Fixture Class]=D129)*(BallastFactorTable[Fixture Category]=E129)*(BallastFactorTable[Fixture Sub-category]=F129),0))</f>
        <v>#N/A</v>
      </c>
      <c r="AO129" s="143" t="str">
        <f t="shared" si="51"/>
        <v/>
      </c>
      <c r="AP129" s="501" t="e" cm="1">
        <f t="array" ref="AP129">INDEX(BallastFactorTable[Wattage Range Name],MATCH(1,(BallastFactorTable[Fixture Class]=D129)*(BallastFactorTable[Fixture Category]=E129)*(BallastFactorTable[Fixture Sub-category]=F129),0))</f>
        <v>#N/A</v>
      </c>
      <c r="AQ129" s="515" t="str">
        <f t="shared" ca="1" si="39"/>
        <v>Okay</v>
      </c>
      <c r="AR129" s="512">
        <f t="shared" si="40"/>
        <v>0</v>
      </c>
      <c r="AS129" s="511" t="str">
        <f>IF(OR(Measures!AM129="Row Not Used",Measures!C129="Controls Only",Measures!C129="Decommissioning"),"",_xlfn.CONCAT(P129," ",Q129))</f>
        <v/>
      </c>
      <c r="AT129" s="264" t="str">
        <f t="shared" si="41"/>
        <v>None</v>
      </c>
      <c r="AU129" s="229">
        <f>IF(OR(AM129="Row Not Used",AM129="Controls Only"),0,INDEX(IncentiveRateTable[Incentive Rate],MATCH(AT129,IncentiveRateTable[Incentive Name],0)))</f>
        <v>0</v>
      </c>
      <c r="AV129" s="133" t="str">
        <f>IF(OR(AM129="Row Not Used",AM129="Controls Only"),"None",INDEX(IncentiveRateTable[Incentive Unit],MATCH(AT129,IncentiveRateTable[Incentive Name],0)))</f>
        <v>None</v>
      </c>
      <c r="AW129" s="578">
        <f t="shared" si="52"/>
        <v>0</v>
      </c>
      <c r="AX129" s="264" t="str">
        <f t="shared" si="42"/>
        <v>None</v>
      </c>
      <c r="AY129" s="229">
        <f>IF(OR(AM129="Row Not Used",AM129="Fixtures Only",AM129="Decommissioning"),0,INDEX(IncentiveRateTable[Incentive Rate],MATCH(AX129,IncentiveRateTable[Incentive Name],0)))</f>
        <v>0</v>
      </c>
      <c r="AZ129" s="133" t="str">
        <f>IF(OR(AM129="Row Not Used",AM129="Fixtures Only",AM129="Decommissioning"),"None",INDEX(IncentiveRateTable[Incentive Unit],MATCH(AX129,IncentiveRateTable[Incentive Name],0)))</f>
        <v>None</v>
      </c>
      <c r="BA129" s="465">
        <f t="shared" si="43"/>
        <v>0</v>
      </c>
      <c r="BB129" s="264" t="e" cm="1">
        <f t="array" ref="BB129">INDEX(BallastFactorTable[Commercial BPA Reference Number],MATCH(1,(BallastFactorTable[Fixture Class]=J129)*(BallastFactorTable[Fixture Category]=K129)*(BallastFactorTable[Fixture Sub-category]=L129),0))</f>
        <v>#N/A</v>
      </c>
      <c r="BC129" s="133" t="e" cm="1">
        <f t="array" ref="BC129">INDEX(BallastFactorTable[Industrial BPA Reference Number],MATCH(1,(BallastFactorTable[Fixture Class]=J129)*(BallastFactorTable[Fixture Category]=K129)*(BallastFactorTable[Fixture Sub-category]=L129),0))</f>
        <v>#N/A</v>
      </c>
      <c r="BD129" s="264" t="str">
        <f t="shared" si="44"/>
        <v>Sector is blank</v>
      </c>
      <c r="BE129" s="269" t="str">
        <f>IF(ISBLANK(SectorField),"Sector is blank",IF(AM129="Row Not Used","",IF(OR(R129="No Controls",ISBLANK(R129)),"",INDEX(ControlsBPARefNoTable[Reference Number],MATCH(SectorField,ControlsBPARefNoTable[Sector],0)))))</f>
        <v>Sector is blank</v>
      </c>
      <c r="BF129" s="530" t="str">
        <f t="shared" si="45"/>
        <v/>
      </c>
      <c r="BG129" s="132" t="str">
        <f t="shared" si="46"/>
        <v/>
      </c>
      <c r="BH129" s="531" t="str">
        <f t="shared" si="47"/>
        <v/>
      </c>
      <c r="BI129" s="532"/>
      <c r="BJ129" s="538" t="str">
        <f t="shared" si="53"/>
        <v/>
      </c>
      <c r="BK129" s="539" t="str">
        <f t="shared" si="54"/>
        <v/>
      </c>
      <c r="BL129" s="547" t="str">
        <f t="shared" si="55"/>
        <v/>
      </c>
    </row>
    <row r="130" spans="1:64" x14ac:dyDescent="0.3">
      <c r="A130" s="133">
        <v>123</v>
      </c>
      <c r="B130" s="294"/>
      <c r="C130" s="313"/>
      <c r="D130" s="292"/>
      <c r="E130" s="284"/>
      <c r="F130" s="284"/>
      <c r="G130" s="295"/>
      <c r="H130" s="296"/>
      <c r="I130" s="297"/>
      <c r="J130" s="292"/>
      <c r="K130" s="284"/>
      <c r="L130" s="284"/>
      <c r="M130" s="295"/>
      <c r="N130" s="296"/>
      <c r="O130" s="296"/>
      <c r="P130" s="284"/>
      <c r="Q130" s="298"/>
      <c r="R130" s="292"/>
      <c r="S130" s="299"/>
      <c r="T130" s="300"/>
      <c r="U130" s="317" t="str">
        <f t="shared" si="29"/>
        <v/>
      </c>
      <c r="V130" s="301"/>
      <c r="W130" s="137" t="str">
        <f t="shared" si="30"/>
        <v/>
      </c>
      <c r="X130" s="589" t="str">
        <f t="shared" si="48"/>
        <v/>
      </c>
      <c r="Y130" s="581"/>
      <c r="Z130" s="251" t="str">
        <f t="shared" si="31"/>
        <v/>
      </c>
      <c r="AA130" s="138" t="str">
        <f t="shared" si="56"/>
        <v/>
      </c>
      <c r="AB130" s="243" t="str">
        <f t="shared" si="49"/>
        <v/>
      </c>
      <c r="AC130" s="141" t="str">
        <f t="shared" si="32"/>
        <v/>
      </c>
      <c r="AD130" s="138" t="str">
        <f t="shared" si="50"/>
        <v/>
      </c>
      <c r="AE130" s="243" t="str">
        <f t="shared" si="33"/>
        <v/>
      </c>
      <c r="AF130" s="342" t="str">
        <f>IF(AM130="Row Not Used","",INDEX(SpaceTable[Annual Hours],(MATCH(B130,SpaceTable[Space Name Concatenated Helper],0))))</f>
        <v/>
      </c>
      <c r="AG130" s="205" t="str">
        <f t="shared" si="34"/>
        <v/>
      </c>
      <c r="AH130" s="234" t="str">
        <f t="shared" si="35"/>
        <v/>
      </c>
      <c r="AI130" s="205" t="str">
        <f t="shared" si="36"/>
        <v/>
      </c>
      <c r="AJ130" s="234" t="str">
        <f t="shared" si="37"/>
        <v/>
      </c>
      <c r="AK130" s="144" t="str">
        <f>IF(AM130="Row Not Used","",INDEX(SpaceTable[Row],(MATCH(B130,SpaceTable[Space Name Concatenated Helper],0))))</f>
        <v/>
      </c>
      <c r="AL130" s="238" t="str">
        <f>IF(AM130="Row Not Used","",INDEX(SpaceTable[HVAC Factor],(MATCH(B130,SpaceTable[Space Name Concatenated Helper],0))))</f>
        <v/>
      </c>
      <c r="AM130" s="520" t="str">
        <f t="shared" si="38"/>
        <v>Row Not Used</v>
      </c>
      <c r="AN130" s="512" t="e" cm="1">
        <f t="array" ref="AN130">INDEX(BallastFactorTable[Ballast Factor],MATCH(1,(BallastFactorTable[Fixture Class]=D130)*(BallastFactorTable[Fixture Category]=E130)*(BallastFactorTable[Fixture Sub-category]=F130),0))</f>
        <v>#N/A</v>
      </c>
      <c r="AO130" s="143" t="str">
        <f t="shared" si="51"/>
        <v/>
      </c>
      <c r="AP130" s="501" t="e" cm="1">
        <f t="array" ref="AP130">INDEX(BallastFactorTable[Wattage Range Name],MATCH(1,(BallastFactorTable[Fixture Class]=D130)*(BallastFactorTable[Fixture Category]=E130)*(BallastFactorTable[Fixture Sub-category]=F130),0))</f>
        <v>#N/A</v>
      </c>
      <c r="AQ130" s="515" t="str">
        <f t="shared" ca="1" si="39"/>
        <v>Okay</v>
      </c>
      <c r="AR130" s="512">
        <f t="shared" si="40"/>
        <v>0</v>
      </c>
      <c r="AS130" s="511" t="str">
        <f>IF(OR(Measures!AM130="Row Not Used",Measures!C130="Controls Only",Measures!C130="Decommissioning"),"",_xlfn.CONCAT(P130," ",Q130))</f>
        <v/>
      </c>
      <c r="AT130" s="264" t="str">
        <f t="shared" si="41"/>
        <v>None</v>
      </c>
      <c r="AU130" s="229">
        <f>IF(OR(AM130="Row Not Used",AM130="Controls Only"),0,INDEX(IncentiveRateTable[Incentive Rate],MATCH(AT130,IncentiveRateTable[Incentive Name],0)))</f>
        <v>0</v>
      </c>
      <c r="AV130" s="133" t="str">
        <f>IF(OR(AM130="Row Not Used",AM130="Controls Only"),"None",INDEX(IncentiveRateTable[Incentive Unit],MATCH(AT130,IncentiveRateTable[Incentive Name],0)))</f>
        <v>None</v>
      </c>
      <c r="AW130" s="578">
        <f t="shared" si="52"/>
        <v>0</v>
      </c>
      <c r="AX130" s="264" t="str">
        <f t="shared" si="42"/>
        <v>None</v>
      </c>
      <c r="AY130" s="229">
        <f>IF(OR(AM130="Row Not Used",AM130="Fixtures Only",AM130="Decommissioning"),0,INDEX(IncentiveRateTable[Incentive Rate],MATCH(AX130,IncentiveRateTable[Incentive Name],0)))</f>
        <v>0</v>
      </c>
      <c r="AZ130" s="133" t="str">
        <f>IF(OR(AM130="Row Not Used",AM130="Fixtures Only",AM130="Decommissioning"),"None",INDEX(IncentiveRateTable[Incentive Unit],MATCH(AX130,IncentiveRateTable[Incentive Name],0)))</f>
        <v>None</v>
      </c>
      <c r="BA130" s="465">
        <f t="shared" si="43"/>
        <v>0</v>
      </c>
      <c r="BB130" s="264" t="e" cm="1">
        <f t="array" ref="BB130">INDEX(BallastFactorTable[Commercial BPA Reference Number],MATCH(1,(BallastFactorTable[Fixture Class]=J130)*(BallastFactorTable[Fixture Category]=K130)*(BallastFactorTable[Fixture Sub-category]=L130),0))</f>
        <v>#N/A</v>
      </c>
      <c r="BC130" s="133" t="e" cm="1">
        <f t="array" ref="BC130">INDEX(BallastFactorTable[Industrial BPA Reference Number],MATCH(1,(BallastFactorTable[Fixture Class]=J130)*(BallastFactorTable[Fixture Category]=K130)*(BallastFactorTable[Fixture Sub-category]=L130),0))</f>
        <v>#N/A</v>
      </c>
      <c r="BD130" s="264" t="str">
        <f t="shared" si="44"/>
        <v>Sector is blank</v>
      </c>
      <c r="BE130" s="269" t="str">
        <f>IF(ISBLANK(SectorField),"Sector is blank",IF(AM130="Row Not Used","",IF(OR(R130="No Controls",ISBLANK(R130)),"",INDEX(ControlsBPARefNoTable[Reference Number],MATCH(SectorField,ControlsBPARefNoTable[Sector],0)))))</f>
        <v>Sector is blank</v>
      </c>
      <c r="BF130" s="530" t="str">
        <f t="shared" si="45"/>
        <v/>
      </c>
      <c r="BG130" s="132" t="str">
        <f t="shared" si="46"/>
        <v/>
      </c>
      <c r="BH130" s="531" t="str">
        <f t="shared" si="47"/>
        <v/>
      </c>
      <c r="BI130" s="532"/>
      <c r="BJ130" s="538" t="str">
        <f t="shared" si="53"/>
        <v/>
      </c>
      <c r="BK130" s="539" t="str">
        <f t="shared" si="54"/>
        <v/>
      </c>
      <c r="BL130" s="547" t="str">
        <f t="shared" si="55"/>
        <v/>
      </c>
    </row>
    <row r="131" spans="1:64" x14ac:dyDescent="0.3">
      <c r="A131" s="133">
        <v>124</v>
      </c>
      <c r="B131" s="294"/>
      <c r="C131" s="313"/>
      <c r="D131" s="292"/>
      <c r="E131" s="284"/>
      <c r="F131" s="284"/>
      <c r="G131" s="295"/>
      <c r="H131" s="296"/>
      <c r="I131" s="297"/>
      <c r="J131" s="292"/>
      <c r="K131" s="284"/>
      <c r="L131" s="284"/>
      <c r="M131" s="295"/>
      <c r="N131" s="296"/>
      <c r="O131" s="296"/>
      <c r="P131" s="284"/>
      <c r="Q131" s="298"/>
      <c r="R131" s="292"/>
      <c r="S131" s="299"/>
      <c r="T131" s="300"/>
      <c r="U131" s="317" t="str">
        <f t="shared" si="29"/>
        <v/>
      </c>
      <c r="V131" s="301"/>
      <c r="W131" s="136" t="str">
        <f t="shared" si="30"/>
        <v/>
      </c>
      <c r="X131" s="588" t="str">
        <f t="shared" si="48"/>
        <v/>
      </c>
      <c r="Y131" s="580"/>
      <c r="Z131" s="251" t="str">
        <f t="shared" si="31"/>
        <v/>
      </c>
      <c r="AA131" s="138" t="str">
        <f t="shared" si="56"/>
        <v/>
      </c>
      <c r="AB131" s="243" t="str">
        <f t="shared" si="49"/>
        <v/>
      </c>
      <c r="AC131" s="141" t="str">
        <f t="shared" si="32"/>
        <v/>
      </c>
      <c r="AD131" s="138" t="str">
        <f t="shared" si="50"/>
        <v/>
      </c>
      <c r="AE131" s="243" t="str">
        <f t="shared" si="33"/>
        <v/>
      </c>
      <c r="AF131" s="342" t="str">
        <f>IF(AM131="Row Not Used","",INDEX(SpaceTable[Annual Hours],(MATCH(B131,SpaceTable[Space Name Concatenated Helper],0))))</f>
        <v/>
      </c>
      <c r="AG131" s="205" t="str">
        <f t="shared" si="34"/>
        <v/>
      </c>
      <c r="AH131" s="234" t="str">
        <f t="shared" si="35"/>
        <v/>
      </c>
      <c r="AI131" s="205" t="str">
        <f t="shared" si="36"/>
        <v/>
      </c>
      <c r="AJ131" s="234" t="str">
        <f t="shared" si="37"/>
        <v/>
      </c>
      <c r="AK131" s="144" t="str">
        <f>IF(AM131="Row Not Used","",INDEX(SpaceTable[Row],(MATCH(B131,SpaceTable[Space Name Concatenated Helper],0))))</f>
        <v/>
      </c>
      <c r="AL131" s="238" t="str">
        <f>IF(AM131="Row Not Used","",INDEX(SpaceTable[HVAC Factor],(MATCH(B131,SpaceTable[Space Name Concatenated Helper],0))))</f>
        <v/>
      </c>
      <c r="AM131" s="520" t="str">
        <f t="shared" si="38"/>
        <v>Row Not Used</v>
      </c>
      <c r="AN131" s="512" t="e" cm="1">
        <f t="array" ref="AN131">INDEX(BallastFactorTable[Ballast Factor],MATCH(1,(BallastFactorTable[Fixture Class]=D131)*(BallastFactorTable[Fixture Category]=E131)*(BallastFactorTable[Fixture Sub-category]=F131),0))</f>
        <v>#N/A</v>
      </c>
      <c r="AO131" s="143" t="str">
        <f t="shared" si="51"/>
        <v/>
      </c>
      <c r="AP131" s="501" t="e" cm="1">
        <f t="array" ref="AP131">INDEX(BallastFactorTable[Wattage Range Name],MATCH(1,(BallastFactorTable[Fixture Class]=D131)*(BallastFactorTable[Fixture Category]=E131)*(BallastFactorTable[Fixture Sub-category]=F131),0))</f>
        <v>#N/A</v>
      </c>
      <c r="AQ131" s="515" t="str">
        <f t="shared" ca="1" si="39"/>
        <v>Okay</v>
      </c>
      <c r="AR131" s="512">
        <f t="shared" si="40"/>
        <v>0</v>
      </c>
      <c r="AS131" s="511" t="str">
        <f>IF(OR(Measures!AM131="Row Not Used",Measures!C131="Controls Only",Measures!C131="Decommissioning"),"",_xlfn.CONCAT(P131," ",Q131))</f>
        <v/>
      </c>
      <c r="AT131" s="264" t="str">
        <f t="shared" si="41"/>
        <v>None</v>
      </c>
      <c r="AU131" s="229">
        <f>IF(OR(AM131="Row Not Used",AM131="Controls Only"),0,INDEX(IncentiveRateTable[Incentive Rate],MATCH(AT131,IncentiveRateTable[Incentive Name],0)))</f>
        <v>0</v>
      </c>
      <c r="AV131" s="133" t="str">
        <f>IF(OR(AM131="Row Not Used",AM131="Controls Only"),"None",INDEX(IncentiveRateTable[Incentive Unit],MATCH(AT131,IncentiveRateTable[Incentive Name],0)))</f>
        <v>None</v>
      </c>
      <c r="AW131" s="578">
        <f t="shared" si="52"/>
        <v>0</v>
      </c>
      <c r="AX131" s="264" t="str">
        <f t="shared" si="42"/>
        <v>None</v>
      </c>
      <c r="AY131" s="229">
        <f>IF(OR(AM131="Row Not Used",AM131="Fixtures Only",AM131="Decommissioning"),0,INDEX(IncentiveRateTable[Incentive Rate],MATCH(AX131,IncentiveRateTable[Incentive Name],0)))</f>
        <v>0</v>
      </c>
      <c r="AZ131" s="133" t="str">
        <f>IF(OR(AM131="Row Not Used",AM131="Fixtures Only",AM131="Decommissioning"),"None",INDEX(IncentiveRateTable[Incentive Unit],MATCH(AX131,IncentiveRateTable[Incentive Name],0)))</f>
        <v>None</v>
      </c>
      <c r="BA131" s="465">
        <f t="shared" si="43"/>
        <v>0</v>
      </c>
      <c r="BB131" s="264" t="e" cm="1">
        <f t="array" ref="BB131">INDEX(BallastFactorTable[Commercial BPA Reference Number],MATCH(1,(BallastFactorTable[Fixture Class]=J131)*(BallastFactorTable[Fixture Category]=K131)*(BallastFactorTable[Fixture Sub-category]=L131),0))</f>
        <v>#N/A</v>
      </c>
      <c r="BC131" s="133" t="e" cm="1">
        <f t="array" ref="BC131">INDEX(BallastFactorTable[Industrial BPA Reference Number],MATCH(1,(BallastFactorTable[Fixture Class]=J131)*(BallastFactorTable[Fixture Category]=K131)*(BallastFactorTable[Fixture Sub-category]=L131),0))</f>
        <v>#N/A</v>
      </c>
      <c r="BD131" s="264" t="str">
        <f t="shared" si="44"/>
        <v>Sector is blank</v>
      </c>
      <c r="BE131" s="269" t="str">
        <f>IF(ISBLANK(SectorField),"Sector is blank",IF(AM131="Row Not Used","",IF(OR(R131="No Controls",ISBLANK(R131)),"",INDEX(ControlsBPARefNoTable[Reference Number],MATCH(SectorField,ControlsBPARefNoTable[Sector],0)))))</f>
        <v>Sector is blank</v>
      </c>
      <c r="BF131" s="530" t="str">
        <f t="shared" si="45"/>
        <v/>
      </c>
      <c r="BG131" s="132" t="str">
        <f t="shared" si="46"/>
        <v/>
      </c>
      <c r="BH131" s="531" t="str">
        <f t="shared" si="47"/>
        <v/>
      </c>
      <c r="BI131" s="532"/>
      <c r="BJ131" s="538" t="str">
        <f t="shared" si="53"/>
        <v/>
      </c>
      <c r="BK131" s="539" t="str">
        <f t="shared" si="54"/>
        <v/>
      </c>
      <c r="BL131" s="547" t="str">
        <f t="shared" si="55"/>
        <v/>
      </c>
    </row>
    <row r="132" spans="1:64" x14ac:dyDescent="0.3">
      <c r="A132" s="133">
        <v>125</v>
      </c>
      <c r="B132" s="294"/>
      <c r="C132" s="313"/>
      <c r="D132" s="292"/>
      <c r="E132" s="284"/>
      <c r="F132" s="284"/>
      <c r="G132" s="295"/>
      <c r="H132" s="296"/>
      <c r="I132" s="297"/>
      <c r="J132" s="292"/>
      <c r="K132" s="284"/>
      <c r="L132" s="284"/>
      <c r="M132" s="295"/>
      <c r="N132" s="296"/>
      <c r="O132" s="296"/>
      <c r="P132" s="284"/>
      <c r="Q132" s="298"/>
      <c r="R132" s="292"/>
      <c r="S132" s="299"/>
      <c r="T132" s="300"/>
      <c r="U132" s="317" t="str">
        <f t="shared" si="29"/>
        <v/>
      </c>
      <c r="V132" s="301"/>
      <c r="W132" s="137" t="str">
        <f t="shared" si="30"/>
        <v/>
      </c>
      <c r="X132" s="589" t="str">
        <f t="shared" si="48"/>
        <v/>
      </c>
      <c r="Y132" s="581"/>
      <c r="Z132" s="251" t="str">
        <f t="shared" si="31"/>
        <v/>
      </c>
      <c r="AA132" s="138" t="str">
        <f t="shared" si="56"/>
        <v/>
      </c>
      <c r="AB132" s="243" t="str">
        <f t="shared" si="49"/>
        <v/>
      </c>
      <c r="AC132" s="141" t="str">
        <f t="shared" si="32"/>
        <v/>
      </c>
      <c r="AD132" s="138" t="str">
        <f t="shared" si="50"/>
        <v/>
      </c>
      <c r="AE132" s="243" t="str">
        <f t="shared" si="33"/>
        <v/>
      </c>
      <c r="AF132" s="342" t="str">
        <f>IF(AM132="Row Not Used","",INDEX(SpaceTable[Annual Hours],(MATCH(B132,SpaceTable[Space Name Concatenated Helper],0))))</f>
        <v/>
      </c>
      <c r="AG132" s="205" t="str">
        <f t="shared" si="34"/>
        <v/>
      </c>
      <c r="AH132" s="234" t="str">
        <f t="shared" si="35"/>
        <v/>
      </c>
      <c r="AI132" s="205" t="str">
        <f t="shared" si="36"/>
        <v/>
      </c>
      <c r="AJ132" s="234" t="str">
        <f t="shared" si="37"/>
        <v/>
      </c>
      <c r="AK132" s="144" t="str">
        <f>IF(AM132="Row Not Used","",INDEX(SpaceTable[Row],(MATCH(B132,SpaceTable[Space Name Concatenated Helper],0))))</f>
        <v/>
      </c>
      <c r="AL132" s="238" t="str">
        <f>IF(AM132="Row Not Used","",INDEX(SpaceTable[HVAC Factor],(MATCH(B132,SpaceTable[Space Name Concatenated Helper],0))))</f>
        <v/>
      </c>
      <c r="AM132" s="520" t="str">
        <f t="shared" si="38"/>
        <v>Row Not Used</v>
      </c>
      <c r="AN132" s="512" t="e" cm="1">
        <f t="array" ref="AN132">INDEX(BallastFactorTable[Ballast Factor],MATCH(1,(BallastFactorTable[Fixture Class]=D132)*(BallastFactorTable[Fixture Category]=E132)*(BallastFactorTable[Fixture Sub-category]=F132),0))</f>
        <v>#N/A</v>
      </c>
      <c r="AO132" s="143" t="str">
        <f t="shared" si="51"/>
        <v/>
      </c>
      <c r="AP132" s="501" t="e" cm="1">
        <f t="array" ref="AP132">INDEX(BallastFactorTable[Wattage Range Name],MATCH(1,(BallastFactorTable[Fixture Class]=D132)*(BallastFactorTable[Fixture Category]=E132)*(BallastFactorTable[Fixture Sub-category]=F132),0))</f>
        <v>#N/A</v>
      </c>
      <c r="AQ132" s="515" t="str">
        <f t="shared" ca="1" si="39"/>
        <v>Okay</v>
      </c>
      <c r="AR132" s="512">
        <f t="shared" si="40"/>
        <v>0</v>
      </c>
      <c r="AS132" s="511" t="str">
        <f>IF(OR(Measures!AM132="Row Not Used",Measures!C132="Controls Only",Measures!C132="Decommissioning"),"",_xlfn.CONCAT(P132," ",Q132))</f>
        <v/>
      </c>
      <c r="AT132" s="264" t="str">
        <f t="shared" si="41"/>
        <v>None</v>
      </c>
      <c r="AU132" s="229">
        <f>IF(OR(AM132="Row Not Used",AM132="Controls Only"),0,INDEX(IncentiveRateTable[Incentive Rate],MATCH(AT132,IncentiveRateTable[Incentive Name],0)))</f>
        <v>0</v>
      </c>
      <c r="AV132" s="133" t="str">
        <f>IF(OR(AM132="Row Not Used",AM132="Controls Only"),"None",INDEX(IncentiveRateTable[Incentive Unit],MATCH(AT132,IncentiveRateTable[Incentive Name],0)))</f>
        <v>None</v>
      </c>
      <c r="AW132" s="578">
        <f t="shared" si="52"/>
        <v>0</v>
      </c>
      <c r="AX132" s="264" t="str">
        <f t="shared" si="42"/>
        <v>None</v>
      </c>
      <c r="AY132" s="229">
        <f>IF(OR(AM132="Row Not Used",AM132="Fixtures Only",AM132="Decommissioning"),0,INDEX(IncentiveRateTable[Incentive Rate],MATCH(AX132,IncentiveRateTable[Incentive Name],0)))</f>
        <v>0</v>
      </c>
      <c r="AZ132" s="133" t="str">
        <f>IF(OR(AM132="Row Not Used",AM132="Fixtures Only",AM132="Decommissioning"),"None",INDEX(IncentiveRateTable[Incentive Unit],MATCH(AX132,IncentiveRateTable[Incentive Name],0)))</f>
        <v>None</v>
      </c>
      <c r="BA132" s="465">
        <f t="shared" si="43"/>
        <v>0</v>
      </c>
      <c r="BB132" s="264" t="e" cm="1">
        <f t="array" ref="BB132">INDEX(BallastFactorTable[Commercial BPA Reference Number],MATCH(1,(BallastFactorTable[Fixture Class]=J132)*(BallastFactorTable[Fixture Category]=K132)*(BallastFactorTable[Fixture Sub-category]=L132),0))</f>
        <v>#N/A</v>
      </c>
      <c r="BC132" s="133" t="e" cm="1">
        <f t="array" ref="BC132">INDEX(BallastFactorTable[Industrial BPA Reference Number],MATCH(1,(BallastFactorTable[Fixture Class]=J132)*(BallastFactorTable[Fixture Category]=K132)*(BallastFactorTable[Fixture Sub-category]=L132),0))</f>
        <v>#N/A</v>
      </c>
      <c r="BD132" s="264" t="str">
        <f t="shared" si="44"/>
        <v>Sector is blank</v>
      </c>
      <c r="BE132" s="269" t="str">
        <f>IF(ISBLANK(SectorField),"Sector is blank",IF(AM132="Row Not Used","",IF(OR(R132="No Controls",ISBLANK(R132)),"",INDEX(ControlsBPARefNoTable[Reference Number],MATCH(SectorField,ControlsBPARefNoTable[Sector],0)))))</f>
        <v>Sector is blank</v>
      </c>
      <c r="BF132" s="530" t="str">
        <f t="shared" si="45"/>
        <v/>
      </c>
      <c r="BG132" s="132" t="str">
        <f t="shared" si="46"/>
        <v/>
      </c>
      <c r="BH132" s="531" t="str">
        <f t="shared" si="47"/>
        <v/>
      </c>
      <c r="BI132" s="532"/>
      <c r="BJ132" s="538" t="str">
        <f t="shared" si="53"/>
        <v/>
      </c>
      <c r="BK132" s="539" t="str">
        <f t="shared" si="54"/>
        <v/>
      </c>
      <c r="BL132" s="547" t="str">
        <f t="shared" si="55"/>
        <v/>
      </c>
    </row>
    <row r="133" spans="1:64" x14ac:dyDescent="0.3">
      <c r="A133" s="133">
        <v>126</v>
      </c>
      <c r="B133" s="294"/>
      <c r="C133" s="313"/>
      <c r="D133" s="292"/>
      <c r="E133" s="284"/>
      <c r="F133" s="284"/>
      <c r="G133" s="295"/>
      <c r="H133" s="296"/>
      <c r="I133" s="297"/>
      <c r="J133" s="292"/>
      <c r="K133" s="284"/>
      <c r="L133" s="284"/>
      <c r="M133" s="295"/>
      <c r="N133" s="296"/>
      <c r="O133" s="296"/>
      <c r="P133" s="284"/>
      <c r="Q133" s="298"/>
      <c r="R133" s="292"/>
      <c r="S133" s="299"/>
      <c r="T133" s="300"/>
      <c r="U133" s="317" t="str">
        <f t="shared" si="29"/>
        <v/>
      </c>
      <c r="V133" s="301"/>
      <c r="W133" s="136" t="str">
        <f t="shared" si="30"/>
        <v/>
      </c>
      <c r="X133" s="588" t="str">
        <f t="shared" si="48"/>
        <v/>
      </c>
      <c r="Y133" s="580"/>
      <c r="Z133" s="251" t="str">
        <f t="shared" si="31"/>
        <v/>
      </c>
      <c r="AA133" s="138" t="str">
        <f t="shared" si="56"/>
        <v/>
      </c>
      <c r="AB133" s="243" t="str">
        <f t="shared" si="49"/>
        <v/>
      </c>
      <c r="AC133" s="141" t="str">
        <f t="shared" si="32"/>
        <v/>
      </c>
      <c r="AD133" s="138" t="str">
        <f t="shared" si="50"/>
        <v/>
      </c>
      <c r="AE133" s="243" t="str">
        <f t="shared" si="33"/>
        <v/>
      </c>
      <c r="AF133" s="342" t="str">
        <f>IF(AM133="Row Not Used","",INDEX(SpaceTable[Annual Hours],(MATCH(B133,SpaceTable[Space Name Concatenated Helper],0))))</f>
        <v/>
      </c>
      <c r="AG133" s="205" t="str">
        <f t="shared" si="34"/>
        <v/>
      </c>
      <c r="AH133" s="234" t="str">
        <f t="shared" si="35"/>
        <v/>
      </c>
      <c r="AI133" s="205" t="str">
        <f t="shared" si="36"/>
        <v/>
      </c>
      <c r="AJ133" s="234" t="str">
        <f t="shared" si="37"/>
        <v/>
      </c>
      <c r="AK133" s="144" t="str">
        <f>IF(AM133="Row Not Used","",INDEX(SpaceTable[Row],(MATCH(B133,SpaceTable[Space Name Concatenated Helper],0))))</f>
        <v/>
      </c>
      <c r="AL133" s="238" t="str">
        <f>IF(AM133="Row Not Used","",INDEX(SpaceTable[HVAC Factor],(MATCH(B133,SpaceTable[Space Name Concatenated Helper],0))))</f>
        <v/>
      </c>
      <c r="AM133" s="520" t="str">
        <f t="shared" si="38"/>
        <v>Row Not Used</v>
      </c>
      <c r="AN133" s="512" t="e" cm="1">
        <f t="array" ref="AN133">INDEX(BallastFactorTable[Ballast Factor],MATCH(1,(BallastFactorTable[Fixture Class]=D133)*(BallastFactorTable[Fixture Category]=E133)*(BallastFactorTable[Fixture Sub-category]=F133),0))</f>
        <v>#N/A</v>
      </c>
      <c r="AO133" s="143" t="str">
        <f t="shared" si="51"/>
        <v/>
      </c>
      <c r="AP133" s="501" t="e" cm="1">
        <f t="array" ref="AP133">INDEX(BallastFactorTable[Wattage Range Name],MATCH(1,(BallastFactorTable[Fixture Class]=D133)*(BallastFactorTable[Fixture Category]=E133)*(BallastFactorTable[Fixture Sub-category]=F133),0))</f>
        <v>#N/A</v>
      </c>
      <c r="AQ133" s="515" t="str">
        <f t="shared" ca="1" si="39"/>
        <v>Okay</v>
      </c>
      <c r="AR133" s="512">
        <f t="shared" si="40"/>
        <v>0</v>
      </c>
      <c r="AS133" s="511" t="str">
        <f>IF(OR(Measures!AM133="Row Not Used",Measures!C133="Controls Only",Measures!C133="Decommissioning"),"",_xlfn.CONCAT(P133," ",Q133))</f>
        <v/>
      </c>
      <c r="AT133" s="264" t="str">
        <f t="shared" si="41"/>
        <v>None</v>
      </c>
      <c r="AU133" s="229">
        <f>IF(OR(AM133="Row Not Used",AM133="Controls Only"),0,INDEX(IncentiveRateTable[Incentive Rate],MATCH(AT133,IncentiveRateTable[Incentive Name],0)))</f>
        <v>0</v>
      </c>
      <c r="AV133" s="133" t="str">
        <f>IF(OR(AM133="Row Not Used",AM133="Controls Only"),"None",INDEX(IncentiveRateTable[Incentive Unit],MATCH(AT133,IncentiveRateTable[Incentive Name],0)))</f>
        <v>None</v>
      </c>
      <c r="AW133" s="578">
        <f t="shared" si="52"/>
        <v>0</v>
      </c>
      <c r="AX133" s="264" t="str">
        <f t="shared" si="42"/>
        <v>None</v>
      </c>
      <c r="AY133" s="229">
        <f>IF(OR(AM133="Row Not Used",AM133="Fixtures Only",AM133="Decommissioning"),0,INDEX(IncentiveRateTable[Incentive Rate],MATCH(AX133,IncentiveRateTable[Incentive Name],0)))</f>
        <v>0</v>
      </c>
      <c r="AZ133" s="133" t="str">
        <f>IF(OR(AM133="Row Not Used",AM133="Fixtures Only",AM133="Decommissioning"),"None",INDEX(IncentiveRateTable[Incentive Unit],MATCH(AX133,IncentiveRateTable[Incentive Name],0)))</f>
        <v>None</v>
      </c>
      <c r="BA133" s="465">
        <f t="shared" si="43"/>
        <v>0</v>
      </c>
      <c r="BB133" s="264" t="e" cm="1">
        <f t="array" ref="BB133">INDEX(BallastFactorTable[Commercial BPA Reference Number],MATCH(1,(BallastFactorTable[Fixture Class]=J133)*(BallastFactorTable[Fixture Category]=K133)*(BallastFactorTable[Fixture Sub-category]=L133),0))</f>
        <v>#N/A</v>
      </c>
      <c r="BC133" s="133" t="e" cm="1">
        <f t="array" ref="BC133">INDEX(BallastFactorTable[Industrial BPA Reference Number],MATCH(1,(BallastFactorTable[Fixture Class]=J133)*(BallastFactorTable[Fixture Category]=K133)*(BallastFactorTable[Fixture Sub-category]=L133),0))</f>
        <v>#N/A</v>
      </c>
      <c r="BD133" s="264" t="str">
        <f t="shared" si="44"/>
        <v>Sector is blank</v>
      </c>
      <c r="BE133" s="269" t="str">
        <f>IF(ISBLANK(SectorField),"Sector is blank",IF(AM133="Row Not Used","",IF(OR(R133="No Controls",ISBLANK(R133)),"",INDEX(ControlsBPARefNoTable[Reference Number],MATCH(SectorField,ControlsBPARefNoTable[Sector],0)))))</f>
        <v>Sector is blank</v>
      </c>
      <c r="BF133" s="530" t="str">
        <f t="shared" si="45"/>
        <v/>
      </c>
      <c r="BG133" s="132" t="str">
        <f t="shared" si="46"/>
        <v/>
      </c>
      <c r="BH133" s="531" t="str">
        <f t="shared" si="47"/>
        <v/>
      </c>
      <c r="BI133" s="532"/>
      <c r="BJ133" s="538" t="str">
        <f t="shared" si="53"/>
        <v/>
      </c>
      <c r="BK133" s="539" t="str">
        <f t="shared" si="54"/>
        <v/>
      </c>
      <c r="BL133" s="547" t="str">
        <f t="shared" si="55"/>
        <v/>
      </c>
    </row>
    <row r="134" spans="1:64" x14ac:dyDescent="0.3">
      <c r="A134" s="133">
        <v>127</v>
      </c>
      <c r="B134" s="294"/>
      <c r="C134" s="313"/>
      <c r="D134" s="292"/>
      <c r="E134" s="284"/>
      <c r="F134" s="284"/>
      <c r="G134" s="295"/>
      <c r="H134" s="296"/>
      <c r="I134" s="297"/>
      <c r="J134" s="292"/>
      <c r="K134" s="284"/>
      <c r="L134" s="284"/>
      <c r="M134" s="295"/>
      <c r="N134" s="296"/>
      <c r="O134" s="296"/>
      <c r="P134" s="284"/>
      <c r="Q134" s="298"/>
      <c r="R134" s="292"/>
      <c r="S134" s="299"/>
      <c r="T134" s="300"/>
      <c r="U134" s="317" t="str">
        <f t="shared" si="29"/>
        <v/>
      </c>
      <c r="V134" s="301"/>
      <c r="W134" s="137" t="str">
        <f t="shared" si="30"/>
        <v/>
      </c>
      <c r="X134" s="589" t="str">
        <f t="shared" si="48"/>
        <v/>
      </c>
      <c r="Y134" s="581"/>
      <c r="Z134" s="251" t="str">
        <f t="shared" si="31"/>
        <v/>
      </c>
      <c r="AA134" s="138" t="str">
        <f t="shared" si="56"/>
        <v/>
      </c>
      <c r="AB134" s="243" t="str">
        <f t="shared" si="49"/>
        <v/>
      </c>
      <c r="AC134" s="141" t="str">
        <f t="shared" si="32"/>
        <v/>
      </c>
      <c r="AD134" s="138" t="str">
        <f t="shared" si="50"/>
        <v/>
      </c>
      <c r="AE134" s="243" t="str">
        <f t="shared" si="33"/>
        <v/>
      </c>
      <c r="AF134" s="342" t="str">
        <f>IF(AM134="Row Not Used","",INDEX(SpaceTable[Annual Hours],(MATCH(B134,SpaceTable[Space Name Concatenated Helper],0))))</f>
        <v/>
      </c>
      <c r="AG134" s="205" t="str">
        <f t="shared" si="34"/>
        <v/>
      </c>
      <c r="AH134" s="234" t="str">
        <f t="shared" si="35"/>
        <v/>
      </c>
      <c r="AI134" s="205" t="str">
        <f t="shared" si="36"/>
        <v/>
      </c>
      <c r="AJ134" s="234" t="str">
        <f t="shared" si="37"/>
        <v/>
      </c>
      <c r="AK134" s="144" t="str">
        <f>IF(AM134="Row Not Used","",INDEX(SpaceTable[Row],(MATCH(B134,SpaceTable[Space Name Concatenated Helper],0))))</f>
        <v/>
      </c>
      <c r="AL134" s="238" t="str">
        <f>IF(AM134="Row Not Used","",INDEX(SpaceTable[HVAC Factor],(MATCH(B134,SpaceTable[Space Name Concatenated Helper],0))))</f>
        <v/>
      </c>
      <c r="AM134" s="520" t="str">
        <f t="shared" si="38"/>
        <v>Row Not Used</v>
      </c>
      <c r="AN134" s="512" t="e" cm="1">
        <f t="array" ref="AN134">INDEX(BallastFactorTable[Ballast Factor],MATCH(1,(BallastFactorTable[Fixture Class]=D134)*(BallastFactorTable[Fixture Category]=E134)*(BallastFactorTable[Fixture Sub-category]=F134),0))</f>
        <v>#N/A</v>
      </c>
      <c r="AO134" s="143" t="str">
        <f t="shared" si="51"/>
        <v/>
      </c>
      <c r="AP134" s="501" t="e" cm="1">
        <f t="array" ref="AP134">INDEX(BallastFactorTable[Wattage Range Name],MATCH(1,(BallastFactorTable[Fixture Class]=D134)*(BallastFactorTable[Fixture Category]=E134)*(BallastFactorTable[Fixture Sub-category]=F134),0))</f>
        <v>#N/A</v>
      </c>
      <c r="AQ134" s="515" t="str">
        <f t="shared" ca="1" si="39"/>
        <v>Okay</v>
      </c>
      <c r="AR134" s="512">
        <f t="shared" si="40"/>
        <v>0</v>
      </c>
      <c r="AS134" s="511" t="str">
        <f>IF(OR(Measures!AM134="Row Not Used",Measures!C134="Controls Only",Measures!C134="Decommissioning"),"",_xlfn.CONCAT(P134," ",Q134))</f>
        <v/>
      </c>
      <c r="AT134" s="264" t="str">
        <f t="shared" si="41"/>
        <v>None</v>
      </c>
      <c r="AU134" s="229">
        <f>IF(OR(AM134="Row Not Used",AM134="Controls Only"),0,INDEX(IncentiveRateTable[Incentive Rate],MATCH(AT134,IncentiveRateTable[Incentive Name],0)))</f>
        <v>0</v>
      </c>
      <c r="AV134" s="133" t="str">
        <f>IF(OR(AM134="Row Not Used",AM134="Controls Only"),"None",INDEX(IncentiveRateTable[Incentive Unit],MATCH(AT134,IncentiveRateTable[Incentive Name],0)))</f>
        <v>None</v>
      </c>
      <c r="AW134" s="578">
        <f t="shared" si="52"/>
        <v>0</v>
      </c>
      <c r="AX134" s="264" t="str">
        <f t="shared" si="42"/>
        <v>None</v>
      </c>
      <c r="AY134" s="229">
        <f>IF(OR(AM134="Row Not Used",AM134="Fixtures Only",AM134="Decommissioning"),0,INDEX(IncentiveRateTable[Incentive Rate],MATCH(AX134,IncentiveRateTable[Incentive Name],0)))</f>
        <v>0</v>
      </c>
      <c r="AZ134" s="133" t="str">
        <f>IF(OR(AM134="Row Not Used",AM134="Fixtures Only",AM134="Decommissioning"),"None",INDEX(IncentiveRateTable[Incentive Unit],MATCH(AX134,IncentiveRateTable[Incentive Name],0)))</f>
        <v>None</v>
      </c>
      <c r="BA134" s="465">
        <f t="shared" si="43"/>
        <v>0</v>
      </c>
      <c r="BB134" s="264" t="e" cm="1">
        <f t="array" ref="BB134">INDEX(BallastFactorTable[Commercial BPA Reference Number],MATCH(1,(BallastFactorTable[Fixture Class]=J134)*(BallastFactorTable[Fixture Category]=K134)*(BallastFactorTable[Fixture Sub-category]=L134),0))</f>
        <v>#N/A</v>
      </c>
      <c r="BC134" s="133" t="e" cm="1">
        <f t="array" ref="BC134">INDEX(BallastFactorTable[Industrial BPA Reference Number],MATCH(1,(BallastFactorTable[Fixture Class]=J134)*(BallastFactorTable[Fixture Category]=K134)*(BallastFactorTable[Fixture Sub-category]=L134),0))</f>
        <v>#N/A</v>
      </c>
      <c r="BD134" s="264" t="str">
        <f t="shared" si="44"/>
        <v>Sector is blank</v>
      </c>
      <c r="BE134" s="269" t="str">
        <f>IF(ISBLANK(SectorField),"Sector is blank",IF(AM134="Row Not Used","",IF(OR(R134="No Controls",ISBLANK(R134)),"",INDEX(ControlsBPARefNoTable[Reference Number],MATCH(SectorField,ControlsBPARefNoTable[Sector],0)))))</f>
        <v>Sector is blank</v>
      </c>
      <c r="BF134" s="530" t="str">
        <f t="shared" si="45"/>
        <v/>
      </c>
      <c r="BG134" s="132" t="str">
        <f t="shared" si="46"/>
        <v/>
      </c>
      <c r="BH134" s="531" t="str">
        <f t="shared" si="47"/>
        <v/>
      </c>
      <c r="BI134" s="532"/>
      <c r="BJ134" s="538" t="str">
        <f t="shared" si="53"/>
        <v/>
      </c>
      <c r="BK134" s="539" t="str">
        <f t="shared" si="54"/>
        <v/>
      </c>
      <c r="BL134" s="547" t="str">
        <f t="shared" si="55"/>
        <v/>
      </c>
    </row>
    <row r="135" spans="1:64" x14ac:dyDescent="0.3">
      <c r="A135" s="133">
        <v>128</v>
      </c>
      <c r="B135" s="294"/>
      <c r="C135" s="313"/>
      <c r="D135" s="292"/>
      <c r="E135" s="284"/>
      <c r="F135" s="284"/>
      <c r="G135" s="295"/>
      <c r="H135" s="296"/>
      <c r="I135" s="297"/>
      <c r="J135" s="292"/>
      <c r="K135" s="284"/>
      <c r="L135" s="284"/>
      <c r="M135" s="295"/>
      <c r="N135" s="296"/>
      <c r="O135" s="296"/>
      <c r="P135" s="284"/>
      <c r="Q135" s="298"/>
      <c r="R135" s="292"/>
      <c r="S135" s="299"/>
      <c r="T135" s="300"/>
      <c r="U135" s="317" t="str">
        <f t="shared" si="29"/>
        <v/>
      </c>
      <c r="V135" s="301"/>
      <c r="W135" s="136" t="str">
        <f t="shared" si="30"/>
        <v/>
      </c>
      <c r="X135" s="588" t="str">
        <f t="shared" si="48"/>
        <v/>
      </c>
      <c r="Y135" s="580"/>
      <c r="Z135" s="251" t="str">
        <f t="shared" si="31"/>
        <v/>
      </c>
      <c r="AA135" s="138" t="str">
        <f t="shared" si="56"/>
        <v/>
      </c>
      <c r="AB135" s="243" t="str">
        <f t="shared" si="49"/>
        <v/>
      </c>
      <c r="AC135" s="141" t="str">
        <f t="shared" si="32"/>
        <v/>
      </c>
      <c r="AD135" s="138" t="str">
        <f t="shared" si="50"/>
        <v/>
      </c>
      <c r="AE135" s="243" t="str">
        <f t="shared" si="33"/>
        <v/>
      </c>
      <c r="AF135" s="342" t="str">
        <f>IF(AM135="Row Not Used","",INDEX(SpaceTable[Annual Hours],(MATCH(B135,SpaceTable[Space Name Concatenated Helper],0))))</f>
        <v/>
      </c>
      <c r="AG135" s="205" t="str">
        <f t="shared" si="34"/>
        <v/>
      </c>
      <c r="AH135" s="234" t="str">
        <f t="shared" si="35"/>
        <v/>
      </c>
      <c r="AI135" s="205" t="str">
        <f t="shared" si="36"/>
        <v/>
      </c>
      <c r="AJ135" s="234" t="str">
        <f t="shared" si="37"/>
        <v/>
      </c>
      <c r="AK135" s="144" t="str">
        <f>IF(AM135="Row Not Used","",INDEX(SpaceTable[Row],(MATCH(B135,SpaceTable[Space Name Concatenated Helper],0))))</f>
        <v/>
      </c>
      <c r="AL135" s="238" t="str">
        <f>IF(AM135="Row Not Used","",INDEX(SpaceTable[HVAC Factor],(MATCH(B135,SpaceTable[Space Name Concatenated Helper],0))))</f>
        <v/>
      </c>
      <c r="AM135" s="520" t="str">
        <f t="shared" si="38"/>
        <v>Row Not Used</v>
      </c>
      <c r="AN135" s="512" t="e" cm="1">
        <f t="array" ref="AN135">INDEX(BallastFactorTable[Ballast Factor],MATCH(1,(BallastFactorTable[Fixture Class]=D135)*(BallastFactorTable[Fixture Category]=E135)*(BallastFactorTable[Fixture Sub-category]=F135),0))</f>
        <v>#N/A</v>
      </c>
      <c r="AO135" s="143" t="str">
        <f t="shared" si="51"/>
        <v/>
      </c>
      <c r="AP135" s="501" t="e" cm="1">
        <f t="array" ref="AP135">INDEX(BallastFactorTable[Wattage Range Name],MATCH(1,(BallastFactorTable[Fixture Class]=D135)*(BallastFactorTable[Fixture Category]=E135)*(BallastFactorTable[Fixture Sub-category]=F135),0))</f>
        <v>#N/A</v>
      </c>
      <c r="AQ135" s="515" t="str">
        <f t="shared" ca="1" si="39"/>
        <v>Okay</v>
      </c>
      <c r="AR135" s="512">
        <f t="shared" si="40"/>
        <v>0</v>
      </c>
      <c r="AS135" s="511" t="str">
        <f>IF(OR(Measures!AM135="Row Not Used",Measures!C135="Controls Only",Measures!C135="Decommissioning"),"",_xlfn.CONCAT(P135," ",Q135))</f>
        <v/>
      </c>
      <c r="AT135" s="264" t="str">
        <f t="shared" si="41"/>
        <v>None</v>
      </c>
      <c r="AU135" s="229">
        <f>IF(OR(AM135="Row Not Used",AM135="Controls Only"),0,INDEX(IncentiveRateTable[Incentive Rate],MATCH(AT135,IncentiveRateTable[Incentive Name],0)))</f>
        <v>0</v>
      </c>
      <c r="AV135" s="133" t="str">
        <f>IF(OR(AM135="Row Not Used",AM135="Controls Only"),"None",INDEX(IncentiveRateTable[Incentive Unit],MATCH(AT135,IncentiveRateTable[Incentive Name],0)))</f>
        <v>None</v>
      </c>
      <c r="AW135" s="578">
        <f t="shared" si="52"/>
        <v>0</v>
      </c>
      <c r="AX135" s="264" t="str">
        <f t="shared" si="42"/>
        <v>None</v>
      </c>
      <c r="AY135" s="229">
        <f>IF(OR(AM135="Row Not Used",AM135="Fixtures Only",AM135="Decommissioning"),0,INDEX(IncentiveRateTable[Incentive Rate],MATCH(AX135,IncentiveRateTable[Incentive Name],0)))</f>
        <v>0</v>
      </c>
      <c r="AZ135" s="133" t="str">
        <f>IF(OR(AM135="Row Not Used",AM135="Fixtures Only",AM135="Decommissioning"),"None",INDEX(IncentiveRateTable[Incentive Unit],MATCH(AX135,IncentiveRateTable[Incentive Name],0)))</f>
        <v>None</v>
      </c>
      <c r="BA135" s="465">
        <f t="shared" si="43"/>
        <v>0</v>
      </c>
      <c r="BB135" s="264" t="e" cm="1">
        <f t="array" ref="BB135">INDEX(BallastFactorTable[Commercial BPA Reference Number],MATCH(1,(BallastFactorTable[Fixture Class]=J135)*(BallastFactorTable[Fixture Category]=K135)*(BallastFactorTable[Fixture Sub-category]=L135),0))</f>
        <v>#N/A</v>
      </c>
      <c r="BC135" s="133" t="e" cm="1">
        <f t="array" ref="BC135">INDEX(BallastFactorTable[Industrial BPA Reference Number],MATCH(1,(BallastFactorTable[Fixture Class]=J135)*(BallastFactorTable[Fixture Category]=K135)*(BallastFactorTable[Fixture Sub-category]=L135),0))</f>
        <v>#N/A</v>
      </c>
      <c r="BD135" s="264" t="str">
        <f t="shared" si="44"/>
        <v>Sector is blank</v>
      </c>
      <c r="BE135" s="269" t="str">
        <f>IF(ISBLANK(SectorField),"Sector is blank",IF(AM135="Row Not Used","",IF(OR(R135="No Controls",ISBLANK(R135)),"",INDEX(ControlsBPARefNoTable[Reference Number],MATCH(SectorField,ControlsBPARefNoTable[Sector],0)))))</f>
        <v>Sector is blank</v>
      </c>
      <c r="BF135" s="530" t="str">
        <f t="shared" si="45"/>
        <v/>
      </c>
      <c r="BG135" s="132" t="str">
        <f t="shared" si="46"/>
        <v/>
      </c>
      <c r="BH135" s="531" t="str">
        <f t="shared" si="47"/>
        <v/>
      </c>
      <c r="BI135" s="532"/>
      <c r="BJ135" s="538" t="str">
        <f t="shared" si="53"/>
        <v/>
      </c>
      <c r="BK135" s="539" t="str">
        <f t="shared" si="54"/>
        <v/>
      </c>
      <c r="BL135" s="547" t="str">
        <f t="shared" si="55"/>
        <v/>
      </c>
    </row>
    <row r="136" spans="1:64" x14ac:dyDescent="0.3">
      <c r="A136" s="133">
        <v>129</v>
      </c>
      <c r="B136" s="294"/>
      <c r="C136" s="313"/>
      <c r="D136" s="292"/>
      <c r="E136" s="284"/>
      <c r="F136" s="284"/>
      <c r="G136" s="295"/>
      <c r="H136" s="296"/>
      <c r="I136" s="297"/>
      <c r="J136" s="292"/>
      <c r="K136" s="284"/>
      <c r="L136" s="284"/>
      <c r="M136" s="295"/>
      <c r="N136" s="296"/>
      <c r="O136" s="296"/>
      <c r="P136" s="284"/>
      <c r="Q136" s="298"/>
      <c r="R136" s="292"/>
      <c r="S136" s="299"/>
      <c r="T136" s="300"/>
      <c r="U136" s="317" t="str">
        <f t="shared" ref="U136:U199" si="57">IF(OR(ISBLANK(R136),R136="No Controls"),"",IF(R136="Networked Controls",CtrlPctHrsReductionNetworked,CtrlPctHrsReductionNonNetworked))</f>
        <v/>
      </c>
      <c r="V136" s="301"/>
      <c r="W136" s="137" t="str">
        <f t="shared" ref="W136:W199" si="58">IF(AM136="Row Not Used","",IF(OR(AM136="Fixtures Only",AM136="decommissioning"),Z136,IF(AM136="Controls Only",AC136,Z136+AC136)))</f>
        <v/>
      </c>
      <c r="X136" s="589" t="str">
        <f t="shared" si="48"/>
        <v/>
      </c>
      <c r="Y136" s="581"/>
      <c r="Z136" s="251" t="str">
        <f t="shared" ref="Z136:Z199" si="59">IF(OR(AM136="Row Not Used",AM136="Controls Only"),"",IF(AM136="Decommissioning",AH136,AH136-AJ136))</f>
        <v/>
      </c>
      <c r="AA136" s="138" t="str">
        <f t="shared" si="56"/>
        <v/>
      </c>
      <c r="AB136" s="243" t="str">
        <f t="shared" si="49"/>
        <v/>
      </c>
      <c r="AC136" s="141" t="str">
        <f t="shared" ref="AC136:AC199" si="60">IF(OR(AM136="Row Not Used",AM136="Fixtures Only",AM136="Decommissioning"),"",BA136)</f>
        <v/>
      </c>
      <c r="AD136" s="138" t="str">
        <f t="shared" si="50"/>
        <v/>
      </c>
      <c r="AE136" s="243" t="str">
        <f t="shared" ref="AE136:AE199" si="61">IF(AZ136="None","",IF(AC136&lt;0,0,ROUND(AY136*AC136,2)))</f>
        <v/>
      </c>
      <c r="AF136" s="342" t="str">
        <f>IF(AM136="Row Not Used","",INDEX(SpaceTable[Annual Hours],(MATCH(B136,SpaceTable[Space Name Concatenated Helper],0))))</f>
        <v/>
      </c>
      <c r="AG136" s="205" t="str">
        <f t="shared" ref="AG136:AG199" si="62">IF(AM136="Row Not Used","",G136*H136*AO136)</f>
        <v/>
      </c>
      <c r="AH136" s="234" t="str">
        <f t="shared" ref="AH136:AH199" si="63">IF(AM136="Row Not Used","",(AG136*I136*AF136*AL136)/kWhConversion)</f>
        <v/>
      </c>
      <c r="AI136" s="205" t="str">
        <f t="shared" ref="AI136:AI199" si="64">IF(OR(AM136="Row Not Used",AM136="Controls Only",AM136="Decommissioning"),"",M136*N136)</f>
        <v/>
      </c>
      <c r="AJ136" s="234" t="str">
        <f t="shared" ref="AJ136:AJ199" si="65">IF(OR(AM136="Row Not Used",AM136="Controls Only",AM136="Decommissioning"),"",(AI136*O136*AF136*AL136)/kWhConversion)</f>
        <v/>
      </c>
      <c r="AK136" s="144" t="str">
        <f>IF(AM136="Row Not Used","",INDEX(SpaceTable[Row],(MATCH(B136,SpaceTable[Space Name Concatenated Helper],0))))</f>
        <v/>
      </c>
      <c r="AL136" s="238" t="str">
        <f>IF(AM136="Row Not Used","",INDEX(SpaceTable[HVAC Factor],(MATCH(B136,SpaceTable[Space Name Concatenated Helper],0))))</f>
        <v/>
      </c>
      <c r="AM136" s="520" t="str">
        <f t="shared" ref="AM136:AM199" si="66">IF(OR(ISBLANK(C136),ISBLANK(B136)),"Row Not Used",IF(C136="Controls Only","Controls Only",IF(C136="Decommissioning","Decommissioning",IF(AND(C136="Fixtures",OR(R136="No Controls",ISBLANK(R136))),"Fixtures Only","Fixtures with Controls"))))</f>
        <v>Row Not Used</v>
      </c>
      <c r="AN136" s="512" t="e" cm="1">
        <f t="array" ref="AN136">INDEX(BallastFactorTable[Ballast Factor],MATCH(1,(BallastFactorTable[Fixture Class]=D136)*(BallastFactorTable[Fixture Category]=E136)*(BallastFactorTable[Fixture Sub-category]=F136),0))</f>
        <v>#N/A</v>
      </c>
      <c r="AO136" s="143" t="str">
        <f t="shared" si="51"/>
        <v/>
      </c>
      <c r="AP136" s="501" t="e" cm="1">
        <f t="array" ref="AP136">INDEX(BallastFactorTable[Wattage Range Name],MATCH(1,(BallastFactorTable[Fixture Class]=D136)*(BallastFactorTable[Fixture Category]=E136)*(BallastFactorTable[Fixture Sub-category]=F136),0))</f>
        <v>#N/A</v>
      </c>
      <c r="AQ136" s="515" t="str">
        <f t="shared" ref="AQ136:AQ199" ca="1" si="67">IF(G136="Type in the wattage.","Invalid",IF(OR(AM136="Row Not Used",D136="LED",ISBLANK(G136)),"Okay",IFERROR(_xlfn.XMATCH(G136,INDIRECT(AP136),0),"Invalid")))</f>
        <v>Okay</v>
      </c>
      <c r="AR136" s="512">
        <f t="shared" ref="AR136:AR199" si="68">IF(AM136="Row Not Used",0,IF(AM136="Decommissioning",I136,IF(AT136="LED Tube",N136*O136,O136)))</f>
        <v>0</v>
      </c>
      <c r="AS136" s="511" t="str">
        <f>IF(OR(Measures!AM136="Row Not Used",Measures!C136="Controls Only",Measures!C136="Decommissioning"),"",_xlfn.CONCAT(P136," ",Q136))</f>
        <v/>
      </c>
      <c r="AT136" s="264" t="str">
        <f t="shared" ref="AT136:AT199" si="69">IF(OR(AM136="Row Not Used",AM136="Controls Only"),"None",IF(K136="Tube","LED Tube",IF(K136="Exit Sign","LED Exit Sign",IF(RateClassField="Small General (B)","Standard B",IF(RateClassField="General (G)","Standard G",IF(RateClassField="High Voltage (HVG)","Standard HVG","Error"))))))</f>
        <v>None</v>
      </c>
      <c r="AU136" s="229">
        <f>IF(OR(AM136="Row Not Used",AM136="Controls Only"),0,INDEX(IncentiveRateTable[Incentive Rate],MATCH(AT136,IncentiveRateTable[Incentive Name],0)))</f>
        <v>0</v>
      </c>
      <c r="AV136" s="133" t="str">
        <f>IF(OR(AM136="Row Not Used",AM136="Controls Only"),"None",INDEX(IncentiveRateTable[Incentive Unit],MATCH(AT136,IncentiveRateTable[Incentive Name],0)))</f>
        <v>None</v>
      </c>
      <c r="AW136" s="578">
        <f t="shared" si="52"/>
        <v>0</v>
      </c>
      <c r="AX136" s="264" t="str">
        <f t="shared" ref="AX136:AX199" si="70">IF(OR(AM136="Row Not Used",AM136="Fixtures Only",AM136="Decommissioning"),"None",IF(RateClassField="Small General (B)","Standard B",IF(RateClassField="General (G)","Standard G",IF(RateClassField="High Voltage (HVG)","Standard HVG","Error"))))</f>
        <v>None</v>
      </c>
      <c r="AY136" s="229">
        <f>IF(OR(AM136="Row Not Used",AM136="Fixtures Only",AM136="Decommissioning"),0,INDEX(IncentiveRateTable[Incentive Rate],MATCH(AX136,IncentiveRateTable[Incentive Name],0)))</f>
        <v>0</v>
      </c>
      <c r="AZ136" s="133" t="str">
        <f>IF(OR(AM136="Row Not Used",AM136="Fixtures Only",AM136="Decommissioning"),"None",INDEX(IncentiveRateTable[Incentive Unit],MATCH(AX136,IncentiveRateTable[Incentive Name],0)))</f>
        <v>None</v>
      </c>
      <c r="BA136" s="465">
        <f t="shared" ref="BA136:BA199" si="71">IF(OR(AM136="Row Not Used",AM136="Decommissioning",AM136="Fixtures Only"),0,IF(AM136="Controls Only",IF(R136="Multi-function",AH136*U136*T136,AH136*U136),IF(R136="Multi-function",AJ136*U136*T136,AJ136*U136)))</f>
        <v>0</v>
      </c>
      <c r="BB136" s="264" t="e" cm="1">
        <f t="array" ref="BB136">INDEX(BallastFactorTable[Commercial BPA Reference Number],MATCH(1,(BallastFactorTable[Fixture Class]=J136)*(BallastFactorTable[Fixture Category]=K136)*(BallastFactorTable[Fixture Sub-category]=L136),0))</f>
        <v>#N/A</v>
      </c>
      <c r="BC136" s="133" t="e" cm="1">
        <f t="array" ref="BC136">INDEX(BallastFactorTable[Industrial BPA Reference Number],MATCH(1,(BallastFactorTable[Fixture Class]=J136)*(BallastFactorTable[Fixture Category]=K136)*(BallastFactorTable[Fixture Sub-category]=L136),0))</f>
        <v>#N/A</v>
      </c>
      <c r="BD136" s="264" t="str">
        <f t="shared" ref="BD136:BD199" si="72">IF(ISBLANK(SectorField),"Sector is blank",IF(OR(AM136="Row Not Used",AM136="Controls Only"),"",IF(AM136="Decommissioning","Not Reported to BPA",IF(SectorField="Commercial",BB136,IF(SectorField="Industrial",BC136,"Unknown")))))</f>
        <v>Sector is blank</v>
      </c>
      <c r="BE136" s="269" t="str">
        <f>IF(ISBLANK(SectorField),"Sector is blank",IF(AM136="Row Not Used","",IF(OR(R136="No Controls",ISBLANK(R136)),"",INDEX(ControlsBPARefNoTable[Reference Number],MATCH(SectorField,ControlsBPARefNoTable[Sector],0)))))</f>
        <v>Sector is blank</v>
      </c>
      <c r="BF136" s="530" t="str">
        <f t="shared" ref="BF136:BF199" si="73">IF(AM136="Row Not Used","",COUNTA(D136:I136)=$BF$6)</f>
        <v/>
      </c>
      <c r="BG136" s="132" t="str">
        <f t="shared" ref="BG136:BG199" si="74">IF(AM136="Row Not Used","",IF(OR(AM136="Controls Only",AM136="Decommissioning"),TRUE,COUNTA(J136:Q136)=$BG$6))</f>
        <v/>
      </c>
      <c r="BH136" s="531" t="str">
        <f t="shared" ref="BH136:BH199" si="75">IF(AM136="Row Not Used","",IF(OR(AM136="Fixtures Only",AM136="Decommissioning"),TRUE,IF(R136="Multi-function",COUNTA(R136:T136)=$BH$6,COUNTA(R136:T136)=$BH$6-1)))</f>
        <v/>
      </c>
      <c r="BI136" s="532"/>
      <c r="BJ136" s="538" t="str">
        <f t="shared" si="53"/>
        <v/>
      </c>
      <c r="BK136" s="539" t="str">
        <f t="shared" si="54"/>
        <v/>
      </c>
      <c r="BL136" s="547" t="str">
        <f t="shared" si="55"/>
        <v/>
      </c>
    </row>
    <row r="137" spans="1:64" x14ac:dyDescent="0.3">
      <c r="A137" s="133">
        <v>130</v>
      </c>
      <c r="B137" s="294"/>
      <c r="C137" s="313"/>
      <c r="D137" s="292"/>
      <c r="E137" s="284"/>
      <c r="F137" s="284"/>
      <c r="G137" s="295"/>
      <c r="H137" s="296"/>
      <c r="I137" s="297"/>
      <c r="J137" s="292"/>
      <c r="K137" s="284"/>
      <c r="L137" s="284"/>
      <c r="M137" s="295"/>
      <c r="N137" s="296"/>
      <c r="O137" s="296"/>
      <c r="P137" s="284"/>
      <c r="Q137" s="298"/>
      <c r="R137" s="292"/>
      <c r="S137" s="299"/>
      <c r="T137" s="300"/>
      <c r="U137" s="317" t="str">
        <f t="shared" si="57"/>
        <v/>
      </c>
      <c r="V137" s="301"/>
      <c r="W137" s="136" t="str">
        <f t="shared" si="58"/>
        <v/>
      </c>
      <c r="X137" s="588" t="str">
        <f t="shared" ref="X137:X200" si="76">IF(AM137="Row Not Used","",IFERROR(ROUND(W137/AH137,2),0))</f>
        <v/>
      </c>
      <c r="Y137" s="580"/>
      <c r="Z137" s="251" t="str">
        <f t="shared" si="59"/>
        <v/>
      </c>
      <c r="AA137" s="138" t="str">
        <f t="shared" si="56"/>
        <v/>
      </c>
      <c r="AB137" s="243" t="str">
        <f t="shared" ref="AB137:AB200" si="77">IF(AV137="None","",AW137)</f>
        <v/>
      </c>
      <c r="AC137" s="141" t="str">
        <f t="shared" si="60"/>
        <v/>
      </c>
      <c r="AD137" s="138" t="str">
        <f t="shared" ref="AD137:AD200" si="78">IF(OR(AM137="Row Not Used",AM137="Fixtures Only",AM137="Decommissioning"),"",IFERROR(ROUND(AC137/AH137,2),0))</f>
        <v/>
      </c>
      <c r="AE137" s="243" t="str">
        <f t="shared" si="61"/>
        <v/>
      </c>
      <c r="AF137" s="342" t="str">
        <f>IF(AM137="Row Not Used","",INDEX(SpaceTable[Annual Hours],(MATCH(B137,SpaceTable[Space Name Concatenated Helper],0))))</f>
        <v/>
      </c>
      <c r="AG137" s="205" t="str">
        <f t="shared" si="62"/>
        <v/>
      </c>
      <c r="AH137" s="234" t="str">
        <f t="shared" si="63"/>
        <v/>
      </c>
      <c r="AI137" s="205" t="str">
        <f t="shared" si="64"/>
        <v/>
      </c>
      <c r="AJ137" s="234" t="str">
        <f t="shared" si="65"/>
        <v/>
      </c>
      <c r="AK137" s="144" t="str">
        <f>IF(AM137="Row Not Used","",INDEX(SpaceTable[Row],(MATCH(B137,SpaceTable[Space Name Concatenated Helper],0))))</f>
        <v/>
      </c>
      <c r="AL137" s="238" t="str">
        <f>IF(AM137="Row Not Used","",INDEX(SpaceTable[HVAC Factor],(MATCH(B137,SpaceTable[Space Name Concatenated Helper],0))))</f>
        <v/>
      </c>
      <c r="AM137" s="520" t="str">
        <f t="shared" si="66"/>
        <v>Row Not Used</v>
      </c>
      <c r="AN137" s="512" t="e" cm="1">
        <f t="array" ref="AN137">INDEX(BallastFactorTable[Ballast Factor],MATCH(1,(BallastFactorTable[Fixture Class]=D137)*(BallastFactorTable[Fixture Category]=E137)*(BallastFactorTable[Fixture Sub-category]=F137),0))</f>
        <v>#N/A</v>
      </c>
      <c r="AO137" s="143" t="str">
        <f t="shared" ref="AO137:AO200" si="79">IF(AM137="Row Not Used","",IFERROR(AN137,0))</f>
        <v/>
      </c>
      <c r="AP137" s="501" t="e" cm="1">
        <f t="array" ref="AP137">INDEX(BallastFactorTable[Wattage Range Name],MATCH(1,(BallastFactorTable[Fixture Class]=D137)*(BallastFactorTable[Fixture Category]=E137)*(BallastFactorTable[Fixture Sub-category]=F137),0))</f>
        <v>#N/A</v>
      </c>
      <c r="AQ137" s="515" t="str">
        <f t="shared" ca="1" si="67"/>
        <v>Okay</v>
      </c>
      <c r="AR137" s="512">
        <f t="shared" si="68"/>
        <v>0</v>
      </c>
      <c r="AS137" s="511" t="str">
        <f>IF(OR(Measures!AM137="Row Not Used",Measures!C137="Controls Only",Measures!C137="Decommissioning"),"",_xlfn.CONCAT(P137," ",Q137))</f>
        <v/>
      </c>
      <c r="AT137" s="264" t="str">
        <f t="shared" si="69"/>
        <v>None</v>
      </c>
      <c r="AU137" s="229">
        <f>IF(OR(AM137="Row Not Used",AM137="Controls Only"),0,INDEX(IncentiveRateTable[Incentive Rate],MATCH(AT137,IncentiveRateTable[Incentive Name],0)))</f>
        <v>0</v>
      </c>
      <c r="AV137" s="133" t="str">
        <f>IF(OR(AM137="Row Not Used",AM137="Controls Only"),"None",INDEX(IncentiveRateTable[Incentive Unit],MATCH(AT137,IncentiveRateTable[Incentive Name],0)))</f>
        <v>None</v>
      </c>
      <c r="AW137" s="578">
        <f t="shared" ref="AW137:AW200" si="80">IF(AV137="None",0,IF(AND(OR(AV137="Per Tube",AV137="Per Fixture"),Z137=0),0,IF(AV137="Per kWh Saved",ROUND(AU137*Z137,2),IF(AND(AV137="Per Tube",Z137&lt;0),-ROUND(AU137*N137*O137,2),IF(AV137="Per Tube",ROUND(AU137*N137*O137,2),IF(AND(AV137="Per Fixture",Z137&lt;0),-ROUND(AU137*O137,2),IF(AV137="Per Fixture",ROUND(AU137*O137,2),0)))))))</f>
        <v>0</v>
      </c>
      <c r="AX137" s="264" t="str">
        <f t="shared" si="70"/>
        <v>None</v>
      </c>
      <c r="AY137" s="229">
        <f>IF(OR(AM137="Row Not Used",AM137="Fixtures Only",AM137="Decommissioning"),0,INDEX(IncentiveRateTable[Incentive Rate],MATCH(AX137,IncentiveRateTable[Incentive Name],0)))</f>
        <v>0</v>
      </c>
      <c r="AZ137" s="133" t="str">
        <f>IF(OR(AM137="Row Not Used",AM137="Fixtures Only",AM137="Decommissioning"),"None",INDEX(IncentiveRateTable[Incentive Unit],MATCH(AX137,IncentiveRateTable[Incentive Name],0)))</f>
        <v>None</v>
      </c>
      <c r="BA137" s="465">
        <f t="shared" si="71"/>
        <v>0</v>
      </c>
      <c r="BB137" s="264" t="e" cm="1">
        <f t="array" ref="BB137">INDEX(BallastFactorTable[Commercial BPA Reference Number],MATCH(1,(BallastFactorTable[Fixture Class]=J137)*(BallastFactorTable[Fixture Category]=K137)*(BallastFactorTable[Fixture Sub-category]=L137),0))</f>
        <v>#N/A</v>
      </c>
      <c r="BC137" s="133" t="e" cm="1">
        <f t="array" ref="BC137">INDEX(BallastFactorTable[Industrial BPA Reference Number],MATCH(1,(BallastFactorTable[Fixture Class]=J137)*(BallastFactorTable[Fixture Category]=K137)*(BallastFactorTable[Fixture Sub-category]=L137),0))</f>
        <v>#N/A</v>
      </c>
      <c r="BD137" s="264" t="str">
        <f t="shared" si="72"/>
        <v>Sector is blank</v>
      </c>
      <c r="BE137" s="269" t="str">
        <f>IF(ISBLANK(SectorField),"Sector is blank",IF(AM137="Row Not Used","",IF(OR(R137="No Controls",ISBLANK(R137)),"",INDEX(ControlsBPARefNoTable[Reference Number],MATCH(SectorField,ControlsBPARefNoTable[Sector],0)))))</f>
        <v>Sector is blank</v>
      </c>
      <c r="BF137" s="530" t="str">
        <f t="shared" si="73"/>
        <v/>
      </c>
      <c r="BG137" s="132" t="str">
        <f t="shared" si="74"/>
        <v/>
      </c>
      <c r="BH137" s="531" t="str">
        <f t="shared" si="75"/>
        <v/>
      </c>
      <c r="BI137" s="532"/>
      <c r="BJ137" s="538" t="str">
        <f t="shared" ref="BJ137:BJ200" si="81">IF(LEN(BF137)=0,"",IF(BF137=FALSE,"Missing info","Okay"))</f>
        <v/>
      </c>
      <c r="BK137" s="539" t="str">
        <f t="shared" ref="BK137:BK200" si="82">IF(LEN(BG137)=0,"",IF(BG137=FALSE,"Missing info","Okay"))</f>
        <v/>
      </c>
      <c r="BL137" s="547" t="str">
        <f t="shared" ref="BL137:BL200" si="83">IF(LEN(BH137)=0,"",IF(BH137=FALSE,"Missing info","Okay"))</f>
        <v/>
      </c>
    </row>
    <row r="138" spans="1:64" x14ac:dyDescent="0.3">
      <c r="A138" s="133">
        <v>131</v>
      </c>
      <c r="B138" s="294"/>
      <c r="C138" s="313"/>
      <c r="D138" s="292"/>
      <c r="E138" s="284"/>
      <c r="F138" s="284"/>
      <c r="G138" s="295"/>
      <c r="H138" s="296"/>
      <c r="I138" s="297"/>
      <c r="J138" s="292"/>
      <c r="K138" s="284"/>
      <c r="L138" s="284"/>
      <c r="M138" s="295"/>
      <c r="N138" s="296"/>
      <c r="O138" s="296"/>
      <c r="P138" s="284"/>
      <c r="Q138" s="298"/>
      <c r="R138" s="292"/>
      <c r="S138" s="299"/>
      <c r="T138" s="300"/>
      <c r="U138" s="317" t="str">
        <f t="shared" si="57"/>
        <v/>
      </c>
      <c r="V138" s="301"/>
      <c r="W138" s="137" t="str">
        <f t="shared" si="58"/>
        <v/>
      </c>
      <c r="X138" s="589" t="str">
        <f t="shared" si="76"/>
        <v/>
      </c>
      <c r="Y138" s="581"/>
      <c r="Z138" s="251" t="str">
        <f t="shared" si="59"/>
        <v/>
      </c>
      <c r="AA138" s="138" t="str">
        <f t="shared" ref="AA138:AA201" si="84">IF(OR(AM138="Row Not Used",AM138="Controls Only"),"",IFERROR(ROUND(Z138/AH138,2),0))</f>
        <v/>
      </c>
      <c r="AB138" s="243" t="str">
        <f t="shared" si="77"/>
        <v/>
      </c>
      <c r="AC138" s="141" t="str">
        <f t="shared" si="60"/>
        <v/>
      </c>
      <c r="AD138" s="138" t="str">
        <f t="shared" si="78"/>
        <v/>
      </c>
      <c r="AE138" s="243" t="str">
        <f t="shared" si="61"/>
        <v/>
      </c>
      <c r="AF138" s="342" t="str">
        <f>IF(AM138="Row Not Used","",INDEX(SpaceTable[Annual Hours],(MATCH(B138,SpaceTable[Space Name Concatenated Helper],0))))</f>
        <v/>
      </c>
      <c r="AG138" s="205" t="str">
        <f t="shared" si="62"/>
        <v/>
      </c>
      <c r="AH138" s="234" t="str">
        <f t="shared" si="63"/>
        <v/>
      </c>
      <c r="AI138" s="205" t="str">
        <f t="shared" si="64"/>
        <v/>
      </c>
      <c r="AJ138" s="234" t="str">
        <f t="shared" si="65"/>
        <v/>
      </c>
      <c r="AK138" s="144" t="str">
        <f>IF(AM138="Row Not Used","",INDEX(SpaceTable[Row],(MATCH(B138,SpaceTable[Space Name Concatenated Helper],0))))</f>
        <v/>
      </c>
      <c r="AL138" s="238" t="str">
        <f>IF(AM138="Row Not Used","",INDEX(SpaceTable[HVAC Factor],(MATCH(B138,SpaceTable[Space Name Concatenated Helper],0))))</f>
        <v/>
      </c>
      <c r="AM138" s="520" t="str">
        <f t="shared" si="66"/>
        <v>Row Not Used</v>
      </c>
      <c r="AN138" s="512" t="e" cm="1">
        <f t="array" ref="AN138">INDEX(BallastFactorTable[Ballast Factor],MATCH(1,(BallastFactorTable[Fixture Class]=D138)*(BallastFactorTable[Fixture Category]=E138)*(BallastFactorTable[Fixture Sub-category]=F138),0))</f>
        <v>#N/A</v>
      </c>
      <c r="AO138" s="143" t="str">
        <f t="shared" si="79"/>
        <v/>
      </c>
      <c r="AP138" s="501" t="e" cm="1">
        <f t="array" ref="AP138">INDEX(BallastFactorTable[Wattage Range Name],MATCH(1,(BallastFactorTable[Fixture Class]=D138)*(BallastFactorTable[Fixture Category]=E138)*(BallastFactorTable[Fixture Sub-category]=F138),0))</f>
        <v>#N/A</v>
      </c>
      <c r="AQ138" s="515" t="str">
        <f t="shared" ca="1" si="67"/>
        <v>Okay</v>
      </c>
      <c r="AR138" s="512">
        <f t="shared" si="68"/>
        <v>0</v>
      </c>
      <c r="AS138" s="511" t="str">
        <f>IF(OR(Measures!AM138="Row Not Used",Measures!C138="Controls Only",Measures!C138="Decommissioning"),"",_xlfn.CONCAT(P138," ",Q138))</f>
        <v/>
      </c>
      <c r="AT138" s="264" t="str">
        <f t="shared" si="69"/>
        <v>None</v>
      </c>
      <c r="AU138" s="229">
        <f>IF(OR(AM138="Row Not Used",AM138="Controls Only"),0,INDEX(IncentiveRateTable[Incentive Rate],MATCH(AT138,IncentiveRateTable[Incentive Name],0)))</f>
        <v>0</v>
      </c>
      <c r="AV138" s="133" t="str">
        <f>IF(OR(AM138="Row Not Used",AM138="Controls Only"),"None",INDEX(IncentiveRateTable[Incentive Unit],MATCH(AT138,IncentiveRateTable[Incentive Name],0)))</f>
        <v>None</v>
      </c>
      <c r="AW138" s="578">
        <f t="shared" si="80"/>
        <v>0</v>
      </c>
      <c r="AX138" s="264" t="str">
        <f t="shared" si="70"/>
        <v>None</v>
      </c>
      <c r="AY138" s="229">
        <f>IF(OR(AM138="Row Not Used",AM138="Fixtures Only",AM138="Decommissioning"),0,INDEX(IncentiveRateTable[Incentive Rate],MATCH(AX138,IncentiveRateTable[Incentive Name],0)))</f>
        <v>0</v>
      </c>
      <c r="AZ138" s="133" t="str">
        <f>IF(OR(AM138="Row Not Used",AM138="Fixtures Only",AM138="Decommissioning"),"None",INDEX(IncentiveRateTable[Incentive Unit],MATCH(AX138,IncentiveRateTable[Incentive Name],0)))</f>
        <v>None</v>
      </c>
      <c r="BA138" s="465">
        <f t="shared" si="71"/>
        <v>0</v>
      </c>
      <c r="BB138" s="264" t="e" cm="1">
        <f t="array" ref="BB138">INDEX(BallastFactorTable[Commercial BPA Reference Number],MATCH(1,(BallastFactorTable[Fixture Class]=J138)*(BallastFactorTable[Fixture Category]=K138)*(BallastFactorTable[Fixture Sub-category]=L138),0))</f>
        <v>#N/A</v>
      </c>
      <c r="BC138" s="133" t="e" cm="1">
        <f t="array" ref="BC138">INDEX(BallastFactorTable[Industrial BPA Reference Number],MATCH(1,(BallastFactorTable[Fixture Class]=J138)*(BallastFactorTable[Fixture Category]=K138)*(BallastFactorTable[Fixture Sub-category]=L138),0))</f>
        <v>#N/A</v>
      </c>
      <c r="BD138" s="264" t="str">
        <f t="shared" si="72"/>
        <v>Sector is blank</v>
      </c>
      <c r="BE138" s="269" t="str">
        <f>IF(ISBLANK(SectorField),"Sector is blank",IF(AM138="Row Not Used","",IF(OR(R138="No Controls",ISBLANK(R138)),"",INDEX(ControlsBPARefNoTable[Reference Number],MATCH(SectorField,ControlsBPARefNoTable[Sector],0)))))</f>
        <v>Sector is blank</v>
      </c>
      <c r="BF138" s="530" t="str">
        <f t="shared" si="73"/>
        <v/>
      </c>
      <c r="BG138" s="132" t="str">
        <f t="shared" si="74"/>
        <v/>
      </c>
      <c r="BH138" s="531" t="str">
        <f t="shared" si="75"/>
        <v/>
      </c>
      <c r="BI138" s="532"/>
      <c r="BJ138" s="538" t="str">
        <f t="shared" si="81"/>
        <v/>
      </c>
      <c r="BK138" s="539" t="str">
        <f t="shared" si="82"/>
        <v/>
      </c>
      <c r="BL138" s="547" t="str">
        <f t="shared" si="83"/>
        <v/>
      </c>
    </row>
    <row r="139" spans="1:64" x14ac:dyDescent="0.3">
      <c r="A139" s="133">
        <v>132</v>
      </c>
      <c r="B139" s="294"/>
      <c r="C139" s="313"/>
      <c r="D139" s="292"/>
      <c r="E139" s="284"/>
      <c r="F139" s="284"/>
      <c r="G139" s="295"/>
      <c r="H139" s="296"/>
      <c r="I139" s="297"/>
      <c r="J139" s="292"/>
      <c r="K139" s="284"/>
      <c r="L139" s="284"/>
      <c r="M139" s="295"/>
      <c r="N139" s="296"/>
      <c r="O139" s="296"/>
      <c r="P139" s="284"/>
      <c r="Q139" s="298"/>
      <c r="R139" s="292"/>
      <c r="S139" s="299"/>
      <c r="T139" s="300"/>
      <c r="U139" s="317" t="str">
        <f t="shared" si="57"/>
        <v/>
      </c>
      <c r="V139" s="301"/>
      <c r="W139" s="136" t="str">
        <f t="shared" si="58"/>
        <v/>
      </c>
      <c r="X139" s="588" t="str">
        <f t="shared" si="76"/>
        <v/>
      </c>
      <c r="Y139" s="580"/>
      <c r="Z139" s="251" t="str">
        <f t="shared" si="59"/>
        <v/>
      </c>
      <c r="AA139" s="138" t="str">
        <f t="shared" si="84"/>
        <v/>
      </c>
      <c r="AB139" s="243" t="str">
        <f t="shared" si="77"/>
        <v/>
      </c>
      <c r="AC139" s="141" t="str">
        <f t="shared" si="60"/>
        <v/>
      </c>
      <c r="AD139" s="138" t="str">
        <f t="shared" si="78"/>
        <v/>
      </c>
      <c r="AE139" s="243" t="str">
        <f t="shared" si="61"/>
        <v/>
      </c>
      <c r="AF139" s="342" t="str">
        <f>IF(AM139="Row Not Used","",INDEX(SpaceTable[Annual Hours],(MATCH(B139,SpaceTable[Space Name Concatenated Helper],0))))</f>
        <v/>
      </c>
      <c r="AG139" s="205" t="str">
        <f t="shared" si="62"/>
        <v/>
      </c>
      <c r="AH139" s="234" t="str">
        <f t="shared" si="63"/>
        <v/>
      </c>
      <c r="AI139" s="205" t="str">
        <f t="shared" si="64"/>
        <v/>
      </c>
      <c r="AJ139" s="234" t="str">
        <f t="shared" si="65"/>
        <v/>
      </c>
      <c r="AK139" s="144" t="str">
        <f>IF(AM139="Row Not Used","",INDEX(SpaceTable[Row],(MATCH(B139,SpaceTable[Space Name Concatenated Helper],0))))</f>
        <v/>
      </c>
      <c r="AL139" s="238" t="str">
        <f>IF(AM139="Row Not Used","",INDEX(SpaceTable[HVAC Factor],(MATCH(B139,SpaceTable[Space Name Concatenated Helper],0))))</f>
        <v/>
      </c>
      <c r="AM139" s="520" t="str">
        <f t="shared" si="66"/>
        <v>Row Not Used</v>
      </c>
      <c r="AN139" s="512" t="e" cm="1">
        <f t="array" ref="AN139">INDEX(BallastFactorTable[Ballast Factor],MATCH(1,(BallastFactorTable[Fixture Class]=D139)*(BallastFactorTable[Fixture Category]=E139)*(BallastFactorTable[Fixture Sub-category]=F139),0))</f>
        <v>#N/A</v>
      </c>
      <c r="AO139" s="143" t="str">
        <f t="shared" si="79"/>
        <v/>
      </c>
      <c r="AP139" s="501" t="e" cm="1">
        <f t="array" ref="AP139">INDEX(BallastFactorTable[Wattage Range Name],MATCH(1,(BallastFactorTable[Fixture Class]=D139)*(BallastFactorTable[Fixture Category]=E139)*(BallastFactorTable[Fixture Sub-category]=F139),0))</f>
        <v>#N/A</v>
      </c>
      <c r="AQ139" s="515" t="str">
        <f t="shared" ca="1" si="67"/>
        <v>Okay</v>
      </c>
      <c r="AR139" s="512">
        <f t="shared" si="68"/>
        <v>0</v>
      </c>
      <c r="AS139" s="511" t="str">
        <f>IF(OR(Measures!AM139="Row Not Used",Measures!C139="Controls Only",Measures!C139="Decommissioning"),"",_xlfn.CONCAT(P139," ",Q139))</f>
        <v/>
      </c>
      <c r="AT139" s="264" t="str">
        <f t="shared" si="69"/>
        <v>None</v>
      </c>
      <c r="AU139" s="229">
        <f>IF(OR(AM139="Row Not Used",AM139="Controls Only"),0,INDEX(IncentiveRateTable[Incentive Rate],MATCH(AT139,IncentiveRateTable[Incentive Name],0)))</f>
        <v>0</v>
      </c>
      <c r="AV139" s="133" t="str">
        <f>IF(OR(AM139="Row Not Used",AM139="Controls Only"),"None",INDEX(IncentiveRateTable[Incentive Unit],MATCH(AT139,IncentiveRateTable[Incentive Name],0)))</f>
        <v>None</v>
      </c>
      <c r="AW139" s="578">
        <f t="shared" si="80"/>
        <v>0</v>
      </c>
      <c r="AX139" s="264" t="str">
        <f t="shared" si="70"/>
        <v>None</v>
      </c>
      <c r="AY139" s="229">
        <f>IF(OR(AM139="Row Not Used",AM139="Fixtures Only",AM139="Decommissioning"),0,INDEX(IncentiveRateTable[Incentive Rate],MATCH(AX139,IncentiveRateTable[Incentive Name],0)))</f>
        <v>0</v>
      </c>
      <c r="AZ139" s="133" t="str">
        <f>IF(OR(AM139="Row Not Used",AM139="Fixtures Only",AM139="Decommissioning"),"None",INDEX(IncentiveRateTable[Incentive Unit],MATCH(AX139,IncentiveRateTable[Incentive Name],0)))</f>
        <v>None</v>
      </c>
      <c r="BA139" s="465">
        <f t="shared" si="71"/>
        <v>0</v>
      </c>
      <c r="BB139" s="264" t="e" cm="1">
        <f t="array" ref="BB139">INDEX(BallastFactorTable[Commercial BPA Reference Number],MATCH(1,(BallastFactorTable[Fixture Class]=J139)*(BallastFactorTable[Fixture Category]=K139)*(BallastFactorTable[Fixture Sub-category]=L139),0))</f>
        <v>#N/A</v>
      </c>
      <c r="BC139" s="133" t="e" cm="1">
        <f t="array" ref="BC139">INDEX(BallastFactorTable[Industrial BPA Reference Number],MATCH(1,(BallastFactorTable[Fixture Class]=J139)*(BallastFactorTable[Fixture Category]=K139)*(BallastFactorTable[Fixture Sub-category]=L139),0))</f>
        <v>#N/A</v>
      </c>
      <c r="BD139" s="264" t="str">
        <f t="shared" si="72"/>
        <v>Sector is blank</v>
      </c>
      <c r="BE139" s="269" t="str">
        <f>IF(ISBLANK(SectorField),"Sector is blank",IF(AM139="Row Not Used","",IF(OR(R139="No Controls",ISBLANK(R139)),"",INDEX(ControlsBPARefNoTable[Reference Number],MATCH(SectorField,ControlsBPARefNoTable[Sector],0)))))</f>
        <v>Sector is blank</v>
      </c>
      <c r="BF139" s="530" t="str">
        <f t="shared" si="73"/>
        <v/>
      </c>
      <c r="BG139" s="132" t="str">
        <f t="shared" si="74"/>
        <v/>
      </c>
      <c r="BH139" s="531" t="str">
        <f t="shared" si="75"/>
        <v/>
      </c>
      <c r="BI139" s="532"/>
      <c r="BJ139" s="538" t="str">
        <f t="shared" si="81"/>
        <v/>
      </c>
      <c r="BK139" s="539" t="str">
        <f t="shared" si="82"/>
        <v/>
      </c>
      <c r="BL139" s="547" t="str">
        <f t="shared" si="83"/>
        <v/>
      </c>
    </row>
    <row r="140" spans="1:64" x14ac:dyDescent="0.3">
      <c r="A140" s="133">
        <v>133</v>
      </c>
      <c r="B140" s="294"/>
      <c r="C140" s="313"/>
      <c r="D140" s="292"/>
      <c r="E140" s="284"/>
      <c r="F140" s="284"/>
      <c r="G140" s="295"/>
      <c r="H140" s="296"/>
      <c r="I140" s="297"/>
      <c r="J140" s="292"/>
      <c r="K140" s="284"/>
      <c r="L140" s="284"/>
      <c r="M140" s="295"/>
      <c r="N140" s="296"/>
      <c r="O140" s="296"/>
      <c r="P140" s="284"/>
      <c r="Q140" s="298"/>
      <c r="R140" s="292"/>
      <c r="S140" s="299"/>
      <c r="T140" s="300"/>
      <c r="U140" s="317" t="str">
        <f t="shared" si="57"/>
        <v/>
      </c>
      <c r="V140" s="301"/>
      <c r="W140" s="137" t="str">
        <f t="shared" si="58"/>
        <v/>
      </c>
      <c r="X140" s="589" t="str">
        <f t="shared" si="76"/>
        <v/>
      </c>
      <c r="Y140" s="581"/>
      <c r="Z140" s="251" t="str">
        <f t="shared" si="59"/>
        <v/>
      </c>
      <c r="AA140" s="138" t="str">
        <f t="shared" si="84"/>
        <v/>
      </c>
      <c r="AB140" s="243" t="str">
        <f t="shared" si="77"/>
        <v/>
      </c>
      <c r="AC140" s="141" t="str">
        <f t="shared" si="60"/>
        <v/>
      </c>
      <c r="AD140" s="138" t="str">
        <f t="shared" si="78"/>
        <v/>
      </c>
      <c r="AE140" s="243" t="str">
        <f t="shared" si="61"/>
        <v/>
      </c>
      <c r="AF140" s="342" t="str">
        <f>IF(AM140="Row Not Used","",INDEX(SpaceTable[Annual Hours],(MATCH(B140,SpaceTable[Space Name Concatenated Helper],0))))</f>
        <v/>
      </c>
      <c r="AG140" s="205" t="str">
        <f t="shared" si="62"/>
        <v/>
      </c>
      <c r="AH140" s="234" t="str">
        <f t="shared" si="63"/>
        <v/>
      </c>
      <c r="AI140" s="205" t="str">
        <f t="shared" si="64"/>
        <v/>
      </c>
      <c r="AJ140" s="234" t="str">
        <f t="shared" si="65"/>
        <v/>
      </c>
      <c r="AK140" s="144" t="str">
        <f>IF(AM140="Row Not Used","",INDEX(SpaceTable[Row],(MATCH(B140,SpaceTable[Space Name Concatenated Helper],0))))</f>
        <v/>
      </c>
      <c r="AL140" s="238" t="str">
        <f>IF(AM140="Row Not Used","",INDEX(SpaceTable[HVAC Factor],(MATCH(B140,SpaceTable[Space Name Concatenated Helper],0))))</f>
        <v/>
      </c>
      <c r="AM140" s="520" t="str">
        <f t="shared" si="66"/>
        <v>Row Not Used</v>
      </c>
      <c r="AN140" s="512" t="e" cm="1">
        <f t="array" ref="AN140">INDEX(BallastFactorTable[Ballast Factor],MATCH(1,(BallastFactorTable[Fixture Class]=D140)*(BallastFactorTable[Fixture Category]=E140)*(BallastFactorTable[Fixture Sub-category]=F140),0))</f>
        <v>#N/A</v>
      </c>
      <c r="AO140" s="143" t="str">
        <f t="shared" si="79"/>
        <v/>
      </c>
      <c r="AP140" s="501" t="e" cm="1">
        <f t="array" ref="AP140">INDEX(BallastFactorTable[Wattage Range Name],MATCH(1,(BallastFactorTable[Fixture Class]=D140)*(BallastFactorTable[Fixture Category]=E140)*(BallastFactorTable[Fixture Sub-category]=F140),0))</f>
        <v>#N/A</v>
      </c>
      <c r="AQ140" s="515" t="str">
        <f t="shared" ca="1" si="67"/>
        <v>Okay</v>
      </c>
      <c r="AR140" s="512">
        <f t="shared" si="68"/>
        <v>0</v>
      </c>
      <c r="AS140" s="511" t="str">
        <f>IF(OR(Measures!AM140="Row Not Used",Measures!C140="Controls Only",Measures!C140="Decommissioning"),"",_xlfn.CONCAT(P140," ",Q140))</f>
        <v/>
      </c>
      <c r="AT140" s="264" t="str">
        <f t="shared" si="69"/>
        <v>None</v>
      </c>
      <c r="AU140" s="229">
        <f>IF(OR(AM140="Row Not Used",AM140="Controls Only"),0,INDEX(IncentiveRateTable[Incentive Rate],MATCH(AT140,IncentiveRateTable[Incentive Name],0)))</f>
        <v>0</v>
      </c>
      <c r="AV140" s="133" t="str">
        <f>IF(OR(AM140="Row Not Used",AM140="Controls Only"),"None",INDEX(IncentiveRateTable[Incentive Unit],MATCH(AT140,IncentiveRateTable[Incentive Name],0)))</f>
        <v>None</v>
      </c>
      <c r="AW140" s="578">
        <f t="shared" si="80"/>
        <v>0</v>
      </c>
      <c r="AX140" s="264" t="str">
        <f t="shared" si="70"/>
        <v>None</v>
      </c>
      <c r="AY140" s="229">
        <f>IF(OR(AM140="Row Not Used",AM140="Fixtures Only",AM140="Decommissioning"),0,INDEX(IncentiveRateTable[Incentive Rate],MATCH(AX140,IncentiveRateTable[Incentive Name],0)))</f>
        <v>0</v>
      </c>
      <c r="AZ140" s="133" t="str">
        <f>IF(OR(AM140="Row Not Used",AM140="Fixtures Only",AM140="Decommissioning"),"None",INDEX(IncentiveRateTable[Incentive Unit],MATCH(AX140,IncentiveRateTable[Incentive Name],0)))</f>
        <v>None</v>
      </c>
      <c r="BA140" s="465">
        <f t="shared" si="71"/>
        <v>0</v>
      </c>
      <c r="BB140" s="264" t="e" cm="1">
        <f t="array" ref="BB140">INDEX(BallastFactorTable[Commercial BPA Reference Number],MATCH(1,(BallastFactorTable[Fixture Class]=J140)*(BallastFactorTable[Fixture Category]=K140)*(BallastFactorTable[Fixture Sub-category]=L140),0))</f>
        <v>#N/A</v>
      </c>
      <c r="BC140" s="133" t="e" cm="1">
        <f t="array" ref="BC140">INDEX(BallastFactorTable[Industrial BPA Reference Number],MATCH(1,(BallastFactorTable[Fixture Class]=J140)*(BallastFactorTable[Fixture Category]=K140)*(BallastFactorTable[Fixture Sub-category]=L140),0))</f>
        <v>#N/A</v>
      </c>
      <c r="BD140" s="264" t="str">
        <f t="shared" si="72"/>
        <v>Sector is blank</v>
      </c>
      <c r="BE140" s="269" t="str">
        <f>IF(ISBLANK(SectorField),"Sector is blank",IF(AM140="Row Not Used","",IF(OR(R140="No Controls",ISBLANK(R140)),"",INDEX(ControlsBPARefNoTable[Reference Number],MATCH(SectorField,ControlsBPARefNoTable[Sector],0)))))</f>
        <v>Sector is blank</v>
      </c>
      <c r="BF140" s="530" t="str">
        <f t="shared" si="73"/>
        <v/>
      </c>
      <c r="BG140" s="132" t="str">
        <f t="shared" si="74"/>
        <v/>
      </c>
      <c r="BH140" s="531" t="str">
        <f t="shared" si="75"/>
        <v/>
      </c>
      <c r="BI140" s="532"/>
      <c r="BJ140" s="538" t="str">
        <f t="shared" si="81"/>
        <v/>
      </c>
      <c r="BK140" s="539" t="str">
        <f t="shared" si="82"/>
        <v/>
      </c>
      <c r="BL140" s="547" t="str">
        <f t="shared" si="83"/>
        <v/>
      </c>
    </row>
    <row r="141" spans="1:64" x14ac:dyDescent="0.3">
      <c r="A141" s="133">
        <v>134</v>
      </c>
      <c r="B141" s="294"/>
      <c r="C141" s="313"/>
      <c r="D141" s="292"/>
      <c r="E141" s="284"/>
      <c r="F141" s="284"/>
      <c r="G141" s="295"/>
      <c r="H141" s="296"/>
      <c r="I141" s="297"/>
      <c r="J141" s="292"/>
      <c r="K141" s="284"/>
      <c r="L141" s="284"/>
      <c r="M141" s="295"/>
      <c r="N141" s="296"/>
      <c r="O141" s="296"/>
      <c r="P141" s="284"/>
      <c r="Q141" s="298"/>
      <c r="R141" s="292"/>
      <c r="S141" s="299"/>
      <c r="T141" s="300"/>
      <c r="U141" s="317" t="str">
        <f t="shared" si="57"/>
        <v/>
      </c>
      <c r="V141" s="301"/>
      <c r="W141" s="136" t="str">
        <f t="shared" si="58"/>
        <v/>
      </c>
      <c r="X141" s="588" t="str">
        <f t="shared" si="76"/>
        <v/>
      </c>
      <c r="Y141" s="580"/>
      <c r="Z141" s="251" t="str">
        <f t="shared" si="59"/>
        <v/>
      </c>
      <c r="AA141" s="138" t="str">
        <f t="shared" si="84"/>
        <v/>
      </c>
      <c r="AB141" s="243" t="str">
        <f t="shared" si="77"/>
        <v/>
      </c>
      <c r="AC141" s="141" t="str">
        <f t="shared" si="60"/>
        <v/>
      </c>
      <c r="AD141" s="138" t="str">
        <f t="shared" si="78"/>
        <v/>
      </c>
      <c r="AE141" s="243" t="str">
        <f t="shared" si="61"/>
        <v/>
      </c>
      <c r="AF141" s="342" t="str">
        <f>IF(AM141="Row Not Used","",INDEX(SpaceTable[Annual Hours],(MATCH(B141,SpaceTable[Space Name Concatenated Helper],0))))</f>
        <v/>
      </c>
      <c r="AG141" s="205" t="str">
        <f t="shared" si="62"/>
        <v/>
      </c>
      <c r="AH141" s="234" t="str">
        <f t="shared" si="63"/>
        <v/>
      </c>
      <c r="AI141" s="205" t="str">
        <f t="shared" si="64"/>
        <v/>
      </c>
      <c r="AJ141" s="234" t="str">
        <f t="shared" si="65"/>
        <v/>
      </c>
      <c r="AK141" s="144" t="str">
        <f>IF(AM141="Row Not Used","",INDEX(SpaceTable[Row],(MATCH(B141,SpaceTable[Space Name Concatenated Helper],0))))</f>
        <v/>
      </c>
      <c r="AL141" s="238" t="str">
        <f>IF(AM141="Row Not Used","",INDEX(SpaceTable[HVAC Factor],(MATCH(B141,SpaceTable[Space Name Concatenated Helper],0))))</f>
        <v/>
      </c>
      <c r="AM141" s="520" t="str">
        <f t="shared" si="66"/>
        <v>Row Not Used</v>
      </c>
      <c r="AN141" s="512" t="e" cm="1">
        <f t="array" ref="AN141">INDEX(BallastFactorTable[Ballast Factor],MATCH(1,(BallastFactorTable[Fixture Class]=D141)*(BallastFactorTable[Fixture Category]=E141)*(BallastFactorTable[Fixture Sub-category]=F141),0))</f>
        <v>#N/A</v>
      </c>
      <c r="AO141" s="143" t="str">
        <f t="shared" si="79"/>
        <v/>
      </c>
      <c r="AP141" s="501" t="e" cm="1">
        <f t="array" ref="AP141">INDEX(BallastFactorTable[Wattage Range Name],MATCH(1,(BallastFactorTable[Fixture Class]=D141)*(BallastFactorTable[Fixture Category]=E141)*(BallastFactorTable[Fixture Sub-category]=F141),0))</f>
        <v>#N/A</v>
      </c>
      <c r="AQ141" s="515" t="str">
        <f t="shared" ca="1" si="67"/>
        <v>Okay</v>
      </c>
      <c r="AR141" s="512">
        <f t="shared" si="68"/>
        <v>0</v>
      </c>
      <c r="AS141" s="511" t="str">
        <f>IF(OR(Measures!AM141="Row Not Used",Measures!C141="Controls Only",Measures!C141="Decommissioning"),"",_xlfn.CONCAT(P141," ",Q141))</f>
        <v/>
      </c>
      <c r="AT141" s="264" t="str">
        <f t="shared" si="69"/>
        <v>None</v>
      </c>
      <c r="AU141" s="229">
        <f>IF(OR(AM141="Row Not Used",AM141="Controls Only"),0,INDEX(IncentiveRateTable[Incentive Rate],MATCH(AT141,IncentiveRateTable[Incentive Name],0)))</f>
        <v>0</v>
      </c>
      <c r="AV141" s="133" t="str">
        <f>IF(OR(AM141="Row Not Used",AM141="Controls Only"),"None",INDEX(IncentiveRateTable[Incentive Unit],MATCH(AT141,IncentiveRateTable[Incentive Name],0)))</f>
        <v>None</v>
      </c>
      <c r="AW141" s="578">
        <f t="shared" si="80"/>
        <v>0</v>
      </c>
      <c r="AX141" s="264" t="str">
        <f t="shared" si="70"/>
        <v>None</v>
      </c>
      <c r="AY141" s="229">
        <f>IF(OR(AM141="Row Not Used",AM141="Fixtures Only",AM141="Decommissioning"),0,INDEX(IncentiveRateTable[Incentive Rate],MATCH(AX141,IncentiveRateTable[Incentive Name],0)))</f>
        <v>0</v>
      </c>
      <c r="AZ141" s="133" t="str">
        <f>IF(OR(AM141="Row Not Used",AM141="Fixtures Only",AM141="Decommissioning"),"None",INDEX(IncentiveRateTable[Incentive Unit],MATCH(AX141,IncentiveRateTable[Incentive Name],0)))</f>
        <v>None</v>
      </c>
      <c r="BA141" s="465">
        <f t="shared" si="71"/>
        <v>0</v>
      </c>
      <c r="BB141" s="264" t="e" cm="1">
        <f t="array" ref="BB141">INDEX(BallastFactorTable[Commercial BPA Reference Number],MATCH(1,(BallastFactorTable[Fixture Class]=J141)*(BallastFactorTable[Fixture Category]=K141)*(BallastFactorTable[Fixture Sub-category]=L141),0))</f>
        <v>#N/A</v>
      </c>
      <c r="BC141" s="133" t="e" cm="1">
        <f t="array" ref="BC141">INDEX(BallastFactorTable[Industrial BPA Reference Number],MATCH(1,(BallastFactorTable[Fixture Class]=J141)*(BallastFactorTable[Fixture Category]=K141)*(BallastFactorTable[Fixture Sub-category]=L141),0))</f>
        <v>#N/A</v>
      </c>
      <c r="BD141" s="264" t="str">
        <f t="shared" si="72"/>
        <v>Sector is blank</v>
      </c>
      <c r="BE141" s="269" t="str">
        <f>IF(ISBLANK(SectorField),"Sector is blank",IF(AM141="Row Not Used","",IF(OR(R141="No Controls",ISBLANK(R141)),"",INDEX(ControlsBPARefNoTable[Reference Number],MATCH(SectorField,ControlsBPARefNoTable[Sector],0)))))</f>
        <v>Sector is blank</v>
      </c>
      <c r="BF141" s="530" t="str">
        <f t="shared" si="73"/>
        <v/>
      </c>
      <c r="BG141" s="132" t="str">
        <f t="shared" si="74"/>
        <v/>
      </c>
      <c r="BH141" s="531" t="str">
        <f t="shared" si="75"/>
        <v/>
      </c>
      <c r="BI141" s="532"/>
      <c r="BJ141" s="538" t="str">
        <f t="shared" si="81"/>
        <v/>
      </c>
      <c r="BK141" s="539" t="str">
        <f t="shared" si="82"/>
        <v/>
      </c>
      <c r="BL141" s="547" t="str">
        <f t="shared" si="83"/>
        <v/>
      </c>
    </row>
    <row r="142" spans="1:64" x14ac:dyDescent="0.3">
      <c r="A142" s="133">
        <v>135</v>
      </c>
      <c r="B142" s="294"/>
      <c r="C142" s="313"/>
      <c r="D142" s="292"/>
      <c r="E142" s="284"/>
      <c r="F142" s="284"/>
      <c r="G142" s="295"/>
      <c r="H142" s="296"/>
      <c r="I142" s="297"/>
      <c r="J142" s="292"/>
      <c r="K142" s="284"/>
      <c r="L142" s="284"/>
      <c r="M142" s="295"/>
      <c r="N142" s="296"/>
      <c r="O142" s="296"/>
      <c r="P142" s="284"/>
      <c r="Q142" s="298"/>
      <c r="R142" s="292"/>
      <c r="S142" s="299"/>
      <c r="T142" s="300"/>
      <c r="U142" s="317" t="str">
        <f t="shared" si="57"/>
        <v/>
      </c>
      <c r="V142" s="301"/>
      <c r="W142" s="137" t="str">
        <f t="shared" si="58"/>
        <v/>
      </c>
      <c r="X142" s="589" t="str">
        <f t="shared" si="76"/>
        <v/>
      </c>
      <c r="Y142" s="581"/>
      <c r="Z142" s="251" t="str">
        <f t="shared" si="59"/>
        <v/>
      </c>
      <c r="AA142" s="138" t="str">
        <f t="shared" si="84"/>
        <v/>
      </c>
      <c r="AB142" s="243" t="str">
        <f t="shared" si="77"/>
        <v/>
      </c>
      <c r="AC142" s="141" t="str">
        <f t="shared" si="60"/>
        <v/>
      </c>
      <c r="AD142" s="138" t="str">
        <f t="shared" si="78"/>
        <v/>
      </c>
      <c r="AE142" s="243" t="str">
        <f t="shared" si="61"/>
        <v/>
      </c>
      <c r="AF142" s="342" t="str">
        <f>IF(AM142="Row Not Used","",INDEX(SpaceTable[Annual Hours],(MATCH(B142,SpaceTable[Space Name Concatenated Helper],0))))</f>
        <v/>
      </c>
      <c r="AG142" s="205" t="str">
        <f t="shared" si="62"/>
        <v/>
      </c>
      <c r="AH142" s="234" t="str">
        <f t="shared" si="63"/>
        <v/>
      </c>
      <c r="AI142" s="205" t="str">
        <f t="shared" si="64"/>
        <v/>
      </c>
      <c r="AJ142" s="234" t="str">
        <f t="shared" si="65"/>
        <v/>
      </c>
      <c r="AK142" s="144" t="str">
        <f>IF(AM142="Row Not Used","",INDEX(SpaceTable[Row],(MATCH(B142,SpaceTable[Space Name Concatenated Helper],0))))</f>
        <v/>
      </c>
      <c r="AL142" s="238" t="str">
        <f>IF(AM142="Row Not Used","",INDEX(SpaceTable[HVAC Factor],(MATCH(B142,SpaceTable[Space Name Concatenated Helper],0))))</f>
        <v/>
      </c>
      <c r="AM142" s="520" t="str">
        <f t="shared" si="66"/>
        <v>Row Not Used</v>
      </c>
      <c r="AN142" s="512" t="e" cm="1">
        <f t="array" ref="AN142">INDEX(BallastFactorTable[Ballast Factor],MATCH(1,(BallastFactorTable[Fixture Class]=D142)*(BallastFactorTable[Fixture Category]=E142)*(BallastFactorTable[Fixture Sub-category]=F142),0))</f>
        <v>#N/A</v>
      </c>
      <c r="AO142" s="143" t="str">
        <f t="shared" si="79"/>
        <v/>
      </c>
      <c r="AP142" s="501" t="e" cm="1">
        <f t="array" ref="AP142">INDEX(BallastFactorTable[Wattage Range Name],MATCH(1,(BallastFactorTable[Fixture Class]=D142)*(BallastFactorTable[Fixture Category]=E142)*(BallastFactorTable[Fixture Sub-category]=F142),0))</f>
        <v>#N/A</v>
      </c>
      <c r="AQ142" s="515" t="str">
        <f t="shared" ca="1" si="67"/>
        <v>Okay</v>
      </c>
      <c r="AR142" s="512">
        <f t="shared" si="68"/>
        <v>0</v>
      </c>
      <c r="AS142" s="511" t="str">
        <f>IF(OR(Measures!AM142="Row Not Used",Measures!C142="Controls Only",Measures!C142="Decommissioning"),"",_xlfn.CONCAT(P142," ",Q142))</f>
        <v/>
      </c>
      <c r="AT142" s="264" t="str">
        <f t="shared" si="69"/>
        <v>None</v>
      </c>
      <c r="AU142" s="229">
        <f>IF(OR(AM142="Row Not Used",AM142="Controls Only"),0,INDEX(IncentiveRateTable[Incentive Rate],MATCH(AT142,IncentiveRateTable[Incentive Name],0)))</f>
        <v>0</v>
      </c>
      <c r="AV142" s="133" t="str">
        <f>IF(OR(AM142="Row Not Used",AM142="Controls Only"),"None",INDEX(IncentiveRateTable[Incentive Unit],MATCH(AT142,IncentiveRateTable[Incentive Name],0)))</f>
        <v>None</v>
      </c>
      <c r="AW142" s="578">
        <f t="shared" si="80"/>
        <v>0</v>
      </c>
      <c r="AX142" s="264" t="str">
        <f t="shared" si="70"/>
        <v>None</v>
      </c>
      <c r="AY142" s="229">
        <f>IF(OR(AM142="Row Not Used",AM142="Fixtures Only",AM142="Decommissioning"),0,INDEX(IncentiveRateTable[Incentive Rate],MATCH(AX142,IncentiveRateTable[Incentive Name],0)))</f>
        <v>0</v>
      </c>
      <c r="AZ142" s="133" t="str">
        <f>IF(OR(AM142="Row Not Used",AM142="Fixtures Only",AM142="Decommissioning"),"None",INDEX(IncentiveRateTable[Incentive Unit],MATCH(AX142,IncentiveRateTable[Incentive Name],0)))</f>
        <v>None</v>
      </c>
      <c r="BA142" s="465">
        <f t="shared" si="71"/>
        <v>0</v>
      </c>
      <c r="BB142" s="264" t="e" cm="1">
        <f t="array" ref="BB142">INDEX(BallastFactorTable[Commercial BPA Reference Number],MATCH(1,(BallastFactorTable[Fixture Class]=J142)*(BallastFactorTable[Fixture Category]=K142)*(BallastFactorTable[Fixture Sub-category]=L142),0))</f>
        <v>#N/A</v>
      </c>
      <c r="BC142" s="133" t="e" cm="1">
        <f t="array" ref="BC142">INDEX(BallastFactorTable[Industrial BPA Reference Number],MATCH(1,(BallastFactorTable[Fixture Class]=J142)*(BallastFactorTable[Fixture Category]=K142)*(BallastFactorTable[Fixture Sub-category]=L142),0))</f>
        <v>#N/A</v>
      </c>
      <c r="BD142" s="264" t="str">
        <f t="shared" si="72"/>
        <v>Sector is blank</v>
      </c>
      <c r="BE142" s="269" t="str">
        <f>IF(ISBLANK(SectorField),"Sector is blank",IF(AM142="Row Not Used","",IF(OR(R142="No Controls",ISBLANK(R142)),"",INDEX(ControlsBPARefNoTable[Reference Number],MATCH(SectorField,ControlsBPARefNoTable[Sector],0)))))</f>
        <v>Sector is blank</v>
      </c>
      <c r="BF142" s="530" t="str">
        <f t="shared" si="73"/>
        <v/>
      </c>
      <c r="BG142" s="132" t="str">
        <f t="shared" si="74"/>
        <v/>
      </c>
      <c r="BH142" s="531" t="str">
        <f t="shared" si="75"/>
        <v/>
      </c>
      <c r="BI142" s="532"/>
      <c r="BJ142" s="538" t="str">
        <f t="shared" si="81"/>
        <v/>
      </c>
      <c r="BK142" s="539" t="str">
        <f t="shared" si="82"/>
        <v/>
      </c>
      <c r="BL142" s="547" t="str">
        <f t="shared" si="83"/>
        <v/>
      </c>
    </row>
    <row r="143" spans="1:64" x14ac:dyDescent="0.3">
      <c r="A143" s="133">
        <v>136</v>
      </c>
      <c r="B143" s="294"/>
      <c r="C143" s="313"/>
      <c r="D143" s="292"/>
      <c r="E143" s="284"/>
      <c r="F143" s="284"/>
      <c r="G143" s="295"/>
      <c r="H143" s="296"/>
      <c r="I143" s="297"/>
      <c r="J143" s="292"/>
      <c r="K143" s="284"/>
      <c r="L143" s="284"/>
      <c r="M143" s="295"/>
      <c r="N143" s="296"/>
      <c r="O143" s="296"/>
      <c r="P143" s="284"/>
      <c r="Q143" s="298"/>
      <c r="R143" s="292"/>
      <c r="S143" s="299"/>
      <c r="T143" s="300"/>
      <c r="U143" s="317" t="str">
        <f t="shared" si="57"/>
        <v/>
      </c>
      <c r="V143" s="301"/>
      <c r="W143" s="136" t="str">
        <f t="shared" si="58"/>
        <v/>
      </c>
      <c r="X143" s="588" t="str">
        <f t="shared" si="76"/>
        <v/>
      </c>
      <c r="Y143" s="580"/>
      <c r="Z143" s="251" t="str">
        <f t="shared" si="59"/>
        <v/>
      </c>
      <c r="AA143" s="138" t="str">
        <f t="shared" si="84"/>
        <v/>
      </c>
      <c r="AB143" s="243" t="str">
        <f t="shared" si="77"/>
        <v/>
      </c>
      <c r="AC143" s="141" t="str">
        <f t="shared" si="60"/>
        <v/>
      </c>
      <c r="AD143" s="138" t="str">
        <f t="shared" si="78"/>
        <v/>
      </c>
      <c r="AE143" s="243" t="str">
        <f t="shared" si="61"/>
        <v/>
      </c>
      <c r="AF143" s="342" t="str">
        <f>IF(AM143="Row Not Used","",INDEX(SpaceTable[Annual Hours],(MATCH(B143,SpaceTable[Space Name Concatenated Helper],0))))</f>
        <v/>
      </c>
      <c r="AG143" s="205" t="str">
        <f t="shared" si="62"/>
        <v/>
      </c>
      <c r="AH143" s="234" t="str">
        <f t="shared" si="63"/>
        <v/>
      </c>
      <c r="AI143" s="205" t="str">
        <f t="shared" si="64"/>
        <v/>
      </c>
      <c r="AJ143" s="234" t="str">
        <f t="shared" si="65"/>
        <v/>
      </c>
      <c r="AK143" s="144" t="str">
        <f>IF(AM143="Row Not Used","",INDEX(SpaceTable[Row],(MATCH(B143,SpaceTable[Space Name Concatenated Helper],0))))</f>
        <v/>
      </c>
      <c r="AL143" s="238" t="str">
        <f>IF(AM143="Row Not Used","",INDEX(SpaceTable[HVAC Factor],(MATCH(B143,SpaceTable[Space Name Concatenated Helper],0))))</f>
        <v/>
      </c>
      <c r="AM143" s="520" t="str">
        <f t="shared" si="66"/>
        <v>Row Not Used</v>
      </c>
      <c r="AN143" s="512" t="e" cm="1">
        <f t="array" ref="AN143">INDEX(BallastFactorTable[Ballast Factor],MATCH(1,(BallastFactorTable[Fixture Class]=D143)*(BallastFactorTable[Fixture Category]=E143)*(BallastFactorTable[Fixture Sub-category]=F143),0))</f>
        <v>#N/A</v>
      </c>
      <c r="AO143" s="143" t="str">
        <f t="shared" si="79"/>
        <v/>
      </c>
      <c r="AP143" s="501" t="e" cm="1">
        <f t="array" ref="AP143">INDEX(BallastFactorTable[Wattage Range Name],MATCH(1,(BallastFactorTable[Fixture Class]=D143)*(BallastFactorTable[Fixture Category]=E143)*(BallastFactorTable[Fixture Sub-category]=F143),0))</f>
        <v>#N/A</v>
      </c>
      <c r="AQ143" s="515" t="str">
        <f t="shared" ca="1" si="67"/>
        <v>Okay</v>
      </c>
      <c r="AR143" s="512">
        <f t="shared" si="68"/>
        <v>0</v>
      </c>
      <c r="AS143" s="511" t="str">
        <f>IF(OR(Measures!AM143="Row Not Used",Measures!C143="Controls Only",Measures!C143="Decommissioning"),"",_xlfn.CONCAT(P143," ",Q143))</f>
        <v/>
      </c>
      <c r="AT143" s="264" t="str">
        <f t="shared" si="69"/>
        <v>None</v>
      </c>
      <c r="AU143" s="229">
        <f>IF(OR(AM143="Row Not Used",AM143="Controls Only"),0,INDEX(IncentiveRateTable[Incentive Rate],MATCH(AT143,IncentiveRateTable[Incentive Name],0)))</f>
        <v>0</v>
      </c>
      <c r="AV143" s="133" t="str">
        <f>IF(OR(AM143="Row Not Used",AM143="Controls Only"),"None",INDEX(IncentiveRateTable[Incentive Unit],MATCH(AT143,IncentiveRateTable[Incentive Name],0)))</f>
        <v>None</v>
      </c>
      <c r="AW143" s="578">
        <f t="shared" si="80"/>
        <v>0</v>
      </c>
      <c r="AX143" s="264" t="str">
        <f t="shared" si="70"/>
        <v>None</v>
      </c>
      <c r="AY143" s="229">
        <f>IF(OR(AM143="Row Not Used",AM143="Fixtures Only",AM143="Decommissioning"),0,INDEX(IncentiveRateTable[Incentive Rate],MATCH(AX143,IncentiveRateTable[Incentive Name],0)))</f>
        <v>0</v>
      </c>
      <c r="AZ143" s="133" t="str">
        <f>IF(OR(AM143="Row Not Used",AM143="Fixtures Only",AM143="Decommissioning"),"None",INDEX(IncentiveRateTable[Incentive Unit],MATCH(AX143,IncentiveRateTable[Incentive Name],0)))</f>
        <v>None</v>
      </c>
      <c r="BA143" s="465">
        <f t="shared" si="71"/>
        <v>0</v>
      </c>
      <c r="BB143" s="264" t="e" cm="1">
        <f t="array" ref="BB143">INDEX(BallastFactorTable[Commercial BPA Reference Number],MATCH(1,(BallastFactorTable[Fixture Class]=J143)*(BallastFactorTable[Fixture Category]=K143)*(BallastFactorTable[Fixture Sub-category]=L143),0))</f>
        <v>#N/A</v>
      </c>
      <c r="BC143" s="133" t="e" cm="1">
        <f t="array" ref="BC143">INDEX(BallastFactorTable[Industrial BPA Reference Number],MATCH(1,(BallastFactorTable[Fixture Class]=J143)*(BallastFactorTable[Fixture Category]=K143)*(BallastFactorTable[Fixture Sub-category]=L143),0))</f>
        <v>#N/A</v>
      </c>
      <c r="BD143" s="264" t="str">
        <f t="shared" si="72"/>
        <v>Sector is blank</v>
      </c>
      <c r="BE143" s="269" t="str">
        <f>IF(ISBLANK(SectorField),"Sector is blank",IF(AM143="Row Not Used","",IF(OR(R143="No Controls",ISBLANK(R143)),"",INDEX(ControlsBPARefNoTable[Reference Number],MATCH(SectorField,ControlsBPARefNoTable[Sector],0)))))</f>
        <v>Sector is blank</v>
      </c>
      <c r="BF143" s="530" t="str">
        <f t="shared" si="73"/>
        <v/>
      </c>
      <c r="BG143" s="132" t="str">
        <f t="shared" si="74"/>
        <v/>
      </c>
      <c r="BH143" s="531" t="str">
        <f t="shared" si="75"/>
        <v/>
      </c>
      <c r="BI143" s="532"/>
      <c r="BJ143" s="538" t="str">
        <f t="shared" si="81"/>
        <v/>
      </c>
      <c r="BK143" s="539" t="str">
        <f t="shared" si="82"/>
        <v/>
      </c>
      <c r="BL143" s="547" t="str">
        <f t="shared" si="83"/>
        <v/>
      </c>
    </row>
    <row r="144" spans="1:64" x14ac:dyDescent="0.3">
      <c r="A144" s="133">
        <v>137</v>
      </c>
      <c r="B144" s="294"/>
      <c r="C144" s="313"/>
      <c r="D144" s="292"/>
      <c r="E144" s="284"/>
      <c r="F144" s="284"/>
      <c r="G144" s="295"/>
      <c r="H144" s="296"/>
      <c r="I144" s="297"/>
      <c r="J144" s="292"/>
      <c r="K144" s="284"/>
      <c r="L144" s="284"/>
      <c r="M144" s="295"/>
      <c r="N144" s="296"/>
      <c r="O144" s="296"/>
      <c r="P144" s="284"/>
      <c r="Q144" s="298"/>
      <c r="R144" s="292"/>
      <c r="S144" s="299"/>
      <c r="T144" s="300"/>
      <c r="U144" s="317" t="str">
        <f t="shared" si="57"/>
        <v/>
      </c>
      <c r="V144" s="301"/>
      <c r="W144" s="137" t="str">
        <f t="shared" si="58"/>
        <v/>
      </c>
      <c r="X144" s="589" t="str">
        <f t="shared" si="76"/>
        <v/>
      </c>
      <c r="Y144" s="581"/>
      <c r="Z144" s="251" t="str">
        <f t="shared" si="59"/>
        <v/>
      </c>
      <c r="AA144" s="138" t="str">
        <f t="shared" si="84"/>
        <v/>
      </c>
      <c r="AB144" s="243" t="str">
        <f t="shared" si="77"/>
        <v/>
      </c>
      <c r="AC144" s="141" t="str">
        <f t="shared" si="60"/>
        <v/>
      </c>
      <c r="AD144" s="138" t="str">
        <f t="shared" si="78"/>
        <v/>
      </c>
      <c r="AE144" s="243" t="str">
        <f t="shared" si="61"/>
        <v/>
      </c>
      <c r="AF144" s="342" t="str">
        <f>IF(AM144="Row Not Used","",INDEX(SpaceTable[Annual Hours],(MATCH(B144,SpaceTable[Space Name Concatenated Helper],0))))</f>
        <v/>
      </c>
      <c r="AG144" s="205" t="str">
        <f t="shared" si="62"/>
        <v/>
      </c>
      <c r="AH144" s="234" t="str">
        <f t="shared" si="63"/>
        <v/>
      </c>
      <c r="AI144" s="205" t="str">
        <f t="shared" si="64"/>
        <v/>
      </c>
      <c r="AJ144" s="234" t="str">
        <f t="shared" si="65"/>
        <v/>
      </c>
      <c r="AK144" s="144" t="str">
        <f>IF(AM144="Row Not Used","",INDEX(SpaceTable[Row],(MATCH(B144,SpaceTable[Space Name Concatenated Helper],0))))</f>
        <v/>
      </c>
      <c r="AL144" s="238" t="str">
        <f>IF(AM144="Row Not Used","",INDEX(SpaceTable[HVAC Factor],(MATCH(B144,SpaceTable[Space Name Concatenated Helper],0))))</f>
        <v/>
      </c>
      <c r="AM144" s="520" t="str">
        <f t="shared" si="66"/>
        <v>Row Not Used</v>
      </c>
      <c r="AN144" s="512" t="e" cm="1">
        <f t="array" ref="AN144">INDEX(BallastFactorTable[Ballast Factor],MATCH(1,(BallastFactorTable[Fixture Class]=D144)*(BallastFactorTable[Fixture Category]=E144)*(BallastFactorTable[Fixture Sub-category]=F144),0))</f>
        <v>#N/A</v>
      </c>
      <c r="AO144" s="143" t="str">
        <f t="shared" si="79"/>
        <v/>
      </c>
      <c r="AP144" s="501" t="e" cm="1">
        <f t="array" ref="AP144">INDEX(BallastFactorTable[Wattage Range Name],MATCH(1,(BallastFactorTable[Fixture Class]=D144)*(BallastFactorTable[Fixture Category]=E144)*(BallastFactorTable[Fixture Sub-category]=F144),0))</f>
        <v>#N/A</v>
      </c>
      <c r="AQ144" s="515" t="str">
        <f t="shared" ca="1" si="67"/>
        <v>Okay</v>
      </c>
      <c r="AR144" s="512">
        <f t="shared" si="68"/>
        <v>0</v>
      </c>
      <c r="AS144" s="511" t="str">
        <f>IF(OR(Measures!AM144="Row Not Used",Measures!C144="Controls Only",Measures!C144="Decommissioning"),"",_xlfn.CONCAT(P144," ",Q144))</f>
        <v/>
      </c>
      <c r="AT144" s="264" t="str">
        <f t="shared" si="69"/>
        <v>None</v>
      </c>
      <c r="AU144" s="229">
        <f>IF(OR(AM144="Row Not Used",AM144="Controls Only"),0,INDEX(IncentiveRateTable[Incentive Rate],MATCH(AT144,IncentiveRateTable[Incentive Name],0)))</f>
        <v>0</v>
      </c>
      <c r="AV144" s="133" t="str">
        <f>IF(OR(AM144="Row Not Used",AM144="Controls Only"),"None",INDEX(IncentiveRateTable[Incentive Unit],MATCH(AT144,IncentiveRateTable[Incentive Name],0)))</f>
        <v>None</v>
      </c>
      <c r="AW144" s="578">
        <f t="shared" si="80"/>
        <v>0</v>
      </c>
      <c r="AX144" s="264" t="str">
        <f t="shared" si="70"/>
        <v>None</v>
      </c>
      <c r="AY144" s="229">
        <f>IF(OR(AM144="Row Not Used",AM144="Fixtures Only",AM144="Decommissioning"),0,INDEX(IncentiveRateTable[Incentive Rate],MATCH(AX144,IncentiveRateTable[Incentive Name],0)))</f>
        <v>0</v>
      </c>
      <c r="AZ144" s="133" t="str">
        <f>IF(OR(AM144="Row Not Used",AM144="Fixtures Only",AM144="Decommissioning"),"None",INDEX(IncentiveRateTable[Incentive Unit],MATCH(AX144,IncentiveRateTable[Incentive Name],0)))</f>
        <v>None</v>
      </c>
      <c r="BA144" s="465">
        <f t="shared" si="71"/>
        <v>0</v>
      </c>
      <c r="BB144" s="264" t="e" cm="1">
        <f t="array" ref="BB144">INDEX(BallastFactorTable[Commercial BPA Reference Number],MATCH(1,(BallastFactorTable[Fixture Class]=J144)*(BallastFactorTable[Fixture Category]=K144)*(BallastFactorTable[Fixture Sub-category]=L144),0))</f>
        <v>#N/A</v>
      </c>
      <c r="BC144" s="133" t="e" cm="1">
        <f t="array" ref="BC144">INDEX(BallastFactorTable[Industrial BPA Reference Number],MATCH(1,(BallastFactorTable[Fixture Class]=J144)*(BallastFactorTable[Fixture Category]=K144)*(BallastFactorTable[Fixture Sub-category]=L144),0))</f>
        <v>#N/A</v>
      </c>
      <c r="BD144" s="264" t="str">
        <f t="shared" si="72"/>
        <v>Sector is blank</v>
      </c>
      <c r="BE144" s="269" t="str">
        <f>IF(ISBLANK(SectorField),"Sector is blank",IF(AM144="Row Not Used","",IF(OR(R144="No Controls",ISBLANK(R144)),"",INDEX(ControlsBPARefNoTable[Reference Number],MATCH(SectorField,ControlsBPARefNoTable[Sector],0)))))</f>
        <v>Sector is blank</v>
      </c>
      <c r="BF144" s="530" t="str">
        <f t="shared" si="73"/>
        <v/>
      </c>
      <c r="BG144" s="132" t="str">
        <f t="shared" si="74"/>
        <v/>
      </c>
      <c r="BH144" s="531" t="str">
        <f t="shared" si="75"/>
        <v/>
      </c>
      <c r="BI144" s="532"/>
      <c r="BJ144" s="538" t="str">
        <f t="shared" si="81"/>
        <v/>
      </c>
      <c r="BK144" s="539" t="str">
        <f t="shared" si="82"/>
        <v/>
      </c>
      <c r="BL144" s="547" t="str">
        <f t="shared" si="83"/>
        <v/>
      </c>
    </row>
    <row r="145" spans="1:64" x14ac:dyDescent="0.3">
      <c r="A145" s="133">
        <v>138</v>
      </c>
      <c r="B145" s="294"/>
      <c r="C145" s="313"/>
      <c r="D145" s="292"/>
      <c r="E145" s="284"/>
      <c r="F145" s="284"/>
      <c r="G145" s="295"/>
      <c r="H145" s="296"/>
      <c r="I145" s="297"/>
      <c r="J145" s="292"/>
      <c r="K145" s="284"/>
      <c r="L145" s="284"/>
      <c r="M145" s="295"/>
      <c r="N145" s="296"/>
      <c r="O145" s="296"/>
      <c r="P145" s="284"/>
      <c r="Q145" s="298"/>
      <c r="R145" s="292"/>
      <c r="S145" s="299"/>
      <c r="T145" s="300"/>
      <c r="U145" s="317" t="str">
        <f t="shared" si="57"/>
        <v/>
      </c>
      <c r="V145" s="301"/>
      <c r="W145" s="136" t="str">
        <f t="shared" si="58"/>
        <v/>
      </c>
      <c r="X145" s="588" t="str">
        <f t="shared" si="76"/>
        <v/>
      </c>
      <c r="Y145" s="580"/>
      <c r="Z145" s="251" t="str">
        <f t="shared" si="59"/>
        <v/>
      </c>
      <c r="AA145" s="138" t="str">
        <f t="shared" si="84"/>
        <v/>
      </c>
      <c r="AB145" s="243" t="str">
        <f t="shared" si="77"/>
        <v/>
      </c>
      <c r="AC145" s="141" t="str">
        <f t="shared" si="60"/>
        <v/>
      </c>
      <c r="AD145" s="138" t="str">
        <f t="shared" si="78"/>
        <v/>
      </c>
      <c r="AE145" s="243" t="str">
        <f t="shared" si="61"/>
        <v/>
      </c>
      <c r="AF145" s="342" t="str">
        <f>IF(AM145="Row Not Used","",INDEX(SpaceTable[Annual Hours],(MATCH(B145,SpaceTable[Space Name Concatenated Helper],0))))</f>
        <v/>
      </c>
      <c r="AG145" s="205" t="str">
        <f t="shared" si="62"/>
        <v/>
      </c>
      <c r="AH145" s="234" t="str">
        <f t="shared" si="63"/>
        <v/>
      </c>
      <c r="AI145" s="205" t="str">
        <f t="shared" si="64"/>
        <v/>
      </c>
      <c r="AJ145" s="234" t="str">
        <f t="shared" si="65"/>
        <v/>
      </c>
      <c r="AK145" s="144" t="str">
        <f>IF(AM145="Row Not Used","",INDEX(SpaceTable[Row],(MATCH(B145,SpaceTable[Space Name Concatenated Helper],0))))</f>
        <v/>
      </c>
      <c r="AL145" s="238" t="str">
        <f>IF(AM145="Row Not Used","",INDEX(SpaceTable[HVAC Factor],(MATCH(B145,SpaceTable[Space Name Concatenated Helper],0))))</f>
        <v/>
      </c>
      <c r="AM145" s="520" t="str">
        <f t="shared" si="66"/>
        <v>Row Not Used</v>
      </c>
      <c r="AN145" s="512" t="e" cm="1">
        <f t="array" ref="AN145">INDEX(BallastFactorTable[Ballast Factor],MATCH(1,(BallastFactorTable[Fixture Class]=D145)*(BallastFactorTable[Fixture Category]=E145)*(BallastFactorTable[Fixture Sub-category]=F145),0))</f>
        <v>#N/A</v>
      </c>
      <c r="AO145" s="143" t="str">
        <f t="shared" si="79"/>
        <v/>
      </c>
      <c r="AP145" s="501" t="e" cm="1">
        <f t="array" ref="AP145">INDEX(BallastFactorTable[Wattage Range Name],MATCH(1,(BallastFactorTable[Fixture Class]=D145)*(BallastFactorTable[Fixture Category]=E145)*(BallastFactorTable[Fixture Sub-category]=F145),0))</f>
        <v>#N/A</v>
      </c>
      <c r="AQ145" s="515" t="str">
        <f t="shared" ca="1" si="67"/>
        <v>Okay</v>
      </c>
      <c r="AR145" s="512">
        <f t="shared" si="68"/>
        <v>0</v>
      </c>
      <c r="AS145" s="511" t="str">
        <f>IF(OR(Measures!AM145="Row Not Used",Measures!C145="Controls Only",Measures!C145="Decommissioning"),"",_xlfn.CONCAT(P145," ",Q145))</f>
        <v/>
      </c>
      <c r="AT145" s="264" t="str">
        <f t="shared" si="69"/>
        <v>None</v>
      </c>
      <c r="AU145" s="229">
        <f>IF(OR(AM145="Row Not Used",AM145="Controls Only"),0,INDEX(IncentiveRateTable[Incentive Rate],MATCH(AT145,IncentiveRateTable[Incentive Name],0)))</f>
        <v>0</v>
      </c>
      <c r="AV145" s="133" t="str">
        <f>IF(OR(AM145="Row Not Used",AM145="Controls Only"),"None",INDEX(IncentiveRateTable[Incentive Unit],MATCH(AT145,IncentiveRateTable[Incentive Name],0)))</f>
        <v>None</v>
      </c>
      <c r="AW145" s="578">
        <f t="shared" si="80"/>
        <v>0</v>
      </c>
      <c r="AX145" s="264" t="str">
        <f t="shared" si="70"/>
        <v>None</v>
      </c>
      <c r="AY145" s="229">
        <f>IF(OR(AM145="Row Not Used",AM145="Fixtures Only",AM145="Decommissioning"),0,INDEX(IncentiveRateTable[Incentive Rate],MATCH(AX145,IncentiveRateTable[Incentive Name],0)))</f>
        <v>0</v>
      </c>
      <c r="AZ145" s="133" t="str">
        <f>IF(OR(AM145="Row Not Used",AM145="Fixtures Only",AM145="Decommissioning"),"None",INDEX(IncentiveRateTable[Incentive Unit],MATCH(AX145,IncentiveRateTable[Incentive Name],0)))</f>
        <v>None</v>
      </c>
      <c r="BA145" s="465">
        <f t="shared" si="71"/>
        <v>0</v>
      </c>
      <c r="BB145" s="264" t="e" cm="1">
        <f t="array" ref="BB145">INDEX(BallastFactorTable[Commercial BPA Reference Number],MATCH(1,(BallastFactorTable[Fixture Class]=J145)*(BallastFactorTable[Fixture Category]=K145)*(BallastFactorTable[Fixture Sub-category]=L145),0))</f>
        <v>#N/A</v>
      </c>
      <c r="BC145" s="133" t="e" cm="1">
        <f t="array" ref="BC145">INDEX(BallastFactorTable[Industrial BPA Reference Number],MATCH(1,(BallastFactorTable[Fixture Class]=J145)*(BallastFactorTable[Fixture Category]=K145)*(BallastFactorTable[Fixture Sub-category]=L145),0))</f>
        <v>#N/A</v>
      </c>
      <c r="BD145" s="264" t="str">
        <f t="shared" si="72"/>
        <v>Sector is blank</v>
      </c>
      <c r="BE145" s="269" t="str">
        <f>IF(ISBLANK(SectorField),"Sector is blank",IF(AM145="Row Not Used","",IF(OR(R145="No Controls",ISBLANK(R145)),"",INDEX(ControlsBPARefNoTable[Reference Number],MATCH(SectorField,ControlsBPARefNoTable[Sector],0)))))</f>
        <v>Sector is blank</v>
      </c>
      <c r="BF145" s="530" t="str">
        <f t="shared" si="73"/>
        <v/>
      </c>
      <c r="BG145" s="132" t="str">
        <f t="shared" si="74"/>
        <v/>
      </c>
      <c r="BH145" s="531" t="str">
        <f t="shared" si="75"/>
        <v/>
      </c>
      <c r="BI145" s="532"/>
      <c r="BJ145" s="538" t="str">
        <f t="shared" si="81"/>
        <v/>
      </c>
      <c r="BK145" s="539" t="str">
        <f t="shared" si="82"/>
        <v/>
      </c>
      <c r="BL145" s="547" t="str">
        <f t="shared" si="83"/>
        <v/>
      </c>
    </row>
    <row r="146" spans="1:64" x14ac:dyDescent="0.3">
      <c r="A146" s="133">
        <v>139</v>
      </c>
      <c r="B146" s="294"/>
      <c r="C146" s="313"/>
      <c r="D146" s="292"/>
      <c r="E146" s="284"/>
      <c r="F146" s="284"/>
      <c r="G146" s="295"/>
      <c r="H146" s="296"/>
      <c r="I146" s="297"/>
      <c r="J146" s="292"/>
      <c r="K146" s="284"/>
      <c r="L146" s="284"/>
      <c r="M146" s="295"/>
      <c r="N146" s="296"/>
      <c r="O146" s="296"/>
      <c r="P146" s="284"/>
      <c r="Q146" s="298"/>
      <c r="R146" s="292"/>
      <c r="S146" s="299"/>
      <c r="T146" s="300"/>
      <c r="U146" s="317" t="str">
        <f t="shared" si="57"/>
        <v/>
      </c>
      <c r="V146" s="301"/>
      <c r="W146" s="137" t="str">
        <f t="shared" si="58"/>
        <v/>
      </c>
      <c r="X146" s="589" t="str">
        <f t="shared" si="76"/>
        <v/>
      </c>
      <c r="Y146" s="581"/>
      <c r="Z146" s="251" t="str">
        <f t="shared" si="59"/>
        <v/>
      </c>
      <c r="AA146" s="138" t="str">
        <f t="shared" si="84"/>
        <v/>
      </c>
      <c r="AB146" s="243" t="str">
        <f t="shared" si="77"/>
        <v/>
      </c>
      <c r="AC146" s="141" t="str">
        <f t="shared" si="60"/>
        <v/>
      </c>
      <c r="AD146" s="138" t="str">
        <f t="shared" si="78"/>
        <v/>
      </c>
      <c r="AE146" s="243" t="str">
        <f t="shared" si="61"/>
        <v/>
      </c>
      <c r="AF146" s="342" t="str">
        <f>IF(AM146="Row Not Used","",INDEX(SpaceTable[Annual Hours],(MATCH(B146,SpaceTable[Space Name Concatenated Helper],0))))</f>
        <v/>
      </c>
      <c r="AG146" s="205" t="str">
        <f t="shared" si="62"/>
        <v/>
      </c>
      <c r="AH146" s="234" t="str">
        <f t="shared" si="63"/>
        <v/>
      </c>
      <c r="AI146" s="205" t="str">
        <f t="shared" si="64"/>
        <v/>
      </c>
      <c r="AJ146" s="234" t="str">
        <f t="shared" si="65"/>
        <v/>
      </c>
      <c r="AK146" s="144" t="str">
        <f>IF(AM146="Row Not Used","",INDEX(SpaceTable[Row],(MATCH(B146,SpaceTable[Space Name Concatenated Helper],0))))</f>
        <v/>
      </c>
      <c r="AL146" s="238" t="str">
        <f>IF(AM146="Row Not Used","",INDEX(SpaceTable[HVAC Factor],(MATCH(B146,SpaceTable[Space Name Concatenated Helper],0))))</f>
        <v/>
      </c>
      <c r="AM146" s="520" t="str">
        <f t="shared" si="66"/>
        <v>Row Not Used</v>
      </c>
      <c r="AN146" s="512" t="e" cm="1">
        <f t="array" ref="AN146">INDEX(BallastFactorTable[Ballast Factor],MATCH(1,(BallastFactorTable[Fixture Class]=D146)*(BallastFactorTable[Fixture Category]=E146)*(BallastFactorTable[Fixture Sub-category]=F146),0))</f>
        <v>#N/A</v>
      </c>
      <c r="AO146" s="143" t="str">
        <f t="shared" si="79"/>
        <v/>
      </c>
      <c r="AP146" s="501" t="e" cm="1">
        <f t="array" ref="AP146">INDEX(BallastFactorTable[Wattage Range Name],MATCH(1,(BallastFactorTable[Fixture Class]=D146)*(BallastFactorTable[Fixture Category]=E146)*(BallastFactorTable[Fixture Sub-category]=F146),0))</f>
        <v>#N/A</v>
      </c>
      <c r="AQ146" s="515" t="str">
        <f t="shared" ca="1" si="67"/>
        <v>Okay</v>
      </c>
      <c r="AR146" s="512">
        <f t="shared" si="68"/>
        <v>0</v>
      </c>
      <c r="AS146" s="511" t="str">
        <f>IF(OR(Measures!AM146="Row Not Used",Measures!C146="Controls Only",Measures!C146="Decommissioning"),"",_xlfn.CONCAT(P146," ",Q146))</f>
        <v/>
      </c>
      <c r="AT146" s="264" t="str">
        <f t="shared" si="69"/>
        <v>None</v>
      </c>
      <c r="AU146" s="229">
        <f>IF(OR(AM146="Row Not Used",AM146="Controls Only"),0,INDEX(IncentiveRateTable[Incentive Rate],MATCH(AT146,IncentiveRateTable[Incentive Name],0)))</f>
        <v>0</v>
      </c>
      <c r="AV146" s="133" t="str">
        <f>IF(OR(AM146="Row Not Used",AM146="Controls Only"),"None",INDEX(IncentiveRateTable[Incentive Unit],MATCH(AT146,IncentiveRateTable[Incentive Name],0)))</f>
        <v>None</v>
      </c>
      <c r="AW146" s="578">
        <f t="shared" si="80"/>
        <v>0</v>
      </c>
      <c r="AX146" s="264" t="str">
        <f t="shared" si="70"/>
        <v>None</v>
      </c>
      <c r="AY146" s="229">
        <f>IF(OR(AM146="Row Not Used",AM146="Fixtures Only",AM146="Decommissioning"),0,INDEX(IncentiveRateTable[Incentive Rate],MATCH(AX146,IncentiveRateTable[Incentive Name],0)))</f>
        <v>0</v>
      </c>
      <c r="AZ146" s="133" t="str">
        <f>IF(OR(AM146="Row Not Used",AM146="Fixtures Only",AM146="Decommissioning"),"None",INDEX(IncentiveRateTable[Incentive Unit],MATCH(AX146,IncentiveRateTable[Incentive Name],0)))</f>
        <v>None</v>
      </c>
      <c r="BA146" s="465">
        <f t="shared" si="71"/>
        <v>0</v>
      </c>
      <c r="BB146" s="264" t="e" cm="1">
        <f t="array" ref="BB146">INDEX(BallastFactorTable[Commercial BPA Reference Number],MATCH(1,(BallastFactorTable[Fixture Class]=J146)*(BallastFactorTable[Fixture Category]=K146)*(BallastFactorTable[Fixture Sub-category]=L146),0))</f>
        <v>#N/A</v>
      </c>
      <c r="BC146" s="133" t="e" cm="1">
        <f t="array" ref="BC146">INDEX(BallastFactorTable[Industrial BPA Reference Number],MATCH(1,(BallastFactorTable[Fixture Class]=J146)*(BallastFactorTable[Fixture Category]=K146)*(BallastFactorTable[Fixture Sub-category]=L146),0))</f>
        <v>#N/A</v>
      </c>
      <c r="BD146" s="264" t="str">
        <f t="shared" si="72"/>
        <v>Sector is blank</v>
      </c>
      <c r="BE146" s="269" t="str">
        <f>IF(ISBLANK(SectorField),"Sector is blank",IF(AM146="Row Not Used","",IF(OR(R146="No Controls",ISBLANK(R146)),"",INDEX(ControlsBPARefNoTable[Reference Number],MATCH(SectorField,ControlsBPARefNoTable[Sector],0)))))</f>
        <v>Sector is blank</v>
      </c>
      <c r="BF146" s="530" t="str">
        <f t="shared" si="73"/>
        <v/>
      </c>
      <c r="BG146" s="132" t="str">
        <f t="shared" si="74"/>
        <v/>
      </c>
      <c r="BH146" s="531" t="str">
        <f t="shared" si="75"/>
        <v/>
      </c>
      <c r="BI146" s="532"/>
      <c r="BJ146" s="538" t="str">
        <f t="shared" si="81"/>
        <v/>
      </c>
      <c r="BK146" s="539" t="str">
        <f t="shared" si="82"/>
        <v/>
      </c>
      <c r="BL146" s="547" t="str">
        <f t="shared" si="83"/>
        <v/>
      </c>
    </row>
    <row r="147" spans="1:64" x14ac:dyDescent="0.3">
      <c r="A147" s="133">
        <v>140</v>
      </c>
      <c r="B147" s="294"/>
      <c r="C147" s="313"/>
      <c r="D147" s="292"/>
      <c r="E147" s="284"/>
      <c r="F147" s="284"/>
      <c r="G147" s="295"/>
      <c r="H147" s="296"/>
      <c r="I147" s="297"/>
      <c r="J147" s="292"/>
      <c r="K147" s="284"/>
      <c r="L147" s="284"/>
      <c r="M147" s="295"/>
      <c r="N147" s="296"/>
      <c r="O147" s="296"/>
      <c r="P147" s="284"/>
      <c r="Q147" s="298"/>
      <c r="R147" s="292"/>
      <c r="S147" s="299"/>
      <c r="T147" s="300"/>
      <c r="U147" s="317" t="str">
        <f t="shared" si="57"/>
        <v/>
      </c>
      <c r="V147" s="301"/>
      <c r="W147" s="136" t="str">
        <f t="shared" si="58"/>
        <v/>
      </c>
      <c r="X147" s="588" t="str">
        <f t="shared" si="76"/>
        <v/>
      </c>
      <c r="Y147" s="580"/>
      <c r="Z147" s="251" t="str">
        <f t="shared" si="59"/>
        <v/>
      </c>
      <c r="AA147" s="138" t="str">
        <f t="shared" si="84"/>
        <v/>
      </c>
      <c r="AB147" s="243" t="str">
        <f t="shared" si="77"/>
        <v/>
      </c>
      <c r="AC147" s="141" t="str">
        <f t="shared" si="60"/>
        <v/>
      </c>
      <c r="AD147" s="138" t="str">
        <f t="shared" si="78"/>
        <v/>
      </c>
      <c r="AE147" s="243" t="str">
        <f t="shared" si="61"/>
        <v/>
      </c>
      <c r="AF147" s="342" t="str">
        <f>IF(AM147="Row Not Used","",INDEX(SpaceTable[Annual Hours],(MATCH(B147,SpaceTable[Space Name Concatenated Helper],0))))</f>
        <v/>
      </c>
      <c r="AG147" s="205" t="str">
        <f t="shared" si="62"/>
        <v/>
      </c>
      <c r="AH147" s="234" t="str">
        <f t="shared" si="63"/>
        <v/>
      </c>
      <c r="AI147" s="205" t="str">
        <f t="shared" si="64"/>
        <v/>
      </c>
      <c r="AJ147" s="234" t="str">
        <f t="shared" si="65"/>
        <v/>
      </c>
      <c r="AK147" s="144" t="str">
        <f>IF(AM147="Row Not Used","",INDEX(SpaceTable[Row],(MATCH(B147,SpaceTable[Space Name Concatenated Helper],0))))</f>
        <v/>
      </c>
      <c r="AL147" s="238" t="str">
        <f>IF(AM147="Row Not Used","",INDEX(SpaceTable[HVAC Factor],(MATCH(B147,SpaceTable[Space Name Concatenated Helper],0))))</f>
        <v/>
      </c>
      <c r="AM147" s="520" t="str">
        <f t="shared" si="66"/>
        <v>Row Not Used</v>
      </c>
      <c r="AN147" s="512" t="e" cm="1">
        <f t="array" ref="AN147">INDEX(BallastFactorTable[Ballast Factor],MATCH(1,(BallastFactorTable[Fixture Class]=D147)*(BallastFactorTable[Fixture Category]=E147)*(BallastFactorTable[Fixture Sub-category]=F147),0))</f>
        <v>#N/A</v>
      </c>
      <c r="AO147" s="143" t="str">
        <f t="shared" si="79"/>
        <v/>
      </c>
      <c r="AP147" s="501" t="e" cm="1">
        <f t="array" ref="AP147">INDEX(BallastFactorTable[Wattage Range Name],MATCH(1,(BallastFactorTable[Fixture Class]=D147)*(BallastFactorTable[Fixture Category]=E147)*(BallastFactorTable[Fixture Sub-category]=F147),0))</f>
        <v>#N/A</v>
      </c>
      <c r="AQ147" s="515" t="str">
        <f t="shared" ca="1" si="67"/>
        <v>Okay</v>
      </c>
      <c r="AR147" s="512">
        <f t="shared" si="68"/>
        <v>0</v>
      </c>
      <c r="AS147" s="511" t="str">
        <f>IF(OR(Measures!AM147="Row Not Used",Measures!C147="Controls Only",Measures!C147="Decommissioning"),"",_xlfn.CONCAT(P147," ",Q147))</f>
        <v/>
      </c>
      <c r="AT147" s="264" t="str">
        <f t="shared" si="69"/>
        <v>None</v>
      </c>
      <c r="AU147" s="229">
        <f>IF(OR(AM147="Row Not Used",AM147="Controls Only"),0,INDEX(IncentiveRateTable[Incentive Rate],MATCH(AT147,IncentiveRateTable[Incentive Name],0)))</f>
        <v>0</v>
      </c>
      <c r="AV147" s="133" t="str">
        <f>IF(OR(AM147="Row Not Used",AM147="Controls Only"),"None",INDEX(IncentiveRateTable[Incentive Unit],MATCH(AT147,IncentiveRateTable[Incentive Name],0)))</f>
        <v>None</v>
      </c>
      <c r="AW147" s="578">
        <f t="shared" si="80"/>
        <v>0</v>
      </c>
      <c r="AX147" s="264" t="str">
        <f t="shared" si="70"/>
        <v>None</v>
      </c>
      <c r="AY147" s="229">
        <f>IF(OR(AM147="Row Not Used",AM147="Fixtures Only",AM147="Decommissioning"),0,INDEX(IncentiveRateTable[Incentive Rate],MATCH(AX147,IncentiveRateTable[Incentive Name],0)))</f>
        <v>0</v>
      </c>
      <c r="AZ147" s="133" t="str">
        <f>IF(OR(AM147="Row Not Used",AM147="Fixtures Only",AM147="Decommissioning"),"None",INDEX(IncentiveRateTable[Incentive Unit],MATCH(AX147,IncentiveRateTable[Incentive Name],0)))</f>
        <v>None</v>
      </c>
      <c r="BA147" s="465">
        <f t="shared" si="71"/>
        <v>0</v>
      </c>
      <c r="BB147" s="264" t="e" cm="1">
        <f t="array" ref="BB147">INDEX(BallastFactorTable[Commercial BPA Reference Number],MATCH(1,(BallastFactorTable[Fixture Class]=J147)*(BallastFactorTable[Fixture Category]=K147)*(BallastFactorTable[Fixture Sub-category]=L147),0))</f>
        <v>#N/A</v>
      </c>
      <c r="BC147" s="133" t="e" cm="1">
        <f t="array" ref="BC147">INDEX(BallastFactorTable[Industrial BPA Reference Number],MATCH(1,(BallastFactorTable[Fixture Class]=J147)*(BallastFactorTable[Fixture Category]=K147)*(BallastFactorTable[Fixture Sub-category]=L147),0))</f>
        <v>#N/A</v>
      </c>
      <c r="BD147" s="264" t="str">
        <f t="shared" si="72"/>
        <v>Sector is blank</v>
      </c>
      <c r="BE147" s="269" t="str">
        <f>IF(ISBLANK(SectorField),"Sector is blank",IF(AM147="Row Not Used","",IF(OR(R147="No Controls",ISBLANK(R147)),"",INDEX(ControlsBPARefNoTable[Reference Number],MATCH(SectorField,ControlsBPARefNoTable[Sector],0)))))</f>
        <v>Sector is blank</v>
      </c>
      <c r="BF147" s="530" t="str">
        <f t="shared" si="73"/>
        <v/>
      </c>
      <c r="BG147" s="132" t="str">
        <f t="shared" si="74"/>
        <v/>
      </c>
      <c r="BH147" s="531" t="str">
        <f t="shared" si="75"/>
        <v/>
      </c>
      <c r="BI147" s="532"/>
      <c r="BJ147" s="538" t="str">
        <f t="shared" si="81"/>
        <v/>
      </c>
      <c r="BK147" s="539" t="str">
        <f t="shared" si="82"/>
        <v/>
      </c>
      <c r="BL147" s="547" t="str">
        <f t="shared" si="83"/>
        <v/>
      </c>
    </row>
    <row r="148" spans="1:64" x14ac:dyDescent="0.3">
      <c r="A148" s="133">
        <v>141</v>
      </c>
      <c r="B148" s="294"/>
      <c r="C148" s="313"/>
      <c r="D148" s="292"/>
      <c r="E148" s="284"/>
      <c r="F148" s="284"/>
      <c r="G148" s="295"/>
      <c r="H148" s="296"/>
      <c r="I148" s="297"/>
      <c r="J148" s="292"/>
      <c r="K148" s="284"/>
      <c r="L148" s="284"/>
      <c r="M148" s="295"/>
      <c r="N148" s="296"/>
      <c r="O148" s="296"/>
      <c r="P148" s="284"/>
      <c r="Q148" s="298"/>
      <c r="R148" s="292"/>
      <c r="S148" s="299"/>
      <c r="T148" s="300"/>
      <c r="U148" s="317" t="str">
        <f t="shared" si="57"/>
        <v/>
      </c>
      <c r="V148" s="301"/>
      <c r="W148" s="137" t="str">
        <f t="shared" si="58"/>
        <v/>
      </c>
      <c r="X148" s="589" t="str">
        <f t="shared" si="76"/>
        <v/>
      </c>
      <c r="Y148" s="581"/>
      <c r="Z148" s="251" t="str">
        <f t="shared" si="59"/>
        <v/>
      </c>
      <c r="AA148" s="138" t="str">
        <f t="shared" si="84"/>
        <v/>
      </c>
      <c r="AB148" s="243" t="str">
        <f t="shared" si="77"/>
        <v/>
      </c>
      <c r="AC148" s="141" t="str">
        <f t="shared" si="60"/>
        <v/>
      </c>
      <c r="AD148" s="138" t="str">
        <f t="shared" si="78"/>
        <v/>
      </c>
      <c r="AE148" s="243" t="str">
        <f t="shared" si="61"/>
        <v/>
      </c>
      <c r="AF148" s="342" t="str">
        <f>IF(AM148="Row Not Used","",INDEX(SpaceTable[Annual Hours],(MATCH(B148,SpaceTable[Space Name Concatenated Helper],0))))</f>
        <v/>
      </c>
      <c r="AG148" s="205" t="str">
        <f t="shared" si="62"/>
        <v/>
      </c>
      <c r="AH148" s="234" t="str">
        <f t="shared" si="63"/>
        <v/>
      </c>
      <c r="AI148" s="205" t="str">
        <f t="shared" si="64"/>
        <v/>
      </c>
      <c r="AJ148" s="234" t="str">
        <f t="shared" si="65"/>
        <v/>
      </c>
      <c r="AK148" s="144" t="str">
        <f>IF(AM148="Row Not Used","",INDEX(SpaceTable[Row],(MATCH(B148,SpaceTable[Space Name Concatenated Helper],0))))</f>
        <v/>
      </c>
      <c r="AL148" s="238" t="str">
        <f>IF(AM148="Row Not Used","",INDEX(SpaceTable[HVAC Factor],(MATCH(B148,SpaceTable[Space Name Concatenated Helper],0))))</f>
        <v/>
      </c>
      <c r="AM148" s="520" t="str">
        <f t="shared" si="66"/>
        <v>Row Not Used</v>
      </c>
      <c r="AN148" s="512" t="e" cm="1">
        <f t="array" ref="AN148">INDEX(BallastFactorTable[Ballast Factor],MATCH(1,(BallastFactorTable[Fixture Class]=D148)*(BallastFactorTable[Fixture Category]=E148)*(BallastFactorTable[Fixture Sub-category]=F148),0))</f>
        <v>#N/A</v>
      </c>
      <c r="AO148" s="143" t="str">
        <f t="shared" si="79"/>
        <v/>
      </c>
      <c r="AP148" s="501" t="e" cm="1">
        <f t="array" ref="AP148">INDEX(BallastFactorTable[Wattage Range Name],MATCH(1,(BallastFactorTable[Fixture Class]=D148)*(BallastFactorTable[Fixture Category]=E148)*(BallastFactorTable[Fixture Sub-category]=F148),0))</f>
        <v>#N/A</v>
      </c>
      <c r="AQ148" s="515" t="str">
        <f t="shared" ca="1" si="67"/>
        <v>Okay</v>
      </c>
      <c r="AR148" s="512">
        <f t="shared" si="68"/>
        <v>0</v>
      </c>
      <c r="AS148" s="511" t="str">
        <f>IF(OR(Measures!AM148="Row Not Used",Measures!C148="Controls Only",Measures!C148="Decommissioning"),"",_xlfn.CONCAT(P148," ",Q148))</f>
        <v/>
      </c>
      <c r="AT148" s="264" t="str">
        <f t="shared" si="69"/>
        <v>None</v>
      </c>
      <c r="AU148" s="229">
        <f>IF(OR(AM148="Row Not Used",AM148="Controls Only"),0,INDEX(IncentiveRateTable[Incentive Rate],MATCH(AT148,IncentiveRateTable[Incentive Name],0)))</f>
        <v>0</v>
      </c>
      <c r="AV148" s="133" t="str">
        <f>IF(OR(AM148="Row Not Used",AM148="Controls Only"),"None",INDEX(IncentiveRateTable[Incentive Unit],MATCH(AT148,IncentiveRateTable[Incentive Name],0)))</f>
        <v>None</v>
      </c>
      <c r="AW148" s="578">
        <f t="shared" si="80"/>
        <v>0</v>
      </c>
      <c r="AX148" s="264" t="str">
        <f t="shared" si="70"/>
        <v>None</v>
      </c>
      <c r="AY148" s="229">
        <f>IF(OR(AM148="Row Not Used",AM148="Fixtures Only",AM148="Decommissioning"),0,INDEX(IncentiveRateTable[Incentive Rate],MATCH(AX148,IncentiveRateTable[Incentive Name],0)))</f>
        <v>0</v>
      </c>
      <c r="AZ148" s="133" t="str">
        <f>IF(OR(AM148="Row Not Used",AM148="Fixtures Only",AM148="Decommissioning"),"None",INDEX(IncentiveRateTable[Incentive Unit],MATCH(AX148,IncentiveRateTable[Incentive Name],0)))</f>
        <v>None</v>
      </c>
      <c r="BA148" s="465">
        <f t="shared" si="71"/>
        <v>0</v>
      </c>
      <c r="BB148" s="264" t="e" cm="1">
        <f t="array" ref="BB148">INDEX(BallastFactorTable[Commercial BPA Reference Number],MATCH(1,(BallastFactorTable[Fixture Class]=J148)*(BallastFactorTable[Fixture Category]=K148)*(BallastFactorTable[Fixture Sub-category]=L148),0))</f>
        <v>#N/A</v>
      </c>
      <c r="BC148" s="133" t="e" cm="1">
        <f t="array" ref="BC148">INDEX(BallastFactorTable[Industrial BPA Reference Number],MATCH(1,(BallastFactorTable[Fixture Class]=J148)*(BallastFactorTable[Fixture Category]=K148)*(BallastFactorTable[Fixture Sub-category]=L148),0))</f>
        <v>#N/A</v>
      </c>
      <c r="BD148" s="264" t="str">
        <f t="shared" si="72"/>
        <v>Sector is blank</v>
      </c>
      <c r="BE148" s="269" t="str">
        <f>IF(ISBLANK(SectorField),"Sector is blank",IF(AM148="Row Not Used","",IF(OR(R148="No Controls",ISBLANK(R148)),"",INDEX(ControlsBPARefNoTable[Reference Number],MATCH(SectorField,ControlsBPARefNoTable[Sector],0)))))</f>
        <v>Sector is blank</v>
      </c>
      <c r="BF148" s="530" t="str">
        <f t="shared" si="73"/>
        <v/>
      </c>
      <c r="BG148" s="132" t="str">
        <f t="shared" si="74"/>
        <v/>
      </c>
      <c r="BH148" s="531" t="str">
        <f t="shared" si="75"/>
        <v/>
      </c>
      <c r="BI148" s="532"/>
      <c r="BJ148" s="538" t="str">
        <f t="shared" si="81"/>
        <v/>
      </c>
      <c r="BK148" s="539" t="str">
        <f t="shared" si="82"/>
        <v/>
      </c>
      <c r="BL148" s="547" t="str">
        <f t="shared" si="83"/>
        <v/>
      </c>
    </row>
    <row r="149" spans="1:64" x14ac:dyDescent="0.3">
      <c r="A149" s="133">
        <v>142</v>
      </c>
      <c r="B149" s="294"/>
      <c r="C149" s="313"/>
      <c r="D149" s="292"/>
      <c r="E149" s="284"/>
      <c r="F149" s="284"/>
      <c r="G149" s="295"/>
      <c r="H149" s="296"/>
      <c r="I149" s="297"/>
      <c r="J149" s="292"/>
      <c r="K149" s="284"/>
      <c r="L149" s="284"/>
      <c r="M149" s="295"/>
      <c r="N149" s="296"/>
      <c r="O149" s="296"/>
      <c r="P149" s="284"/>
      <c r="Q149" s="298"/>
      <c r="R149" s="292"/>
      <c r="S149" s="299"/>
      <c r="T149" s="300"/>
      <c r="U149" s="317" t="str">
        <f t="shared" si="57"/>
        <v/>
      </c>
      <c r="V149" s="301"/>
      <c r="W149" s="136" t="str">
        <f t="shared" si="58"/>
        <v/>
      </c>
      <c r="X149" s="588" t="str">
        <f t="shared" si="76"/>
        <v/>
      </c>
      <c r="Y149" s="580"/>
      <c r="Z149" s="251" t="str">
        <f t="shared" si="59"/>
        <v/>
      </c>
      <c r="AA149" s="138" t="str">
        <f t="shared" si="84"/>
        <v/>
      </c>
      <c r="AB149" s="243" t="str">
        <f t="shared" si="77"/>
        <v/>
      </c>
      <c r="AC149" s="141" t="str">
        <f t="shared" si="60"/>
        <v/>
      </c>
      <c r="AD149" s="138" t="str">
        <f t="shared" si="78"/>
        <v/>
      </c>
      <c r="AE149" s="243" t="str">
        <f t="shared" si="61"/>
        <v/>
      </c>
      <c r="AF149" s="342" t="str">
        <f>IF(AM149="Row Not Used","",INDEX(SpaceTable[Annual Hours],(MATCH(B149,SpaceTable[Space Name Concatenated Helper],0))))</f>
        <v/>
      </c>
      <c r="AG149" s="205" t="str">
        <f t="shared" si="62"/>
        <v/>
      </c>
      <c r="AH149" s="234" t="str">
        <f t="shared" si="63"/>
        <v/>
      </c>
      <c r="AI149" s="205" t="str">
        <f t="shared" si="64"/>
        <v/>
      </c>
      <c r="AJ149" s="234" t="str">
        <f t="shared" si="65"/>
        <v/>
      </c>
      <c r="AK149" s="144" t="str">
        <f>IF(AM149="Row Not Used","",INDEX(SpaceTable[Row],(MATCH(B149,SpaceTable[Space Name Concatenated Helper],0))))</f>
        <v/>
      </c>
      <c r="AL149" s="238" t="str">
        <f>IF(AM149="Row Not Used","",INDEX(SpaceTable[HVAC Factor],(MATCH(B149,SpaceTable[Space Name Concatenated Helper],0))))</f>
        <v/>
      </c>
      <c r="AM149" s="520" t="str">
        <f t="shared" si="66"/>
        <v>Row Not Used</v>
      </c>
      <c r="AN149" s="512" t="e" cm="1">
        <f t="array" ref="AN149">INDEX(BallastFactorTable[Ballast Factor],MATCH(1,(BallastFactorTable[Fixture Class]=D149)*(BallastFactorTable[Fixture Category]=E149)*(BallastFactorTable[Fixture Sub-category]=F149),0))</f>
        <v>#N/A</v>
      </c>
      <c r="AO149" s="143" t="str">
        <f t="shared" si="79"/>
        <v/>
      </c>
      <c r="AP149" s="501" t="e" cm="1">
        <f t="array" ref="AP149">INDEX(BallastFactorTable[Wattage Range Name],MATCH(1,(BallastFactorTable[Fixture Class]=D149)*(BallastFactorTable[Fixture Category]=E149)*(BallastFactorTable[Fixture Sub-category]=F149),0))</f>
        <v>#N/A</v>
      </c>
      <c r="AQ149" s="515" t="str">
        <f t="shared" ca="1" si="67"/>
        <v>Okay</v>
      </c>
      <c r="AR149" s="512">
        <f t="shared" si="68"/>
        <v>0</v>
      </c>
      <c r="AS149" s="511" t="str">
        <f>IF(OR(Measures!AM149="Row Not Used",Measures!C149="Controls Only",Measures!C149="Decommissioning"),"",_xlfn.CONCAT(P149," ",Q149))</f>
        <v/>
      </c>
      <c r="AT149" s="264" t="str">
        <f t="shared" si="69"/>
        <v>None</v>
      </c>
      <c r="AU149" s="229">
        <f>IF(OR(AM149="Row Not Used",AM149="Controls Only"),0,INDEX(IncentiveRateTable[Incentive Rate],MATCH(AT149,IncentiveRateTable[Incentive Name],0)))</f>
        <v>0</v>
      </c>
      <c r="AV149" s="133" t="str">
        <f>IF(OR(AM149="Row Not Used",AM149="Controls Only"),"None",INDEX(IncentiveRateTable[Incentive Unit],MATCH(AT149,IncentiveRateTable[Incentive Name],0)))</f>
        <v>None</v>
      </c>
      <c r="AW149" s="578">
        <f t="shared" si="80"/>
        <v>0</v>
      </c>
      <c r="AX149" s="264" t="str">
        <f t="shared" si="70"/>
        <v>None</v>
      </c>
      <c r="AY149" s="229">
        <f>IF(OR(AM149="Row Not Used",AM149="Fixtures Only",AM149="Decommissioning"),0,INDEX(IncentiveRateTable[Incentive Rate],MATCH(AX149,IncentiveRateTable[Incentive Name],0)))</f>
        <v>0</v>
      </c>
      <c r="AZ149" s="133" t="str">
        <f>IF(OR(AM149="Row Not Used",AM149="Fixtures Only",AM149="Decommissioning"),"None",INDEX(IncentiveRateTable[Incentive Unit],MATCH(AX149,IncentiveRateTable[Incentive Name],0)))</f>
        <v>None</v>
      </c>
      <c r="BA149" s="465">
        <f t="shared" si="71"/>
        <v>0</v>
      </c>
      <c r="BB149" s="264" t="e" cm="1">
        <f t="array" ref="BB149">INDEX(BallastFactorTable[Commercial BPA Reference Number],MATCH(1,(BallastFactorTable[Fixture Class]=J149)*(BallastFactorTable[Fixture Category]=K149)*(BallastFactorTable[Fixture Sub-category]=L149),0))</f>
        <v>#N/A</v>
      </c>
      <c r="BC149" s="133" t="e" cm="1">
        <f t="array" ref="BC149">INDEX(BallastFactorTable[Industrial BPA Reference Number],MATCH(1,(BallastFactorTable[Fixture Class]=J149)*(BallastFactorTable[Fixture Category]=K149)*(BallastFactorTable[Fixture Sub-category]=L149),0))</f>
        <v>#N/A</v>
      </c>
      <c r="BD149" s="264" t="str">
        <f t="shared" si="72"/>
        <v>Sector is blank</v>
      </c>
      <c r="BE149" s="269" t="str">
        <f>IF(ISBLANK(SectorField),"Sector is blank",IF(AM149="Row Not Used","",IF(OR(R149="No Controls",ISBLANK(R149)),"",INDEX(ControlsBPARefNoTable[Reference Number],MATCH(SectorField,ControlsBPARefNoTable[Sector],0)))))</f>
        <v>Sector is blank</v>
      </c>
      <c r="BF149" s="530" t="str">
        <f t="shared" si="73"/>
        <v/>
      </c>
      <c r="BG149" s="132" t="str">
        <f t="shared" si="74"/>
        <v/>
      </c>
      <c r="BH149" s="531" t="str">
        <f t="shared" si="75"/>
        <v/>
      </c>
      <c r="BI149" s="532"/>
      <c r="BJ149" s="538" t="str">
        <f t="shared" si="81"/>
        <v/>
      </c>
      <c r="BK149" s="539" t="str">
        <f t="shared" si="82"/>
        <v/>
      </c>
      <c r="BL149" s="547" t="str">
        <f t="shared" si="83"/>
        <v/>
      </c>
    </row>
    <row r="150" spans="1:64" x14ac:dyDescent="0.3">
      <c r="A150" s="133">
        <v>143</v>
      </c>
      <c r="B150" s="294"/>
      <c r="C150" s="313"/>
      <c r="D150" s="292"/>
      <c r="E150" s="284"/>
      <c r="F150" s="284"/>
      <c r="G150" s="295"/>
      <c r="H150" s="296"/>
      <c r="I150" s="297"/>
      <c r="J150" s="292"/>
      <c r="K150" s="284"/>
      <c r="L150" s="284"/>
      <c r="M150" s="295"/>
      <c r="N150" s="296"/>
      <c r="O150" s="296"/>
      <c r="P150" s="284"/>
      <c r="Q150" s="298"/>
      <c r="R150" s="292"/>
      <c r="S150" s="299"/>
      <c r="T150" s="300"/>
      <c r="U150" s="317" t="str">
        <f t="shared" si="57"/>
        <v/>
      </c>
      <c r="V150" s="301"/>
      <c r="W150" s="137" t="str">
        <f t="shared" si="58"/>
        <v/>
      </c>
      <c r="X150" s="589" t="str">
        <f t="shared" si="76"/>
        <v/>
      </c>
      <c r="Y150" s="581"/>
      <c r="Z150" s="251" t="str">
        <f t="shared" si="59"/>
        <v/>
      </c>
      <c r="AA150" s="138" t="str">
        <f t="shared" si="84"/>
        <v/>
      </c>
      <c r="AB150" s="243" t="str">
        <f t="shared" si="77"/>
        <v/>
      </c>
      <c r="AC150" s="141" t="str">
        <f t="shared" si="60"/>
        <v/>
      </c>
      <c r="AD150" s="138" t="str">
        <f t="shared" si="78"/>
        <v/>
      </c>
      <c r="AE150" s="243" t="str">
        <f t="shared" si="61"/>
        <v/>
      </c>
      <c r="AF150" s="342" t="str">
        <f>IF(AM150="Row Not Used","",INDEX(SpaceTable[Annual Hours],(MATCH(B150,SpaceTable[Space Name Concatenated Helper],0))))</f>
        <v/>
      </c>
      <c r="AG150" s="205" t="str">
        <f t="shared" si="62"/>
        <v/>
      </c>
      <c r="AH150" s="234" t="str">
        <f t="shared" si="63"/>
        <v/>
      </c>
      <c r="AI150" s="205" t="str">
        <f t="shared" si="64"/>
        <v/>
      </c>
      <c r="AJ150" s="234" t="str">
        <f t="shared" si="65"/>
        <v/>
      </c>
      <c r="AK150" s="144" t="str">
        <f>IF(AM150="Row Not Used","",INDEX(SpaceTable[Row],(MATCH(B150,SpaceTable[Space Name Concatenated Helper],0))))</f>
        <v/>
      </c>
      <c r="AL150" s="238" t="str">
        <f>IF(AM150="Row Not Used","",INDEX(SpaceTable[HVAC Factor],(MATCH(B150,SpaceTable[Space Name Concatenated Helper],0))))</f>
        <v/>
      </c>
      <c r="AM150" s="520" t="str">
        <f t="shared" si="66"/>
        <v>Row Not Used</v>
      </c>
      <c r="AN150" s="512" t="e" cm="1">
        <f t="array" ref="AN150">INDEX(BallastFactorTable[Ballast Factor],MATCH(1,(BallastFactorTable[Fixture Class]=D150)*(BallastFactorTable[Fixture Category]=E150)*(BallastFactorTable[Fixture Sub-category]=F150),0))</f>
        <v>#N/A</v>
      </c>
      <c r="AO150" s="143" t="str">
        <f t="shared" si="79"/>
        <v/>
      </c>
      <c r="AP150" s="501" t="e" cm="1">
        <f t="array" ref="AP150">INDEX(BallastFactorTable[Wattage Range Name],MATCH(1,(BallastFactorTable[Fixture Class]=D150)*(BallastFactorTable[Fixture Category]=E150)*(BallastFactorTable[Fixture Sub-category]=F150),0))</f>
        <v>#N/A</v>
      </c>
      <c r="AQ150" s="515" t="str">
        <f t="shared" ca="1" si="67"/>
        <v>Okay</v>
      </c>
      <c r="AR150" s="512">
        <f t="shared" si="68"/>
        <v>0</v>
      </c>
      <c r="AS150" s="511" t="str">
        <f>IF(OR(Measures!AM150="Row Not Used",Measures!C150="Controls Only",Measures!C150="Decommissioning"),"",_xlfn.CONCAT(P150," ",Q150))</f>
        <v/>
      </c>
      <c r="AT150" s="264" t="str">
        <f t="shared" si="69"/>
        <v>None</v>
      </c>
      <c r="AU150" s="229">
        <f>IF(OR(AM150="Row Not Used",AM150="Controls Only"),0,INDEX(IncentiveRateTable[Incentive Rate],MATCH(AT150,IncentiveRateTable[Incentive Name],0)))</f>
        <v>0</v>
      </c>
      <c r="AV150" s="133" t="str">
        <f>IF(OR(AM150="Row Not Used",AM150="Controls Only"),"None",INDEX(IncentiveRateTable[Incentive Unit],MATCH(AT150,IncentiveRateTable[Incentive Name],0)))</f>
        <v>None</v>
      </c>
      <c r="AW150" s="578">
        <f t="shared" si="80"/>
        <v>0</v>
      </c>
      <c r="AX150" s="264" t="str">
        <f t="shared" si="70"/>
        <v>None</v>
      </c>
      <c r="AY150" s="229">
        <f>IF(OR(AM150="Row Not Used",AM150="Fixtures Only",AM150="Decommissioning"),0,INDEX(IncentiveRateTable[Incentive Rate],MATCH(AX150,IncentiveRateTable[Incentive Name],0)))</f>
        <v>0</v>
      </c>
      <c r="AZ150" s="133" t="str">
        <f>IF(OR(AM150="Row Not Used",AM150="Fixtures Only",AM150="Decommissioning"),"None",INDEX(IncentiveRateTable[Incentive Unit],MATCH(AX150,IncentiveRateTable[Incentive Name],0)))</f>
        <v>None</v>
      </c>
      <c r="BA150" s="465">
        <f t="shared" si="71"/>
        <v>0</v>
      </c>
      <c r="BB150" s="264" t="e" cm="1">
        <f t="array" ref="BB150">INDEX(BallastFactorTable[Commercial BPA Reference Number],MATCH(1,(BallastFactorTable[Fixture Class]=J150)*(BallastFactorTable[Fixture Category]=K150)*(BallastFactorTable[Fixture Sub-category]=L150),0))</f>
        <v>#N/A</v>
      </c>
      <c r="BC150" s="133" t="e" cm="1">
        <f t="array" ref="BC150">INDEX(BallastFactorTable[Industrial BPA Reference Number],MATCH(1,(BallastFactorTable[Fixture Class]=J150)*(BallastFactorTable[Fixture Category]=K150)*(BallastFactorTable[Fixture Sub-category]=L150),0))</f>
        <v>#N/A</v>
      </c>
      <c r="BD150" s="264" t="str">
        <f t="shared" si="72"/>
        <v>Sector is blank</v>
      </c>
      <c r="BE150" s="269" t="str">
        <f>IF(ISBLANK(SectorField),"Sector is blank",IF(AM150="Row Not Used","",IF(OR(R150="No Controls",ISBLANK(R150)),"",INDEX(ControlsBPARefNoTable[Reference Number],MATCH(SectorField,ControlsBPARefNoTable[Sector],0)))))</f>
        <v>Sector is blank</v>
      </c>
      <c r="BF150" s="530" t="str">
        <f t="shared" si="73"/>
        <v/>
      </c>
      <c r="BG150" s="132" t="str">
        <f t="shared" si="74"/>
        <v/>
      </c>
      <c r="BH150" s="531" t="str">
        <f t="shared" si="75"/>
        <v/>
      </c>
      <c r="BI150" s="532"/>
      <c r="BJ150" s="538" t="str">
        <f t="shared" si="81"/>
        <v/>
      </c>
      <c r="BK150" s="539" t="str">
        <f t="shared" si="82"/>
        <v/>
      </c>
      <c r="BL150" s="547" t="str">
        <f t="shared" si="83"/>
        <v/>
      </c>
    </row>
    <row r="151" spans="1:64" x14ac:dyDescent="0.3">
      <c r="A151" s="133">
        <v>144</v>
      </c>
      <c r="B151" s="294"/>
      <c r="C151" s="313"/>
      <c r="D151" s="292"/>
      <c r="E151" s="284"/>
      <c r="F151" s="284"/>
      <c r="G151" s="295"/>
      <c r="H151" s="296"/>
      <c r="I151" s="297"/>
      <c r="J151" s="292"/>
      <c r="K151" s="284"/>
      <c r="L151" s="284"/>
      <c r="M151" s="295"/>
      <c r="N151" s="296"/>
      <c r="O151" s="296"/>
      <c r="P151" s="284"/>
      <c r="Q151" s="298"/>
      <c r="R151" s="292"/>
      <c r="S151" s="299"/>
      <c r="T151" s="300"/>
      <c r="U151" s="317" t="str">
        <f t="shared" si="57"/>
        <v/>
      </c>
      <c r="V151" s="301"/>
      <c r="W151" s="136" t="str">
        <f t="shared" si="58"/>
        <v/>
      </c>
      <c r="X151" s="588" t="str">
        <f t="shared" si="76"/>
        <v/>
      </c>
      <c r="Y151" s="580"/>
      <c r="Z151" s="251" t="str">
        <f t="shared" si="59"/>
        <v/>
      </c>
      <c r="AA151" s="138" t="str">
        <f t="shared" si="84"/>
        <v/>
      </c>
      <c r="AB151" s="243" t="str">
        <f t="shared" si="77"/>
        <v/>
      </c>
      <c r="AC151" s="141" t="str">
        <f t="shared" si="60"/>
        <v/>
      </c>
      <c r="AD151" s="138" t="str">
        <f t="shared" si="78"/>
        <v/>
      </c>
      <c r="AE151" s="243" t="str">
        <f t="shared" si="61"/>
        <v/>
      </c>
      <c r="AF151" s="342" t="str">
        <f>IF(AM151="Row Not Used","",INDEX(SpaceTable[Annual Hours],(MATCH(B151,SpaceTable[Space Name Concatenated Helper],0))))</f>
        <v/>
      </c>
      <c r="AG151" s="205" t="str">
        <f t="shared" si="62"/>
        <v/>
      </c>
      <c r="AH151" s="234" t="str">
        <f t="shared" si="63"/>
        <v/>
      </c>
      <c r="AI151" s="205" t="str">
        <f t="shared" si="64"/>
        <v/>
      </c>
      <c r="AJ151" s="234" t="str">
        <f t="shared" si="65"/>
        <v/>
      </c>
      <c r="AK151" s="144" t="str">
        <f>IF(AM151="Row Not Used","",INDEX(SpaceTable[Row],(MATCH(B151,SpaceTable[Space Name Concatenated Helper],0))))</f>
        <v/>
      </c>
      <c r="AL151" s="238" t="str">
        <f>IF(AM151="Row Not Used","",INDEX(SpaceTable[HVAC Factor],(MATCH(B151,SpaceTable[Space Name Concatenated Helper],0))))</f>
        <v/>
      </c>
      <c r="AM151" s="520" t="str">
        <f t="shared" si="66"/>
        <v>Row Not Used</v>
      </c>
      <c r="AN151" s="512" t="e" cm="1">
        <f t="array" ref="AN151">INDEX(BallastFactorTable[Ballast Factor],MATCH(1,(BallastFactorTable[Fixture Class]=D151)*(BallastFactorTable[Fixture Category]=E151)*(BallastFactorTable[Fixture Sub-category]=F151),0))</f>
        <v>#N/A</v>
      </c>
      <c r="AO151" s="143" t="str">
        <f t="shared" si="79"/>
        <v/>
      </c>
      <c r="AP151" s="501" t="e" cm="1">
        <f t="array" ref="AP151">INDEX(BallastFactorTable[Wattage Range Name],MATCH(1,(BallastFactorTable[Fixture Class]=D151)*(BallastFactorTable[Fixture Category]=E151)*(BallastFactorTable[Fixture Sub-category]=F151),0))</f>
        <v>#N/A</v>
      </c>
      <c r="AQ151" s="515" t="str">
        <f t="shared" ca="1" si="67"/>
        <v>Okay</v>
      </c>
      <c r="AR151" s="512">
        <f t="shared" si="68"/>
        <v>0</v>
      </c>
      <c r="AS151" s="511" t="str">
        <f>IF(OR(Measures!AM151="Row Not Used",Measures!C151="Controls Only",Measures!C151="Decommissioning"),"",_xlfn.CONCAT(P151," ",Q151))</f>
        <v/>
      </c>
      <c r="AT151" s="264" t="str">
        <f t="shared" si="69"/>
        <v>None</v>
      </c>
      <c r="AU151" s="229">
        <f>IF(OR(AM151="Row Not Used",AM151="Controls Only"),0,INDEX(IncentiveRateTable[Incentive Rate],MATCH(AT151,IncentiveRateTable[Incentive Name],0)))</f>
        <v>0</v>
      </c>
      <c r="AV151" s="133" t="str">
        <f>IF(OR(AM151="Row Not Used",AM151="Controls Only"),"None",INDEX(IncentiveRateTable[Incentive Unit],MATCH(AT151,IncentiveRateTable[Incentive Name],0)))</f>
        <v>None</v>
      </c>
      <c r="AW151" s="578">
        <f t="shared" si="80"/>
        <v>0</v>
      </c>
      <c r="AX151" s="264" t="str">
        <f t="shared" si="70"/>
        <v>None</v>
      </c>
      <c r="AY151" s="229">
        <f>IF(OR(AM151="Row Not Used",AM151="Fixtures Only",AM151="Decommissioning"),0,INDEX(IncentiveRateTable[Incentive Rate],MATCH(AX151,IncentiveRateTable[Incentive Name],0)))</f>
        <v>0</v>
      </c>
      <c r="AZ151" s="133" t="str">
        <f>IF(OR(AM151="Row Not Used",AM151="Fixtures Only",AM151="Decommissioning"),"None",INDEX(IncentiveRateTable[Incentive Unit],MATCH(AX151,IncentiveRateTable[Incentive Name],0)))</f>
        <v>None</v>
      </c>
      <c r="BA151" s="465">
        <f t="shared" si="71"/>
        <v>0</v>
      </c>
      <c r="BB151" s="264" t="e" cm="1">
        <f t="array" ref="BB151">INDEX(BallastFactorTable[Commercial BPA Reference Number],MATCH(1,(BallastFactorTable[Fixture Class]=J151)*(BallastFactorTable[Fixture Category]=K151)*(BallastFactorTable[Fixture Sub-category]=L151),0))</f>
        <v>#N/A</v>
      </c>
      <c r="BC151" s="133" t="e" cm="1">
        <f t="array" ref="BC151">INDEX(BallastFactorTable[Industrial BPA Reference Number],MATCH(1,(BallastFactorTable[Fixture Class]=J151)*(BallastFactorTable[Fixture Category]=K151)*(BallastFactorTable[Fixture Sub-category]=L151),0))</f>
        <v>#N/A</v>
      </c>
      <c r="BD151" s="264" t="str">
        <f t="shared" si="72"/>
        <v>Sector is blank</v>
      </c>
      <c r="BE151" s="269" t="str">
        <f>IF(ISBLANK(SectorField),"Sector is blank",IF(AM151="Row Not Used","",IF(OR(R151="No Controls",ISBLANK(R151)),"",INDEX(ControlsBPARefNoTable[Reference Number],MATCH(SectorField,ControlsBPARefNoTable[Sector],0)))))</f>
        <v>Sector is blank</v>
      </c>
      <c r="BF151" s="530" t="str">
        <f t="shared" si="73"/>
        <v/>
      </c>
      <c r="BG151" s="132" t="str">
        <f t="shared" si="74"/>
        <v/>
      </c>
      <c r="BH151" s="531" t="str">
        <f t="shared" si="75"/>
        <v/>
      </c>
      <c r="BI151" s="532"/>
      <c r="BJ151" s="538" t="str">
        <f t="shared" si="81"/>
        <v/>
      </c>
      <c r="BK151" s="539" t="str">
        <f t="shared" si="82"/>
        <v/>
      </c>
      <c r="BL151" s="547" t="str">
        <f t="shared" si="83"/>
        <v/>
      </c>
    </row>
    <row r="152" spans="1:64" x14ac:dyDescent="0.3">
      <c r="A152" s="133">
        <v>145</v>
      </c>
      <c r="B152" s="294"/>
      <c r="C152" s="313"/>
      <c r="D152" s="292"/>
      <c r="E152" s="284"/>
      <c r="F152" s="284"/>
      <c r="G152" s="295"/>
      <c r="H152" s="296"/>
      <c r="I152" s="297"/>
      <c r="J152" s="292"/>
      <c r="K152" s="284"/>
      <c r="L152" s="284"/>
      <c r="M152" s="295"/>
      <c r="N152" s="296"/>
      <c r="O152" s="296"/>
      <c r="P152" s="284"/>
      <c r="Q152" s="298"/>
      <c r="R152" s="292"/>
      <c r="S152" s="299"/>
      <c r="T152" s="300"/>
      <c r="U152" s="317" t="str">
        <f t="shared" si="57"/>
        <v/>
      </c>
      <c r="V152" s="301"/>
      <c r="W152" s="137" t="str">
        <f t="shared" si="58"/>
        <v/>
      </c>
      <c r="X152" s="589" t="str">
        <f t="shared" si="76"/>
        <v/>
      </c>
      <c r="Y152" s="581"/>
      <c r="Z152" s="251" t="str">
        <f t="shared" si="59"/>
        <v/>
      </c>
      <c r="AA152" s="138" t="str">
        <f t="shared" si="84"/>
        <v/>
      </c>
      <c r="AB152" s="243" t="str">
        <f t="shared" si="77"/>
        <v/>
      </c>
      <c r="AC152" s="141" t="str">
        <f t="shared" si="60"/>
        <v/>
      </c>
      <c r="AD152" s="138" t="str">
        <f t="shared" si="78"/>
        <v/>
      </c>
      <c r="AE152" s="243" t="str">
        <f t="shared" si="61"/>
        <v/>
      </c>
      <c r="AF152" s="342" t="str">
        <f>IF(AM152="Row Not Used","",INDEX(SpaceTable[Annual Hours],(MATCH(B152,SpaceTable[Space Name Concatenated Helper],0))))</f>
        <v/>
      </c>
      <c r="AG152" s="205" t="str">
        <f t="shared" si="62"/>
        <v/>
      </c>
      <c r="AH152" s="234" t="str">
        <f t="shared" si="63"/>
        <v/>
      </c>
      <c r="AI152" s="205" t="str">
        <f t="shared" si="64"/>
        <v/>
      </c>
      <c r="AJ152" s="234" t="str">
        <f t="shared" si="65"/>
        <v/>
      </c>
      <c r="AK152" s="144" t="str">
        <f>IF(AM152="Row Not Used","",INDEX(SpaceTable[Row],(MATCH(B152,SpaceTable[Space Name Concatenated Helper],0))))</f>
        <v/>
      </c>
      <c r="AL152" s="238" t="str">
        <f>IF(AM152="Row Not Used","",INDEX(SpaceTable[HVAC Factor],(MATCH(B152,SpaceTable[Space Name Concatenated Helper],0))))</f>
        <v/>
      </c>
      <c r="AM152" s="520" t="str">
        <f t="shared" si="66"/>
        <v>Row Not Used</v>
      </c>
      <c r="AN152" s="512" t="e" cm="1">
        <f t="array" ref="AN152">INDEX(BallastFactorTable[Ballast Factor],MATCH(1,(BallastFactorTable[Fixture Class]=D152)*(BallastFactorTable[Fixture Category]=E152)*(BallastFactorTable[Fixture Sub-category]=F152),0))</f>
        <v>#N/A</v>
      </c>
      <c r="AO152" s="143" t="str">
        <f t="shared" si="79"/>
        <v/>
      </c>
      <c r="AP152" s="501" t="e" cm="1">
        <f t="array" ref="AP152">INDEX(BallastFactorTable[Wattage Range Name],MATCH(1,(BallastFactorTable[Fixture Class]=D152)*(BallastFactorTable[Fixture Category]=E152)*(BallastFactorTable[Fixture Sub-category]=F152),0))</f>
        <v>#N/A</v>
      </c>
      <c r="AQ152" s="515" t="str">
        <f t="shared" ca="1" si="67"/>
        <v>Okay</v>
      </c>
      <c r="AR152" s="512">
        <f t="shared" si="68"/>
        <v>0</v>
      </c>
      <c r="AS152" s="511" t="str">
        <f>IF(OR(Measures!AM152="Row Not Used",Measures!C152="Controls Only",Measures!C152="Decommissioning"),"",_xlfn.CONCAT(P152," ",Q152))</f>
        <v/>
      </c>
      <c r="AT152" s="264" t="str">
        <f t="shared" si="69"/>
        <v>None</v>
      </c>
      <c r="AU152" s="229">
        <f>IF(OR(AM152="Row Not Used",AM152="Controls Only"),0,INDEX(IncentiveRateTable[Incentive Rate],MATCH(AT152,IncentiveRateTable[Incentive Name],0)))</f>
        <v>0</v>
      </c>
      <c r="AV152" s="133" t="str">
        <f>IF(OR(AM152="Row Not Used",AM152="Controls Only"),"None",INDEX(IncentiveRateTable[Incentive Unit],MATCH(AT152,IncentiveRateTable[Incentive Name],0)))</f>
        <v>None</v>
      </c>
      <c r="AW152" s="578">
        <f t="shared" si="80"/>
        <v>0</v>
      </c>
      <c r="AX152" s="264" t="str">
        <f t="shared" si="70"/>
        <v>None</v>
      </c>
      <c r="AY152" s="229">
        <f>IF(OR(AM152="Row Not Used",AM152="Fixtures Only",AM152="Decommissioning"),0,INDEX(IncentiveRateTable[Incentive Rate],MATCH(AX152,IncentiveRateTable[Incentive Name],0)))</f>
        <v>0</v>
      </c>
      <c r="AZ152" s="133" t="str">
        <f>IF(OR(AM152="Row Not Used",AM152="Fixtures Only",AM152="Decommissioning"),"None",INDEX(IncentiveRateTable[Incentive Unit],MATCH(AX152,IncentiveRateTable[Incentive Name],0)))</f>
        <v>None</v>
      </c>
      <c r="BA152" s="465">
        <f t="shared" si="71"/>
        <v>0</v>
      </c>
      <c r="BB152" s="264" t="e" cm="1">
        <f t="array" ref="BB152">INDEX(BallastFactorTable[Commercial BPA Reference Number],MATCH(1,(BallastFactorTable[Fixture Class]=J152)*(BallastFactorTable[Fixture Category]=K152)*(BallastFactorTable[Fixture Sub-category]=L152),0))</f>
        <v>#N/A</v>
      </c>
      <c r="BC152" s="133" t="e" cm="1">
        <f t="array" ref="BC152">INDEX(BallastFactorTable[Industrial BPA Reference Number],MATCH(1,(BallastFactorTable[Fixture Class]=J152)*(BallastFactorTable[Fixture Category]=K152)*(BallastFactorTable[Fixture Sub-category]=L152),0))</f>
        <v>#N/A</v>
      </c>
      <c r="BD152" s="264" t="str">
        <f t="shared" si="72"/>
        <v>Sector is blank</v>
      </c>
      <c r="BE152" s="269" t="str">
        <f>IF(ISBLANK(SectorField),"Sector is blank",IF(AM152="Row Not Used","",IF(OR(R152="No Controls",ISBLANK(R152)),"",INDEX(ControlsBPARefNoTable[Reference Number],MATCH(SectorField,ControlsBPARefNoTable[Sector],0)))))</f>
        <v>Sector is blank</v>
      </c>
      <c r="BF152" s="530" t="str">
        <f t="shared" si="73"/>
        <v/>
      </c>
      <c r="BG152" s="132" t="str">
        <f t="shared" si="74"/>
        <v/>
      </c>
      <c r="BH152" s="531" t="str">
        <f t="shared" si="75"/>
        <v/>
      </c>
      <c r="BI152" s="532"/>
      <c r="BJ152" s="538" t="str">
        <f t="shared" si="81"/>
        <v/>
      </c>
      <c r="BK152" s="539" t="str">
        <f t="shared" si="82"/>
        <v/>
      </c>
      <c r="BL152" s="547" t="str">
        <f t="shared" si="83"/>
        <v/>
      </c>
    </row>
    <row r="153" spans="1:64" x14ac:dyDescent="0.3">
      <c r="A153" s="133">
        <v>146</v>
      </c>
      <c r="B153" s="294"/>
      <c r="C153" s="313"/>
      <c r="D153" s="292"/>
      <c r="E153" s="284"/>
      <c r="F153" s="284"/>
      <c r="G153" s="295"/>
      <c r="H153" s="296"/>
      <c r="I153" s="297"/>
      <c r="J153" s="292"/>
      <c r="K153" s="284"/>
      <c r="L153" s="284"/>
      <c r="M153" s="295"/>
      <c r="N153" s="296"/>
      <c r="O153" s="296"/>
      <c r="P153" s="284"/>
      <c r="Q153" s="298"/>
      <c r="R153" s="292"/>
      <c r="S153" s="299"/>
      <c r="T153" s="300"/>
      <c r="U153" s="317" t="str">
        <f t="shared" si="57"/>
        <v/>
      </c>
      <c r="V153" s="301"/>
      <c r="W153" s="136" t="str">
        <f t="shared" si="58"/>
        <v/>
      </c>
      <c r="X153" s="588" t="str">
        <f t="shared" si="76"/>
        <v/>
      </c>
      <c r="Y153" s="580"/>
      <c r="Z153" s="251" t="str">
        <f t="shared" si="59"/>
        <v/>
      </c>
      <c r="AA153" s="138" t="str">
        <f t="shared" si="84"/>
        <v/>
      </c>
      <c r="AB153" s="243" t="str">
        <f t="shared" si="77"/>
        <v/>
      </c>
      <c r="AC153" s="141" t="str">
        <f t="shared" si="60"/>
        <v/>
      </c>
      <c r="AD153" s="138" t="str">
        <f t="shared" si="78"/>
        <v/>
      </c>
      <c r="AE153" s="243" t="str">
        <f t="shared" si="61"/>
        <v/>
      </c>
      <c r="AF153" s="342" t="str">
        <f>IF(AM153="Row Not Used","",INDEX(SpaceTable[Annual Hours],(MATCH(B153,SpaceTable[Space Name Concatenated Helper],0))))</f>
        <v/>
      </c>
      <c r="AG153" s="205" t="str">
        <f t="shared" si="62"/>
        <v/>
      </c>
      <c r="AH153" s="234" t="str">
        <f t="shared" si="63"/>
        <v/>
      </c>
      <c r="AI153" s="205" t="str">
        <f t="shared" si="64"/>
        <v/>
      </c>
      <c r="AJ153" s="234" t="str">
        <f t="shared" si="65"/>
        <v/>
      </c>
      <c r="AK153" s="144" t="str">
        <f>IF(AM153="Row Not Used","",INDEX(SpaceTable[Row],(MATCH(B153,SpaceTable[Space Name Concatenated Helper],0))))</f>
        <v/>
      </c>
      <c r="AL153" s="238" t="str">
        <f>IF(AM153="Row Not Used","",INDEX(SpaceTable[HVAC Factor],(MATCH(B153,SpaceTable[Space Name Concatenated Helper],0))))</f>
        <v/>
      </c>
      <c r="AM153" s="520" t="str">
        <f t="shared" si="66"/>
        <v>Row Not Used</v>
      </c>
      <c r="AN153" s="512" t="e" cm="1">
        <f t="array" ref="AN153">INDEX(BallastFactorTable[Ballast Factor],MATCH(1,(BallastFactorTable[Fixture Class]=D153)*(BallastFactorTable[Fixture Category]=E153)*(BallastFactorTable[Fixture Sub-category]=F153),0))</f>
        <v>#N/A</v>
      </c>
      <c r="AO153" s="143" t="str">
        <f t="shared" si="79"/>
        <v/>
      </c>
      <c r="AP153" s="501" t="e" cm="1">
        <f t="array" ref="AP153">INDEX(BallastFactorTable[Wattage Range Name],MATCH(1,(BallastFactorTable[Fixture Class]=D153)*(BallastFactorTable[Fixture Category]=E153)*(BallastFactorTable[Fixture Sub-category]=F153),0))</f>
        <v>#N/A</v>
      </c>
      <c r="AQ153" s="515" t="str">
        <f t="shared" ca="1" si="67"/>
        <v>Okay</v>
      </c>
      <c r="AR153" s="512">
        <f t="shared" si="68"/>
        <v>0</v>
      </c>
      <c r="AS153" s="511" t="str">
        <f>IF(OR(Measures!AM153="Row Not Used",Measures!C153="Controls Only",Measures!C153="Decommissioning"),"",_xlfn.CONCAT(P153," ",Q153))</f>
        <v/>
      </c>
      <c r="AT153" s="264" t="str">
        <f t="shared" si="69"/>
        <v>None</v>
      </c>
      <c r="AU153" s="229">
        <f>IF(OR(AM153="Row Not Used",AM153="Controls Only"),0,INDEX(IncentiveRateTable[Incentive Rate],MATCH(AT153,IncentiveRateTable[Incentive Name],0)))</f>
        <v>0</v>
      </c>
      <c r="AV153" s="133" t="str">
        <f>IF(OR(AM153="Row Not Used",AM153="Controls Only"),"None",INDEX(IncentiveRateTable[Incentive Unit],MATCH(AT153,IncentiveRateTable[Incentive Name],0)))</f>
        <v>None</v>
      </c>
      <c r="AW153" s="578">
        <f t="shared" si="80"/>
        <v>0</v>
      </c>
      <c r="AX153" s="264" t="str">
        <f t="shared" si="70"/>
        <v>None</v>
      </c>
      <c r="AY153" s="229">
        <f>IF(OR(AM153="Row Not Used",AM153="Fixtures Only",AM153="Decommissioning"),0,INDEX(IncentiveRateTable[Incentive Rate],MATCH(AX153,IncentiveRateTable[Incentive Name],0)))</f>
        <v>0</v>
      </c>
      <c r="AZ153" s="133" t="str">
        <f>IF(OR(AM153="Row Not Used",AM153="Fixtures Only",AM153="Decommissioning"),"None",INDEX(IncentiveRateTable[Incentive Unit],MATCH(AX153,IncentiveRateTable[Incentive Name],0)))</f>
        <v>None</v>
      </c>
      <c r="BA153" s="465">
        <f t="shared" si="71"/>
        <v>0</v>
      </c>
      <c r="BB153" s="264" t="e" cm="1">
        <f t="array" ref="BB153">INDEX(BallastFactorTable[Commercial BPA Reference Number],MATCH(1,(BallastFactorTable[Fixture Class]=J153)*(BallastFactorTable[Fixture Category]=K153)*(BallastFactorTable[Fixture Sub-category]=L153),0))</f>
        <v>#N/A</v>
      </c>
      <c r="BC153" s="133" t="e" cm="1">
        <f t="array" ref="BC153">INDEX(BallastFactorTable[Industrial BPA Reference Number],MATCH(1,(BallastFactorTable[Fixture Class]=J153)*(BallastFactorTable[Fixture Category]=K153)*(BallastFactorTable[Fixture Sub-category]=L153),0))</f>
        <v>#N/A</v>
      </c>
      <c r="BD153" s="264" t="str">
        <f t="shared" si="72"/>
        <v>Sector is blank</v>
      </c>
      <c r="BE153" s="269" t="str">
        <f>IF(ISBLANK(SectorField),"Sector is blank",IF(AM153="Row Not Used","",IF(OR(R153="No Controls",ISBLANK(R153)),"",INDEX(ControlsBPARefNoTable[Reference Number],MATCH(SectorField,ControlsBPARefNoTable[Sector],0)))))</f>
        <v>Sector is blank</v>
      </c>
      <c r="BF153" s="530" t="str">
        <f t="shared" si="73"/>
        <v/>
      </c>
      <c r="BG153" s="132" t="str">
        <f t="shared" si="74"/>
        <v/>
      </c>
      <c r="BH153" s="531" t="str">
        <f t="shared" si="75"/>
        <v/>
      </c>
      <c r="BI153" s="532"/>
      <c r="BJ153" s="538" t="str">
        <f t="shared" si="81"/>
        <v/>
      </c>
      <c r="BK153" s="539" t="str">
        <f t="shared" si="82"/>
        <v/>
      </c>
      <c r="BL153" s="547" t="str">
        <f t="shared" si="83"/>
        <v/>
      </c>
    </row>
    <row r="154" spans="1:64" x14ac:dyDescent="0.3">
      <c r="A154" s="133">
        <v>147</v>
      </c>
      <c r="B154" s="294"/>
      <c r="C154" s="313"/>
      <c r="D154" s="292"/>
      <c r="E154" s="284"/>
      <c r="F154" s="284"/>
      <c r="G154" s="295"/>
      <c r="H154" s="296"/>
      <c r="I154" s="297"/>
      <c r="J154" s="292"/>
      <c r="K154" s="284"/>
      <c r="L154" s="284"/>
      <c r="M154" s="295"/>
      <c r="N154" s="296"/>
      <c r="O154" s="296"/>
      <c r="P154" s="284"/>
      <c r="Q154" s="298"/>
      <c r="R154" s="292"/>
      <c r="S154" s="299"/>
      <c r="T154" s="300"/>
      <c r="U154" s="317" t="str">
        <f t="shared" si="57"/>
        <v/>
      </c>
      <c r="V154" s="301"/>
      <c r="W154" s="137" t="str">
        <f t="shared" si="58"/>
        <v/>
      </c>
      <c r="X154" s="589" t="str">
        <f t="shared" si="76"/>
        <v/>
      </c>
      <c r="Y154" s="581"/>
      <c r="Z154" s="251" t="str">
        <f t="shared" si="59"/>
        <v/>
      </c>
      <c r="AA154" s="138" t="str">
        <f t="shared" si="84"/>
        <v/>
      </c>
      <c r="AB154" s="243" t="str">
        <f t="shared" si="77"/>
        <v/>
      </c>
      <c r="AC154" s="141" t="str">
        <f t="shared" si="60"/>
        <v/>
      </c>
      <c r="AD154" s="138" t="str">
        <f t="shared" si="78"/>
        <v/>
      </c>
      <c r="AE154" s="243" t="str">
        <f t="shared" si="61"/>
        <v/>
      </c>
      <c r="AF154" s="342" t="str">
        <f>IF(AM154="Row Not Used","",INDEX(SpaceTable[Annual Hours],(MATCH(B154,SpaceTable[Space Name Concatenated Helper],0))))</f>
        <v/>
      </c>
      <c r="AG154" s="205" t="str">
        <f t="shared" si="62"/>
        <v/>
      </c>
      <c r="AH154" s="234" t="str">
        <f t="shared" si="63"/>
        <v/>
      </c>
      <c r="AI154" s="205" t="str">
        <f t="shared" si="64"/>
        <v/>
      </c>
      <c r="AJ154" s="234" t="str">
        <f t="shared" si="65"/>
        <v/>
      </c>
      <c r="AK154" s="144" t="str">
        <f>IF(AM154="Row Not Used","",INDEX(SpaceTable[Row],(MATCH(B154,SpaceTable[Space Name Concatenated Helper],0))))</f>
        <v/>
      </c>
      <c r="AL154" s="238" t="str">
        <f>IF(AM154="Row Not Used","",INDEX(SpaceTable[HVAC Factor],(MATCH(B154,SpaceTable[Space Name Concatenated Helper],0))))</f>
        <v/>
      </c>
      <c r="AM154" s="520" t="str">
        <f t="shared" si="66"/>
        <v>Row Not Used</v>
      </c>
      <c r="AN154" s="512" t="e" cm="1">
        <f t="array" ref="AN154">INDEX(BallastFactorTable[Ballast Factor],MATCH(1,(BallastFactorTable[Fixture Class]=D154)*(BallastFactorTable[Fixture Category]=E154)*(BallastFactorTable[Fixture Sub-category]=F154),0))</f>
        <v>#N/A</v>
      </c>
      <c r="AO154" s="143" t="str">
        <f t="shared" si="79"/>
        <v/>
      </c>
      <c r="AP154" s="501" t="e" cm="1">
        <f t="array" ref="AP154">INDEX(BallastFactorTable[Wattage Range Name],MATCH(1,(BallastFactorTable[Fixture Class]=D154)*(BallastFactorTable[Fixture Category]=E154)*(BallastFactorTable[Fixture Sub-category]=F154),0))</f>
        <v>#N/A</v>
      </c>
      <c r="AQ154" s="515" t="str">
        <f t="shared" ca="1" si="67"/>
        <v>Okay</v>
      </c>
      <c r="AR154" s="512">
        <f t="shared" si="68"/>
        <v>0</v>
      </c>
      <c r="AS154" s="511" t="str">
        <f>IF(OR(Measures!AM154="Row Not Used",Measures!C154="Controls Only",Measures!C154="Decommissioning"),"",_xlfn.CONCAT(P154," ",Q154))</f>
        <v/>
      </c>
      <c r="AT154" s="264" t="str">
        <f t="shared" si="69"/>
        <v>None</v>
      </c>
      <c r="AU154" s="229">
        <f>IF(OR(AM154="Row Not Used",AM154="Controls Only"),0,INDEX(IncentiveRateTable[Incentive Rate],MATCH(AT154,IncentiveRateTable[Incentive Name],0)))</f>
        <v>0</v>
      </c>
      <c r="AV154" s="133" t="str">
        <f>IF(OR(AM154="Row Not Used",AM154="Controls Only"),"None",INDEX(IncentiveRateTable[Incentive Unit],MATCH(AT154,IncentiveRateTable[Incentive Name],0)))</f>
        <v>None</v>
      </c>
      <c r="AW154" s="578">
        <f t="shared" si="80"/>
        <v>0</v>
      </c>
      <c r="AX154" s="264" t="str">
        <f t="shared" si="70"/>
        <v>None</v>
      </c>
      <c r="AY154" s="229">
        <f>IF(OR(AM154="Row Not Used",AM154="Fixtures Only",AM154="Decommissioning"),0,INDEX(IncentiveRateTable[Incentive Rate],MATCH(AX154,IncentiveRateTable[Incentive Name],0)))</f>
        <v>0</v>
      </c>
      <c r="AZ154" s="133" t="str">
        <f>IF(OR(AM154="Row Not Used",AM154="Fixtures Only",AM154="Decommissioning"),"None",INDEX(IncentiveRateTable[Incentive Unit],MATCH(AX154,IncentiveRateTable[Incentive Name],0)))</f>
        <v>None</v>
      </c>
      <c r="BA154" s="465">
        <f t="shared" si="71"/>
        <v>0</v>
      </c>
      <c r="BB154" s="264" t="e" cm="1">
        <f t="array" ref="BB154">INDEX(BallastFactorTable[Commercial BPA Reference Number],MATCH(1,(BallastFactorTable[Fixture Class]=J154)*(BallastFactorTable[Fixture Category]=K154)*(BallastFactorTable[Fixture Sub-category]=L154),0))</f>
        <v>#N/A</v>
      </c>
      <c r="BC154" s="133" t="e" cm="1">
        <f t="array" ref="BC154">INDEX(BallastFactorTable[Industrial BPA Reference Number],MATCH(1,(BallastFactorTable[Fixture Class]=J154)*(BallastFactorTable[Fixture Category]=K154)*(BallastFactorTable[Fixture Sub-category]=L154),0))</f>
        <v>#N/A</v>
      </c>
      <c r="BD154" s="264" t="str">
        <f t="shared" si="72"/>
        <v>Sector is blank</v>
      </c>
      <c r="BE154" s="269" t="str">
        <f>IF(ISBLANK(SectorField),"Sector is blank",IF(AM154="Row Not Used","",IF(OR(R154="No Controls",ISBLANK(R154)),"",INDEX(ControlsBPARefNoTable[Reference Number],MATCH(SectorField,ControlsBPARefNoTable[Sector],0)))))</f>
        <v>Sector is blank</v>
      </c>
      <c r="BF154" s="530" t="str">
        <f t="shared" si="73"/>
        <v/>
      </c>
      <c r="BG154" s="132" t="str">
        <f t="shared" si="74"/>
        <v/>
      </c>
      <c r="BH154" s="531" t="str">
        <f t="shared" si="75"/>
        <v/>
      </c>
      <c r="BI154" s="532"/>
      <c r="BJ154" s="538" t="str">
        <f t="shared" si="81"/>
        <v/>
      </c>
      <c r="BK154" s="539" t="str">
        <f t="shared" si="82"/>
        <v/>
      </c>
      <c r="BL154" s="547" t="str">
        <f t="shared" si="83"/>
        <v/>
      </c>
    </row>
    <row r="155" spans="1:64" x14ac:dyDescent="0.3">
      <c r="A155" s="133">
        <v>148</v>
      </c>
      <c r="B155" s="294"/>
      <c r="C155" s="313"/>
      <c r="D155" s="292"/>
      <c r="E155" s="284"/>
      <c r="F155" s="284"/>
      <c r="G155" s="295"/>
      <c r="H155" s="296"/>
      <c r="I155" s="297"/>
      <c r="J155" s="292"/>
      <c r="K155" s="284"/>
      <c r="L155" s="284"/>
      <c r="M155" s="295"/>
      <c r="N155" s="296"/>
      <c r="O155" s="296"/>
      <c r="P155" s="284"/>
      <c r="Q155" s="298"/>
      <c r="R155" s="292"/>
      <c r="S155" s="299"/>
      <c r="T155" s="300"/>
      <c r="U155" s="317" t="str">
        <f t="shared" si="57"/>
        <v/>
      </c>
      <c r="V155" s="301"/>
      <c r="W155" s="136" t="str">
        <f t="shared" si="58"/>
        <v/>
      </c>
      <c r="X155" s="588" t="str">
        <f t="shared" si="76"/>
        <v/>
      </c>
      <c r="Y155" s="580"/>
      <c r="Z155" s="251" t="str">
        <f t="shared" si="59"/>
        <v/>
      </c>
      <c r="AA155" s="138" t="str">
        <f t="shared" si="84"/>
        <v/>
      </c>
      <c r="AB155" s="243" t="str">
        <f t="shared" si="77"/>
        <v/>
      </c>
      <c r="AC155" s="141" t="str">
        <f t="shared" si="60"/>
        <v/>
      </c>
      <c r="AD155" s="138" t="str">
        <f t="shared" si="78"/>
        <v/>
      </c>
      <c r="AE155" s="243" t="str">
        <f t="shared" si="61"/>
        <v/>
      </c>
      <c r="AF155" s="342" t="str">
        <f>IF(AM155="Row Not Used","",INDEX(SpaceTable[Annual Hours],(MATCH(B155,SpaceTable[Space Name Concatenated Helper],0))))</f>
        <v/>
      </c>
      <c r="AG155" s="205" t="str">
        <f t="shared" si="62"/>
        <v/>
      </c>
      <c r="AH155" s="234" t="str">
        <f t="shared" si="63"/>
        <v/>
      </c>
      <c r="AI155" s="205" t="str">
        <f t="shared" si="64"/>
        <v/>
      </c>
      <c r="AJ155" s="234" t="str">
        <f t="shared" si="65"/>
        <v/>
      </c>
      <c r="AK155" s="144" t="str">
        <f>IF(AM155="Row Not Used","",INDEX(SpaceTable[Row],(MATCH(B155,SpaceTable[Space Name Concatenated Helper],0))))</f>
        <v/>
      </c>
      <c r="AL155" s="238" t="str">
        <f>IF(AM155="Row Not Used","",INDEX(SpaceTable[HVAC Factor],(MATCH(B155,SpaceTable[Space Name Concatenated Helper],0))))</f>
        <v/>
      </c>
      <c r="AM155" s="520" t="str">
        <f t="shared" si="66"/>
        <v>Row Not Used</v>
      </c>
      <c r="AN155" s="512" t="e" cm="1">
        <f t="array" ref="AN155">INDEX(BallastFactorTable[Ballast Factor],MATCH(1,(BallastFactorTable[Fixture Class]=D155)*(BallastFactorTable[Fixture Category]=E155)*(BallastFactorTable[Fixture Sub-category]=F155),0))</f>
        <v>#N/A</v>
      </c>
      <c r="AO155" s="143" t="str">
        <f t="shared" si="79"/>
        <v/>
      </c>
      <c r="AP155" s="501" t="e" cm="1">
        <f t="array" ref="AP155">INDEX(BallastFactorTable[Wattage Range Name],MATCH(1,(BallastFactorTable[Fixture Class]=D155)*(BallastFactorTable[Fixture Category]=E155)*(BallastFactorTable[Fixture Sub-category]=F155),0))</f>
        <v>#N/A</v>
      </c>
      <c r="AQ155" s="515" t="str">
        <f t="shared" ca="1" si="67"/>
        <v>Okay</v>
      </c>
      <c r="AR155" s="512">
        <f t="shared" si="68"/>
        <v>0</v>
      </c>
      <c r="AS155" s="511" t="str">
        <f>IF(OR(Measures!AM155="Row Not Used",Measures!C155="Controls Only",Measures!C155="Decommissioning"),"",_xlfn.CONCAT(P155," ",Q155))</f>
        <v/>
      </c>
      <c r="AT155" s="264" t="str">
        <f t="shared" si="69"/>
        <v>None</v>
      </c>
      <c r="AU155" s="229">
        <f>IF(OR(AM155="Row Not Used",AM155="Controls Only"),0,INDEX(IncentiveRateTable[Incentive Rate],MATCH(AT155,IncentiveRateTable[Incentive Name],0)))</f>
        <v>0</v>
      </c>
      <c r="AV155" s="133" t="str">
        <f>IF(OR(AM155="Row Not Used",AM155="Controls Only"),"None",INDEX(IncentiveRateTable[Incentive Unit],MATCH(AT155,IncentiveRateTable[Incentive Name],0)))</f>
        <v>None</v>
      </c>
      <c r="AW155" s="578">
        <f t="shared" si="80"/>
        <v>0</v>
      </c>
      <c r="AX155" s="264" t="str">
        <f t="shared" si="70"/>
        <v>None</v>
      </c>
      <c r="AY155" s="229">
        <f>IF(OR(AM155="Row Not Used",AM155="Fixtures Only",AM155="Decommissioning"),0,INDEX(IncentiveRateTable[Incentive Rate],MATCH(AX155,IncentiveRateTable[Incentive Name],0)))</f>
        <v>0</v>
      </c>
      <c r="AZ155" s="133" t="str">
        <f>IF(OR(AM155="Row Not Used",AM155="Fixtures Only",AM155="Decommissioning"),"None",INDEX(IncentiveRateTable[Incentive Unit],MATCH(AX155,IncentiveRateTable[Incentive Name],0)))</f>
        <v>None</v>
      </c>
      <c r="BA155" s="465">
        <f t="shared" si="71"/>
        <v>0</v>
      </c>
      <c r="BB155" s="264" t="e" cm="1">
        <f t="array" ref="BB155">INDEX(BallastFactorTable[Commercial BPA Reference Number],MATCH(1,(BallastFactorTable[Fixture Class]=J155)*(BallastFactorTable[Fixture Category]=K155)*(BallastFactorTable[Fixture Sub-category]=L155),0))</f>
        <v>#N/A</v>
      </c>
      <c r="BC155" s="133" t="e" cm="1">
        <f t="array" ref="BC155">INDEX(BallastFactorTable[Industrial BPA Reference Number],MATCH(1,(BallastFactorTable[Fixture Class]=J155)*(BallastFactorTable[Fixture Category]=K155)*(BallastFactorTable[Fixture Sub-category]=L155),0))</f>
        <v>#N/A</v>
      </c>
      <c r="BD155" s="264" t="str">
        <f t="shared" si="72"/>
        <v>Sector is blank</v>
      </c>
      <c r="BE155" s="269" t="str">
        <f>IF(ISBLANK(SectorField),"Sector is blank",IF(AM155="Row Not Used","",IF(OR(R155="No Controls",ISBLANK(R155)),"",INDEX(ControlsBPARefNoTable[Reference Number],MATCH(SectorField,ControlsBPARefNoTable[Sector],0)))))</f>
        <v>Sector is blank</v>
      </c>
      <c r="BF155" s="530" t="str">
        <f t="shared" si="73"/>
        <v/>
      </c>
      <c r="BG155" s="132" t="str">
        <f t="shared" si="74"/>
        <v/>
      </c>
      <c r="BH155" s="531" t="str">
        <f t="shared" si="75"/>
        <v/>
      </c>
      <c r="BI155" s="532"/>
      <c r="BJ155" s="538" t="str">
        <f t="shared" si="81"/>
        <v/>
      </c>
      <c r="BK155" s="539" t="str">
        <f t="shared" si="82"/>
        <v/>
      </c>
      <c r="BL155" s="547" t="str">
        <f t="shared" si="83"/>
        <v/>
      </c>
    </row>
    <row r="156" spans="1:64" x14ac:dyDescent="0.3">
      <c r="A156" s="133">
        <v>149</v>
      </c>
      <c r="B156" s="294"/>
      <c r="C156" s="313"/>
      <c r="D156" s="292"/>
      <c r="E156" s="284"/>
      <c r="F156" s="284"/>
      <c r="G156" s="295"/>
      <c r="H156" s="296"/>
      <c r="I156" s="297"/>
      <c r="J156" s="292"/>
      <c r="K156" s="284"/>
      <c r="L156" s="284"/>
      <c r="M156" s="295"/>
      <c r="N156" s="296"/>
      <c r="O156" s="296"/>
      <c r="P156" s="284"/>
      <c r="Q156" s="298"/>
      <c r="R156" s="292"/>
      <c r="S156" s="299"/>
      <c r="T156" s="300"/>
      <c r="U156" s="317" t="str">
        <f t="shared" si="57"/>
        <v/>
      </c>
      <c r="V156" s="301"/>
      <c r="W156" s="137" t="str">
        <f t="shared" si="58"/>
        <v/>
      </c>
      <c r="X156" s="589" t="str">
        <f t="shared" si="76"/>
        <v/>
      </c>
      <c r="Y156" s="581"/>
      <c r="Z156" s="251" t="str">
        <f t="shared" si="59"/>
        <v/>
      </c>
      <c r="AA156" s="138" t="str">
        <f t="shared" si="84"/>
        <v/>
      </c>
      <c r="AB156" s="243" t="str">
        <f t="shared" si="77"/>
        <v/>
      </c>
      <c r="AC156" s="141" t="str">
        <f t="shared" si="60"/>
        <v/>
      </c>
      <c r="AD156" s="138" t="str">
        <f t="shared" si="78"/>
        <v/>
      </c>
      <c r="AE156" s="243" t="str">
        <f t="shared" si="61"/>
        <v/>
      </c>
      <c r="AF156" s="342" t="str">
        <f>IF(AM156="Row Not Used","",INDEX(SpaceTable[Annual Hours],(MATCH(B156,SpaceTable[Space Name Concatenated Helper],0))))</f>
        <v/>
      </c>
      <c r="AG156" s="205" t="str">
        <f t="shared" si="62"/>
        <v/>
      </c>
      <c r="AH156" s="234" t="str">
        <f t="shared" si="63"/>
        <v/>
      </c>
      <c r="AI156" s="205" t="str">
        <f t="shared" si="64"/>
        <v/>
      </c>
      <c r="AJ156" s="234" t="str">
        <f t="shared" si="65"/>
        <v/>
      </c>
      <c r="AK156" s="144" t="str">
        <f>IF(AM156="Row Not Used","",INDEX(SpaceTable[Row],(MATCH(B156,SpaceTable[Space Name Concatenated Helper],0))))</f>
        <v/>
      </c>
      <c r="AL156" s="238" t="str">
        <f>IF(AM156="Row Not Used","",INDEX(SpaceTable[HVAC Factor],(MATCH(B156,SpaceTable[Space Name Concatenated Helper],0))))</f>
        <v/>
      </c>
      <c r="AM156" s="520" t="str">
        <f t="shared" si="66"/>
        <v>Row Not Used</v>
      </c>
      <c r="AN156" s="512" t="e" cm="1">
        <f t="array" ref="AN156">INDEX(BallastFactorTable[Ballast Factor],MATCH(1,(BallastFactorTable[Fixture Class]=D156)*(BallastFactorTable[Fixture Category]=E156)*(BallastFactorTable[Fixture Sub-category]=F156),0))</f>
        <v>#N/A</v>
      </c>
      <c r="AO156" s="143" t="str">
        <f t="shared" si="79"/>
        <v/>
      </c>
      <c r="AP156" s="501" t="e" cm="1">
        <f t="array" ref="AP156">INDEX(BallastFactorTable[Wattage Range Name],MATCH(1,(BallastFactorTable[Fixture Class]=D156)*(BallastFactorTable[Fixture Category]=E156)*(BallastFactorTable[Fixture Sub-category]=F156),0))</f>
        <v>#N/A</v>
      </c>
      <c r="AQ156" s="515" t="str">
        <f t="shared" ca="1" si="67"/>
        <v>Okay</v>
      </c>
      <c r="AR156" s="512">
        <f t="shared" si="68"/>
        <v>0</v>
      </c>
      <c r="AS156" s="511" t="str">
        <f>IF(OR(Measures!AM156="Row Not Used",Measures!C156="Controls Only",Measures!C156="Decommissioning"),"",_xlfn.CONCAT(P156," ",Q156))</f>
        <v/>
      </c>
      <c r="AT156" s="264" t="str">
        <f t="shared" si="69"/>
        <v>None</v>
      </c>
      <c r="AU156" s="229">
        <f>IF(OR(AM156="Row Not Used",AM156="Controls Only"),0,INDEX(IncentiveRateTable[Incentive Rate],MATCH(AT156,IncentiveRateTable[Incentive Name],0)))</f>
        <v>0</v>
      </c>
      <c r="AV156" s="133" t="str">
        <f>IF(OR(AM156="Row Not Used",AM156="Controls Only"),"None",INDEX(IncentiveRateTable[Incentive Unit],MATCH(AT156,IncentiveRateTable[Incentive Name],0)))</f>
        <v>None</v>
      </c>
      <c r="AW156" s="578">
        <f t="shared" si="80"/>
        <v>0</v>
      </c>
      <c r="AX156" s="264" t="str">
        <f t="shared" si="70"/>
        <v>None</v>
      </c>
      <c r="AY156" s="229">
        <f>IF(OR(AM156="Row Not Used",AM156="Fixtures Only",AM156="Decommissioning"),0,INDEX(IncentiveRateTable[Incentive Rate],MATCH(AX156,IncentiveRateTable[Incentive Name],0)))</f>
        <v>0</v>
      </c>
      <c r="AZ156" s="133" t="str">
        <f>IF(OR(AM156="Row Not Used",AM156="Fixtures Only",AM156="Decommissioning"),"None",INDEX(IncentiveRateTable[Incentive Unit],MATCH(AX156,IncentiveRateTable[Incentive Name],0)))</f>
        <v>None</v>
      </c>
      <c r="BA156" s="465">
        <f t="shared" si="71"/>
        <v>0</v>
      </c>
      <c r="BB156" s="264" t="e" cm="1">
        <f t="array" ref="BB156">INDEX(BallastFactorTable[Commercial BPA Reference Number],MATCH(1,(BallastFactorTable[Fixture Class]=J156)*(BallastFactorTable[Fixture Category]=K156)*(BallastFactorTable[Fixture Sub-category]=L156),0))</f>
        <v>#N/A</v>
      </c>
      <c r="BC156" s="133" t="e" cm="1">
        <f t="array" ref="BC156">INDEX(BallastFactorTable[Industrial BPA Reference Number],MATCH(1,(BallastFactorTable[Fixture Class]=J156)*(BallastFactorTable[Fixture Category]=K156)*(BallastFactorTable[Fixture Sub-category]=L156),0))</f>
        <v>#N/A</v>
      </c>
      <c r="BD156" s="264" t="str">
        <f t="shared" si="72"/>
        <v>Sector is blank</v>
      </c>
      <c r="BE156" s="269" t="str">
        <f>IF(ISBLANK(SectorField),"Sector is blank",IF(AM156="Row Not Used","",IF(OR(R156="No Controls",ISBLANK(R156)),"",INDEX(ControlsBPARefNoTable[Reference Number],MATCH(SectorField,ControlsBPARefNoTable[Sector],0)))))</f>
        <v>Sector is blank</v>
      </c>
      <c r="BF156" s="530" t="str">
        <f t="shared" si="73"/>
        <v/>
      </c>
      <c r="BG156" s="132" t="str">
        <f t="shared" si="74"/>
        <v/>
      </c>
      <c r="BH156" s="531" t="str">
        <f t="shared" si="75"/>
        <v/>
      </c>
      <c r="BI156" s="532"/>
      <c r="BJ156" s="538" t="str">
        <f t="shared" si="81"/>
        <v/>
      </c>
      <c r="BK156" s="539" t="str">
        <f t="shared" si="82"/>
        <v/>
      </c>
      <c r="BL156" s="547" t="str">
        <f t="shared" si="83"/>
        <v/>
      </c>
    </row>
    <row r="157" spans="1:64" x14ac:dyDescent="0.3">
      <c r="A157" s="133">
        <v>150</v>
      </c>
      <c r="B157" s="294"/>
      <c r="C157" s="313"/>
      <c r="D157" s="292"/>
      <c r="E157" s="284"/>
      <c r="F157" s="284"/>
      <c r="G157" s="295"/>
      <c r="H157" s="296"/>
      <c r="I157" s="297"/>
      <c r="J157" s="292"/>
      <c r="K157" s="284"/>
      <c r="L157" s="284"/>
      <c r="M157" s="295"/>
      <c r="N157" s="296"/>
      <c r="O157" s="296"/>
      <c r="P157" s="284"/>
      <c r="Q157" s="298"/>
      <c r="R157" s="292"/>
      <c r="S157" s="299"/>
      <c r="T157" s="300"/>
      <c r="U157" s="317" t="str">
        <f t="shared" si="57"/>
        <v/>
      </c>
      <c r="V157" s="301"/>
      <c r="W157" s="136" t="str">
        <f t="shared" si="58"/>
        <v/>
      </c>
      <c r="X157" s="588" t="str">
        <f t="shared" si="76"/>
        <v/>
      </c>
      <c r="Y157" s="580"/>
      <c r="Z157" s="251" t="str">
        <f t="shared" si="59"/>
        <v/>
      </c>
      <c r="AA157" s="138" t="str">
        <f t="shared" si="84"/>
        <v/>
      </c>
      <c r="AB157" s="243" t="str">
        <f t="shared" si="77"/>
        <v/>
      </c>
      <c r="AC157" s="141" t="str">
        <f t="shared" si="60"/>
        <v/>
      </c>
      <c r="AD157" s="138" t="str">
        <f t="shared" si="78"/>
        <v/>
      </c>
      <c r="AE157" s="243" t="str">
        <f t="shared" si="61"/>
        <v/>
      </c>
      <c r="AF157" s="342" t="str">
        <f>IF(AM157="Row Not Used","",INDEX(SpaceTable[Annual Hours],(MATCH(B157,SpaceTable[Space Name Concatenated Helper],0))))</f>
        <v/>
      </c>
      <c r="AG157" s="205" t="str">
        <f t="shared" si="62"/>
        <v/>
      </c>
      <c r="AH157" s="234" t="str">
        <f t="shared" si="63"/>
        <v/>
      </c>
      <c r="AI157" s="205" t="str">
        <f t="shared" si="64"/>
        <v/>
      </c>
      <c r="AJ157" s="234" t="str">
        <f t="shared" si="65"/>
        <v/>
      </c>
      <c r="AK157" s="144" t="str">
        <f>IF(AM157="Row Not Used","",INDEX(SpaceTable[Row],(MATCH(B157,SpaceTable[Space Name Concatenated Helper],0))))</f>
        <v/>
      </c>
      <c r="AL157" s="238" t="str">
        <f>IF(AM157="Row Not Used","",INDEX(SpaceTable[HVAC Factor],(MATCH(B157,SpaceTable[Space Name Concatenated Helper],0))))</f>
        <v/>
      </c>
      <c r="AM157" s="520" t="str">
        <f t="shared" si="66"/>
        <v>Row Not Used</v>
      </c>
      <c r="AN157" s="512" t="e" cm="1">
        <f t="array" ref="AN157">INDEX(BallastFactorTable[Ballast Factor],MATCH(1,(BallastFactorTable[Fixture Class]=D157)*(BallastFactorTable[Fixture Category]=E157)*(BallastFactorTable[Fixture Sub-category]=F157),0))</f>
        <v>#N/A</v>
      </c>
      <c r="AO157" s="143" t="str">
        <f t="shared" si="79"/>
        <v/>
      </c>
      <c r="AP157" s="501" t="e" cm="1">
        <f t="array" ref="AP157">INDEX(BallastFactorTable[Wattage Range Name],MATCH(1,(BallastFactorTable[Fixture Class]=D157)*(BallastFactorTable[Fixture Category]=E157)*(BallastFactorTable[Fixture Sub-category]=F157),0))</f>
        <v>#N/A</v>
      </c>
      <c r="AQ157" s="515" t="str">
        <f t="shared" ca="1" si="67"/>
        <v>Okay</v>
      </c>
      <c r="AR157" s="512">
        <f t="shared" si="68"/>
        <v>0</v>
      </c>
      <c r="AS157" s="511" t="str">
        <f>IF(OR(Measures!AM157="Row Not Used",Measures!C157="Controls Only",Measures!C157="Decommissioning"),"",_xlfn.CONCAT(P157," ",Q157))</f>
        <v/>
      </c>
      <c r="AT157" s="264" t="str">
        <f t="shared" si="69"/>
        <v>None</v>
      </c>
      <c r="AU157" s="229">
        <f>IF(OR(AM157="Row Not Used",AM157="Controls Only"),0,INDEX(IncentiveRateTable[Incentive Rate],MATCH(AT157,IncentiveRateTable[Incentive Name],0)))</f>
        <v>0</v>
      </c>
      <c r="AV157" s="133" t="str">
        <f>IF(OR(AM157="Row Not Used",AM157="Controls Only"),"None",INDEX(IncentiveRateTable[Incentive Unit],MATCH(AT157,IncentiveRateTable[Incentive Name],0)))</f>
        <v>None</v>
      </c>
      <c r="AW157" s="578">
        <f t="shared" si="80"/>
        <v>0</v>
      </c>
      <c r="AX157" s="264" t="str">
        <f t="shared" si="70"/>
        <v>None</v>
      </c>
      <c r="AY157" s="229">
        <f>IF(OR(AM157="Row Not Used",AM157="Fixtures Only",AM157="Decommissioning"),0,INDEX(IncentiveRateTable[Incentive Rate],MATCH(AX157,IncentiveRateTable[Incentive Name],0)))</f>
        <v>0</v>
      </c>
      <c r="AZ157" s="133" t="str">
        <f>IF(OR(AM157="Row Not Used",AM157="Fixtures Only",AM157="Decommissioning"),"None",INDEX(IncentiveRateTable[Incentive Unit],MATCH(AX157,IncentiveRateTable[Incentive Name],0)))</f>
        <v>None</v>
      </c>
      <c r="BA157" s="465">
        <f t="shared" si="71"/>
        <v>0</v>
      </c>
      <c r="BB157" s="264" t="e" cm="1">
        <f t="array" ref="BB157">INDEX(BallastFactorTable[Commercial BPA Reference Number],MATCH(1,(BallastFactorTable[Fixture Class]=J157)*(BallastFactorTable[Fixture Category]=K157)*(BallastFactorTable[Fixture Sub-category]=L157),0))</f>
        <v>#N/A</v>
      </c>
      <c r="BC157" s="133" t="e" cm="1">
        <f t="array" ref="BC157">INDEX(BallastFactorTable[Industrial BPA Reference Number],MATCH(1,(BallastFactorTable[Fixture Class]=J157)*(BallastFactorTable[Fixture Category]=K157)*(BallastFactorTable[Fixture Sub-category]=L157),0))</f>
        <v>#N/A</v>
      </c>
      <c r="BD157" s="264" t="str">
        <f t="shared" si="72"/>
        <v>Sector is blank</v>
      </c>
      <c r="BE157" s="269" t="str">
        <f>IF(ISBLANK(SectorField),"Sector is blank",IF(AM157="Row Not Used","",IF(OR(R157="No Controls",ISBLANK(R157)),"",INDEX(ControlsBPARefNoTable[Reference Number],MATCH(SectorField,ControlsBPARefNoTable[Sector],0)))))</f>
        <v>Sector is blank</v>
      </c>
      <c r="BF157" s="530" t="str">
        <f t="shared" si="73"/>
        <v/>
      </c>
      <c r="BG157" s="132" t="str">
        <f t="shared" si="74"/>
        <v/>
      </c>
      <c r="BH157" s="531" t="str">
        <f t="shared" si="75"/>
        <v/>
      </c>
      <c r="BI157" s="532"/>
      <c r="BJ157" s="538" t="str">
        <f t="shared" si="81"/>
        <v/>
      </c>
      <c r="BK157" s="539" t="str">
        <f t="shared" si="82"/>
        <v/>
      </c>
      <c r="BL157" s="547" t="str">
        <f t="shared" si="83"/>
        <v/>
      </c>
    </row>
    <row r="158" spans="1:64" x14ac:dyDescent="0.3">
      <c r="A158" s="133">
        <v>151</v>
      </c>
      <c r="B158" s="294"/>
      <c r="C158" s="313"/>
      <c r="D158" s="292"/>
      <c r="E158" s="284"/>
      <c r="F158" s="284"/>
      <c r="G158" s="295"/>
      <c r="H158" s="296"/>
      <c r="I158" s="297"/>
      <c r="J158" s="292"/>
      <c r="K158" s="284"/>
      <c r="L158" s="284"/>
      <c r="M158" s="295"/>
      <c r="N158" s="296"/>
      <c r="O158" s="296"/>
      <c r="P158" s="284"/>
      <c r="Q158" s="298"/>
      <c r="R158" s="292"/>
      <c r="S158" s="299"/>
      <c r="T158" s="300"/>
      <c r="U158" s="317" t="str">
        <f t="shared" si="57"/>
        <v/>
      </c>
      <c r="V158" s="301"/>
      <c r="W158" s="137" t="str">
        <f t="shared" si="58"/>
        <v/>
      </c>
      <c r="X158" s="589" t="str">
        <f t="shared" si="76"/>
        <v/>
      </c>
      <c r="Y158" s="581"/>
      <c r="Z158" s="251" t="str">
        <f t="shared" si="59"/>
        <v/>
      </c>
      <c r="AA158" s="138" t="str">
        <f t="shared" si="84"/>
        <v/>
      </c>
      <c r="AB158" s="243" t="str">
        <f t="shared" si="77"/>
        <v/>
      </c>
      <c r="AC158" s="141" t="str">
        <f t="shared" si="60"/>
        <v/>
      </c>
      <c r="AD158" s="138" t="str">
        <f t="shared" si="78"/>
        <v/>
      </c>
      <c r="AE158" s="243" t="str">
        <f t="shared" si="61"/>
        <v/>
      </c>
      <c r="AF158" s="342" t="str">
        <f>IF(AM158="Row Not Used","",INDEX(SpaceTable[Annual Hours],(MATCH(B158,SpaceTable[Space Name Concatenated Helper],0))))</f>
        <v/>
      </c>
      <c r="AG158" s="205" t="str">
        <f t="shared" si="62"/>
        <v/>
      </c>
      <c r="AH158" s="234" t="str">
        <f t="shared" si="63"/>
        <v/>
      </c>
      <c r="AI158" s="205" t="str">
        <f t="shared" si="64"/>
        <v/>
      </c>
      <c r="AJ158" s="234" t="str">
        <f t="shared" si="65"/>
        <v/>
      </c>
      <c r="AK158" s="144" t="str">
        <f>IF(AM158="Row Not Used","",INDEX(SpaceTable[Row],(MATCH(B158,SpaceTable[Space Name Concatenated Helper],0))))</f>
        <v/>
      </c>
      <c r="AL158" s="238" t="str">
        <f>IF(AM158="Row Not Used","",INDEX(SpaceTable[HVAC Factor],(MATCH(B158,SpaceTable[Space Name Concatenated Helper],0))))</f>
        <v/>
      </c>
      <c r="AM158" s="520" t="str">
        <f t="shared" si="66"/>
        <v>Row Not Used</v>
      </c>
      <c r="AN158" s="512" t="e" cm="1">
        <f t="array" ref="AN158">INDEX(BallastFactorTable[Ballast Factor],MATCH(1,(BallastFactorTable[Fixture Class]=D158)*(BallastFactorTable[Fixture Category]=E158)*(BallastFactorTable[Fixture Sub-category]=F158),0))</f>
        <v>#N/A</v>
      </c>
      <c r="AO158" s="143" t="str">
        <f t="shared" si="79"/>
        <v/>
      </c>
      <c r="AP158" s="501" t="e" cm="1">
        <f t="array" ref="AP158">INDEX(BallastFactorTable[Wattage Range Name],MATCH(1,(BallastFactorTable[Fixture Class]=D158)*(BallastFactorTable[Fixture Category]=E158)*(BallastFactorTable[Fixture Sub-category]=F158),0))</f>
        <v>#N/A</v>
      </c>
      <c r="AQ158" s="515" t="str">
        <f t="shared" ca="1" si="67"/>
        <v>Okay</v>
      </c>
      <c r="AR158" s="512">
        <f t="shared" si="68"/>
        <v>0</v>
      </c>
      <c r="AS158" s="511" t="str">
        <f>IF(OR(Measures!AM158="Row Not Used",Measures!C158="Controls Only",Measures!C158="Decommissioning"),"",_xlfn.CONCAT(P158," ",Q158))</f>
        <v/>
      </c>
      <c r="AT158" s="264" t="str">
        <f t="shared" si="69"/>
        <v>None</v>
      </c>
      <c r="AU158" s="229">
        <f>IF(OR(AM158="Row Not Used",AM158="Controls Only"),0,INDEX(IncentiveRateTable[Incentive Rate],MATCH(AT158,IncentiveRateTable[Incentive Name],0)))</f>
        <v>0</v>
      </c>
      <c r="AV158" s="133" t="str">
        <f>IF(OR(AM158="Row Not Used",AM158="Controls Only"),"None",INDEX(IncentiveRateTable[Incentive Unit],MATCH(AT158,IncentiveRateTable[Incentive Name],0)))</f>
        <v>None</v>
      </c>
      <c r="AW158" s="578">
        <f t="shared" si="80"/>
        <v>0</v>
      </c>
      <c r="AX158" s="264" t="str">
        <f t="shared" si="70"/>
        <v>None</v>
      </c>
      <c r="AY158" s="229">
        <f>IF(OR(AM158="Row Not Used",AM158="Fixtures Only",AM158="Decommissioning"),0,INDEX(IncentiveRateTable[Incentive Rate],MATCH(AX158,IncentiveRateTable[Incentive Name],0)))</f>
        <v>0</v>
      </c>
      <c r="AZ158" s="133" t="str">
        <f>IF(OR(AM158="Row Not Used",AM158="Fixtures Only",AM158="Decommissioning"),"None",INDEX(IncentiveRateTable[Incentive Unit],MATCH(AX158,IncentiveRateTable[Incentive Name],0)))</f>
        <v>None</v>
      </c>
      <c r="BA158" s="465">
        <f t="shared" si="71"/>
        <v>0</v>
      </c>
      <c r="BB158" s="264" t="e" cm="1">
        <f t="array" ref="BB158">INDEX(BallastFactorTable[Commercial BPA Reference Number],MATCH(1,(BallastFactorTable[Fixture Class]=J158)*(BallastFactorTable[Fixture Category]=K158)*(BallastFactorTable[Fixture Sub-category]=L158),0))</f>
        <v>#N/A</v>
      </c>
      <c r="BC158" s="133" t="e" cm="1">
        <f t="array" ref="BC158">INDEX(BallastFactorTable[Industrial BPA Reference Number],MATCH(1,(BallastFactorTable[Fixture Class]=J158)*(BallastFactorTable[Fixture Category]=K158)*(BallastFactorTable[Fixture Sub-category]=L158),0))</f>
        <v>#N/A</v>
      </c>
      <c r="BD158" s="264" t="str">
        <f t="shared" si="72"/>
        <v>Sector is blank</v>
      </c>
      <c r="BE158" s="269" t="str">
        <f>IF(ISBLANK(SectorField),"Sector is blank",IF(AM158="Row Not Used","",IF(OR(R158="No Controls",ISBLANK(R158)),"",INDEX(ControlsBPARefNoTable[Reference Number],MATCH(SectorField,ControlsBPARefNoTable[Sector],0)))))</f>
        <v>Sector is blank</v>
      </c>
      <c r="BF158" s="530" t="str">
        <f t="shared" si="73"/>
        <v/>
      </c>
      <c r="BG158" s="132" t="str">
        <f t="shared" si="74"/>
        <v/>
      </c>
      <c r="BH158" s="531" t="str">
        <f t="shared" si="75"/>
        <v/>
      </c>
      <c r="BI158" s="532"/>
      <c r="BJ158" s="538" t="str">
        <f t="shared" si="81"/>
        <v/>
      </c>
      <c r="BK158" s="539" t="str">
        <f t="shared" si="82"/>
        <v/>
      </c>
      <c r="BL158" s="547" t="str">
        <f t="shared" si="83"/>
        <v/>
      </c>
    </row>
    <row r="159" spans="1:64" x14ac:dyDescent="0.3">
      <c r="A159" s="133">
        <v>152</v>
      </c>
      <c r="B159" s="294"/>
      <c r="C159" s="313"/>
      <c r="D159" s="292"/>
      <c r="E159" s="284"/>
      <c r="F159" s="284"/>
      <c r="G159" s="295"/>
      <c r="H159" s="296"/>
      <c r="I159" s="297"/>
      <c r="J159" s="292"/>
      <c r="K159" s="284"/>
      <c r="L159" s="284"/>
      <c r="M159" s="295"/>
      <c r="N159" s="296"/>
      <c r="O159" s="296"/>
      <c r="P159" s="284"/>
      <c r="Q159" s="298"/>
      <c r="R159" s="292"/>
      <c r="S159" s="299"/>
      <c r="T159" s="300"/>
      <c r="U159" s="317" t="str">
        <f t="shared" si="57"/>
        <v/>
      </c>
      <c r="V159" s="301"/>
      <c r="W159" s="136" t="str">
        <f t="shared" si="58"/>
        <v/>
      </c>
      <c r="X159" s="588" t="str">
        <f t="shared" si="76"/>
        <v/>
      </c>
      <c r="Y159" s="580"/>
      <c r="Z159" s="251" t="str">
        <f t="shared" si="59"/>
        <v/>
      </c>
      <c r="AA159" s="138" t="str">
        <f t="shared" si="84"/>
        <v/>
      </c>
      <c r="AB159" s="243" t="str">
        <f t="shared" si="77"/>
        <v/>
      </c>
      <c r="AC159" s="141" t="str">
        <f t="shared" si="60"/>
        <v/>
      </c>
      <c r="AD159" s="138" t="str">
        <f t="shared" si="78"/>
        <v/>
      </c>
      <c r="AE159" s="243" t="str">
        <f t="shared" si="61"/>
        <v/>
      </c>
      <c r="AF159" s="342" t="str">
        <f>IF(AM159="Row Not Used","",INDEX(SpaceTable[Annual Hours],(MATCH(B159,SpaceTable[Space Name Concatenated Helper],0))))</f>
        <v/>
      </c>
      <c r="AG159" s="205" t="str">
        <f t="shared" si="62"/>
        <v/>
      </c>
      <c r="AH159" s="234" t="str">
        <f t="shared" si="63"/>
        <v/>
      </c>
      <c r="AI159" s="205" t="str">
        <f t="shared" si="64"/>
        <v/>
      </c>
      <c r="AJ159" s="234" t="str">
        <f t="shared" si="65"/>
        <v/>
      </c>
      <c r="AK159" s="144" t="str">
        <f>IF(AM159="Row Not Used","",INDEX(SpaceTable[Row],(MATCH(B159,SpaceTable[Space Name Concatenated Helper],0))))</f>
        <v/>
      </c>
      <c r="AL159" s="238" t="str">
        <f>IF(AM159="Row Not Used","",INDEX(SpaceTable[HVAC Factor],(MATCH(B159,SpaceTable[Space Name Concatenated Helper],0))))</f>
        <v/>
      </c>
      <c r="AM159" s="520" t="str">
        <f t="shared" si="66"/>
        <v>Row Not Used</v>
      </c>
      <c r="AN159" s="512" t="e" cm="1">
        <f t="array" ref="AN159">INDEX(BallastFactorTable[Ballast Factor],MATCH(1,(BallastFactorTable[Fixture Class]=D159)*(BallastFactorTable[Fixture Category]=E159)*(BallastFactorTable[Fixture Sub-category]=F159),0))</f>
        <v>#N/A</v>
      </c>
      <c r="AO159" s="143" t="str">
        <f t="shared" si="79"/>
        <v/>
      </c>
      <c r="AP159" s="501" t="e" cm="1">
        <f t="array" ref="AP159">INDEX(BallastFactorTable[Wattage Range Name],MATCH(1,(BallastFactorTable[Fixture Class]=D159)*(BallastFactorTable[Fixture Category]=E159)*(BallastFactorTable[Fixture Sub-category]=F159),0))</f>
        <v>#N/A</v>
      </c>
      <c r="AQ159" s="515" t="str">
        <f t="shared" ca="1" si="67"/>
        <v>Okay</v>
      </c>
      <c r="AR159" s="512">
        <f t="shared" si="68"/>
        <v>0</v>
      </c>
      <c r="AS159" s="511" t="str">
        <f>IF(OR(Measures!AM159="Row Not Used",Measures!C159="Controls Only",Measures!C159="Decommissioning"),"",_xlfn.CONCAT(P159," ",Q159))</f>
        <v/>
      </c>
      <c r="AT159" s="264" t="str">
        <f t="shared" si="69"/>
        <v>None</v>
      </c>
      <c r="AU159" s="229">
        <f>IF(OR(AM159="Row Not Used",AM159="Controls Only"),0,INDEX(IncentiveRateTable[Incentive Rate],MATCH(AT159,IncentiveRateTable[Incentive Name],0)))</f>
        <v>0</v>
      </c>
      <c r="AV159" s="133" t="str">
        <f>IF(OR(AM159="Row Not Used",AM159="Controls Only"),"None",INDEX(IncentiveRateTable[Incentive Unit],MATCH(AT159,IncentiveRateTable[Incentive Name],0)))</f>
        <v>None</v>
      </c>
      <c r="AW159" s="578">
        <f t="shared" si="80"/>
        <v>0</v>
      </c>
      <c r="AX159" s="264" t="str">
        <f t="shared" si="70"/>
        <v>None</v>
      </c>
      <c r="AY159" s="229">
        <f>IF(OR(AM159="Row Not Used",AM159="Fixtures Only",AM159="Decommissioning"),0,INDEX(IncentiveRateTable[Incentive Rate],MATCH(AX159,IncentiveRateTable[Incentive Name],0)))</f>
        <v>0</v>
      </c>
      <c r="AZ159" s="133" t="str">
        <f>IF(OR(AM159="Row Not Used",AM159="Fixtures Only",AM159="Decommissioning"),"None",INDEX(IncentiveRateTable[Incentive Unit],MATCH(AX159,IncentiveRateTable[Incentive Name],0)))</f>
        <v>None</v>
      </c>
      <c r="BA159" s="465">
        <f t="shared" si="71"/>
        <v>0</v>
      </c>
      <c r="BB159" s="264" t="e" cm="1">
        <f t="array" ref="BB159">INDEX(BallastFactorTable[Commercial BPA Reference Number],MATCH(1,(BallastFactorTable[Fixture Class]=J159)*(BallastFactorTable[Fixture Category]=K159)*(BallastFactorTable[Fixture Sub-category]=L159),0))</f>
        <v>#N/A</v>
      </c>
      <c r="BC159" s="133" t="e" cm="1">
        <f t="array" ref="BC159">INDEX(BallastFactorTable[Industrial BPA Reference Number],MATCH(1,(BallastFactorTable[Fixture Class]=J159)*(BallastFactorTable[Fixture Category]=K159)*(BallastFactorTable[Fixture Sub-category]=L159),0))</f>
        <v>#N/A</v>
      </c>
      <c r="BD159" s="264" t="str">
        <f t="shared" si="72"/>
        <v>Sector is blank</v>
      </c>
      <c r="BE159" s="269" t="str">
        <f>IF(ISBLANK(SectorField),"Sector is blank",IF(AM159="Row Not Used","",IF(OR(R159="No Controls",ISBLANK(R159)),"",INDEX(ControlsBPARefNoTable[Reference Number],MATCH(SectorField,ControlsBPARefNoTable[Sector],0)))))</f>
        <v>Sector is blank</v>
      </c>
      <c r="BF159" s="530" t="str">
        <f t="shared" si="73"/>
        <v/>
      </c>
      <c r="BG159" s="132" t="str">
        <f t="shared" si="74"/>
        <v/>
      </c>
      <c r="BH159" s="531" t="str">
        <f t="shared" si="75"/>
        <v/>
      </c>
      <c r="BI159" s="532"/>
      <c r="BJ159" s="538" t="str">
        <f t="shared" si="81"/>
        <v/>
      </c>
      <c r="BK159" s="539" t="str">
        <f t="shared" si="82"/>
        <v/>
      </c>
      <c r="BL159" s="547" t="str">
        <f t="shared" si="83"/>
        <v/>
      </c>
    </row>
    <row r="160" spans="1:64" x14ac:dyDescent="0.3">
      <c r="A160" s="133">
        <v>153</v>
      </c>
      <c r="B160" s="294"/>
      <c r="C160" s="313"/>
      <c r="D160" s="292"/>
      <c r="E160" s="284"/>
      <c r="F160" s="284"/>
      <c r="G160" s="295"/>
      <c r="H160" s="296"/>
      <c r="I160" s="297"/>
      <c r="J160" s="292"/>
      <c r="K160" s="284"/>
      <c r="L160" s="284"/>
      <c r="M160" s="295"/>
      <c r="N160" s="296"/>
      <c r="O160" s="296"/>
      <c r="P160" s="284"/>
      <c r="Q160" s="298"/>
      <c r="R160" s="292"/>
      <c r="S160" s="299"/>
      <c r="T160" s="300"/>
      <c r="U160" s="317" t="str">
        <f t="shared" si="57"/>
        <v/>
      </c>
      <c r="V160" s="301"/>
      <c r="W160" s="137" t="str">
        <f t="shared" si="58"/>
        <v/>
      </c>
      <c r="X160" s="589" t="str">
        <f t="shared" si="76"/>
        <v/>
      </c>
      <c r="Y160" s="581"/>
      <c r="Z160" s="251" t="str">
        <f t="shared" si="59"/>
        <v/>
      </c>
      <c r="AA160" s="138" t="str">
        <f t="shared" si="84"/>
        <v/>
      </c>
      <c r="AB160" s="243" t="str">
        <f t="shared" si="77"/>
        <v/>
      </c>
      <c r="AC160" s="141" t="str">
        <f t="shared" si="60"/>
        <v/>
      </c>
      <c r="AD160" s="138" t="str">
        <f t="shared" si="78"/>
        <v/>
      </c>
      <c r="AE160" s="243" t="str">
        <f t="shared" si="61"/>
        <v/>
      </c>
      <c r="AF160" s="342" t="str">
        <f>IF(AM160="Row Not Used","",INDEX(SpaceTable[Annual Hours],(MATCH(B160,SpaceTable[Space Name Concatenated Helper],0))))</f>
        <v/>
      </c>
      <c r="AG160" s="205" t="str">
        <f t="shared" si="62"/>
        <v/>
      </c>
      <c r="AH160" s="234" t="str">
        <f t="shared" si="63"/>
        <v/>
      </c>
      <c r="AI160" s="205" t="str">
        <f t="shared" si="64"/>
        <v/>
      </c>
      <c r="AJ160" s="234" t="str">
        <f t="shared" si="65"/>
        <v/>
      </c>
      <c r="AK160" s="144" t="str">
        <f>IF(AM160="Row Not Used","",INDEX(SpaceTable[Row],(MATCH(B160,SpaceTable[Space Name Concatenated Helper],0))))</f>
        <v/>
      </c>
      <c r="AL160" s="238" t="str">
        <f>IF(AM160="Row Not Used","",INDEX(SpaceTable[HVAC Factor],(MATCH(B160,SpaceTable[Space Name Concatenated Helper],0))))</f>
        <v/>
      </c>
      <c r="AM160" s="520" t="str">
        <f t="shared" si="66"/>
        <v>Row Not Used</v>
      </c>
      <c r="AN160" s="512" t="e" cm="1">
        <f t="array" ref="AN160">INDEX(BallastFactorTable[Ballast Factor],MATCH(1,(BallastFactorTable[Fixture Class]=D160)*(BallastFactorTable[Fixture Category]=E160)*(BallastFactorTable[Fixture Sub-category]=F160),0))</f>
        <v>#N/A</v>
      </c>
      <c r="AO160" s="143" t="str">
        <f t="shared" si="79"/>
        <v/>
      </c>
      <c r="AP160" s="501" t="e" cm="1">
        <f t="array" ref="AP160">INDEX(BallastFactorTable[Wattage Range Name],MATCH(1,(BallastFactorTable[Fixture Class]=D160)*(BallastFactorTable[Fixture Category]=E160)*(BallastFactorTable[Fixture Sub-category]=F160),0))</f>
        <v>#N/A</v>
      </c>
      <c r="AQ160" s="515" t="str">
        <f t="shared" ca="1" si="67"/>
        <v>Okay</v>
      </c>
      <c r="AR160" s="512">
        <f t="shared" si="68"/>
        <v>0</v>
      </c>
      <c r="AS160" s="511" t="str">
        <f>IF(OR(Measures!AM160="Row Not Used",Measures!C160="Controls Only",Measures!C160="Decommissioning"),"",_xlfn.CONCAT(P160," ",Q160))</f>
        <v/>
      </c>
      <c r="AT160" s="264" t="str">
        <f t="shared" si="69"/>
        <v>None</v>
      </c>
      <c r="AU160" s="229">
        <f>IF(OR(AM160="Row Not Used",AM160="Controls Only"),0,INDEX(IncentiveRateTable[Incentive Rate],MATCH(AT160,IncentiveRateTable[Incentive Name],0)))</f>
        <v>0</v>
      </c>
      <c r="AV160" s="133" t="str">
        <f>IF(OR(AM160="Row Not Used",AM160="Controls Only"),"None",INDEX(IncentiveRateTable[Incentive Unit],MATCH(AT160,IncentiveRateTable[Incentive Name],0)))</f>
        <v>None</v>
      </c>
      <c r="AW160" s="578">
        <f t="shared" si="80"/>
        <v>0</v>
      </c>
      <c r="AX160" s="264" t="str">
        <f t="shared" si="70"/>
        <v>None</v>
      </c>
      <c r="AY160" s="229">
        <f>IF(OR(AM160="Row Not Used",AM160="Fixtures Only",AM160="Decommissioning"),0,INDEX(IncentiveRateTable[Incentive Rate],MATCH(AX160,IncentiveRateTable[Incentive Name],0)))</f>
        <v>0</v>
      </c>
      <c r="AZ160" s="133" t="str">
        <f>IF(OR(AM160="Row Not Used",AM160="Fixtures Only",AM160="Decommissioning"),"None",INDEX(IncentiveRateTable[Incentive Unit],MATCH(AX160,IncentiveRateTable[Incentive Name],0)))</f>
        <v>None</v>
      </c>
      <c r="BA160" s="465">
        <f t="shared" si="71"/>
        <v>0</v>
      </c>
      <c r="BB160" s="264" t="e" cm="1">
        <f t="array" ref="BB160">INDEX(BallastFactorTable[Commercial BPA Reference Number],MATCH(1,(BallastFactorTable[Fixture Class]=J160)*(BallastFactorTable[Fixture Category]=K160)*(BallastFactorTable[Fixture Sub-category]=L160),0))</f>
        <v>#N/A</v>
      </c>
      <c r="BC160" s="133" t="e" cm="1">
        <f t="array" ref="BC160">INDEX(BallastFactorTable[Industrial BPA Reference Number],MATCH(1,(BallastFactorTable[Fixture Class]=J160)*(BallastFactorTable[Fixture Category]=K160)*(BallastFactorTable[Fixture Sub-category]=L160),0))</f>
        <v>#N/A</v>
      </c>
      <c r="BD160" s="264" t="str">
        <f t="shared" si="72"/>
        <v>Sector is blank</v>
      </c>
      <c r="BE160" s="269" t="str">
        <f>IF(ISBLANK(SectorField),"Sector is blank",IF(AM160="Row Not Used","",IF(OR(R160="No Controls",ISBLANK(R160)),"",INDEX(ControlsBPARefNoTable[Reference Number],MATCH(SectorField,ControlsBPARefNoTable[Sector],0)))))</f>
        <v>Sector is blank</v>
      </c>
      <c r="BF160" s="530" t="str">
        <f t="shared" si="73"/>
        <v/>
      </c>
      <c r="BG160" s="132" t="str">
        <f t="shared" si="74"/>
        <v/>
      </c>
      <c r="BH160" s="531" t="str">
        <f t="shared" si="75"/>
        <v/>
      </c>
      <c r="BI160" s="532"/>
      <c r="BJ160" s="538" t="str">
        <f t="shared" si="81"/>
        <v/>
      </c>
      <c r="BK160" s="539" t="str">
        <f t="shared" si="82"/>
        <v/>
      </c>
      <c r="BL160" s="547" t="str">
        <f t="shared" si="83"/>
        <v/>
      </c>
    </row>
    <row r="161" spans="1:64" x14ac:dyDescent="0.3">
      <c r="A161" s="133">
        <v>154</v>
      </c>
      <c r="B161" s="294"/>
      <c r="C161" s="313"/>
      <c r="D161" s="292"/>
      <c r="E161" s="284"/>
      <c r="F161" s="284"/>
      <c r="G161" s="295"/>
      <c r="H161" s="296"/>
      <c r="I161" s="297"/>
      <c r="J161" s="292"/>
      <c r="K161" s="284"/>
      <c r="L161" s="284"/>
      <c r="M161" s="295"/>
      <c r="N161" s="296"/>
      <c r="O161" s="296"/>
      <c r="P161" s="284"/>
      <c r="Q161" s="298"/>
      <c r="R161" s="292"/>
      <c r="S161" s="299"/>
      <c r="T161" s="300"/>
      <c r="U161" s="317" t="str">
        <f t="shared" si="57"/>
        <v/>
      </c>
      <c r="V161" s="301"/>
      <c r="W161" s="136" t="str">
        <f t="shared" si="58"/>
        <v/>
      </c>
      <c r="X161" s="588" t="str">
        <f t="shared" si="76"/>
        <v/>
      </c>
      <c r="Y161" s="580"/>
      <c r="Z161" s="251" t="str">
        <f t="shared" si="59"/>
        <v/>
      </c>
      <c r="AA161" s="138" t="str">
        <f t="shared" si="84"/>
        <v/>
      </c>
      <c r="AB161" s="243" t="str">
        <f t="shared" si="77"/>
        <v/>
      </c>
      <c r="AC161" s="141" t="str">
        <f t="shared" si="60"/>
        <v/>
      </c>
      <c r="AD161" s="138" t="str">
        <f t="shared" si="78"/>
        <v/>
      </c>
      <c r="AE161" s="243" t="str">
        <f t="shared" si="61"/>
        <v/>
      </c>
      <c r="AF161" s="342" t="str">
        <f>IF(AM161="Row Not Used","",INDEX(SpaceTable[Annual Hours],(MATCH(B161,SpaceTable[Space Name Concatenated Helper],0))))</f>
        <v/>
      </c>
      <c r="AG161" s="205" t="str">
        <f t="shared" si="62"/>
        <v/>
      </c>
      <c r="AH161" s="234" t="str">
        <f t="shared" si="63"/>
        <v/>
      </c>
      <c r="AI161" s="205" t="str">
        <f t="shared" si="64"/>
        <v/>
      </c>
      <c r="AJ161" s="234" t="str">
        <f t="shared" si="65"/>
        <v/>
      </c>
      <c r="AK161" s="144" t="str">
        <f>IF(AM161="Row Not Used","",INDEX(SpaceTable[Row],(MATCH(B161,SpaceTable[Space Name Concatenated Helper],0))))</f>
        <v/>
      </c>
      <c r="AL161" s="238" t="str">
        <f>IF(AM161="Row Not Used","",INDEX(SpaceTable[HVAC Factor],(MATCH(B161,SpaceTable[Space Name Concatenated Helper],0))))</f>
        <v/>
      </c>
      <c r="AM161" s="520" t="str">
        <f t="shared" si="66"/>
        <v>Row Not Used</v>
      </c>
      <c r="AN161" s="512" t="e" cm="1">
        <f t="array" ref="AN161">INDEX(BallastFactorTable[Ballast Factor],MATCH(1,(BallastFactorTable[Fixture Class]=D161)*(BallastFactorTable[Fixture Category]=E161)*(BallastFactorTable[Fixture Sub-category]=F161),0))</f>
        <v>#N/A</v>
      </c>
      <c r="AO161" s="143" t="str">
        <f t="shared" si="79"/>
        <v/>
      </c>
      <c r="AP161" s="501" t="e" cm="1">
        <f t="array" ref="AP161">INDEX(BallastFactorTable[Wattage Range Name],MATCH(1,(BallastFactorTable[Fixture Class]=D161)*(BallastFactorTable[Fixture Category]=E161)*(BallastFactorTable[Fixture Sub-category]=F161),0))</f>
        <v>#N/A</v>
      </c>
      <c r="AQ161" s="515" t="str">
        <f t="shared" ca="1" si="67"/>
        <v>Okay</v>
      </c>
      <c r="AR161" s="512">
        <f t="shared" si="68"/>
        <v>0</v>
      </c>
      <c r="AS161" s="511" t="str">
        <f>IF(OR(Measures!AM161="Row Not Used",Measures!C161="Controls Only",Measures!C161="Decommissioning"),"",_xlfn.CONCAT(P161," ",Q161))</f>
        <v/>
      </c>
      <c r="AT161" s="264" t="str">
        <f t="shared" si="69"/>
        <v>None</v>
      </c>
      <c r="AU161" s="229">
        <f>IF(OR(AM161="Row Not Used",AM161="Controls Only"),0,INDEX(IncentiveRateTable[Incentive Rate],MATCH(AT161,IncentiveRateTable[Incentive Name],0)))</f>
        <v>0</v>
      </c>
      <c r="AV161" s="133" t="str">
        <f>IF(OR(AM161="Row Not Used",AM161="Controls Only"),"None",INDEX(IncentiveRateTable[Incentive Unit],MATCH(AT161,IncentiveRateTable[Incentive Name],0)))</f>
        <v>None</v>
      </c>
      <c r="AW161" s="578">
        <f t="shared" si="80"/>
        <v>0</v>
      </c>
      <c r="AX161" s="264" t="str">
        <f t="shared" si="70"/>
        <v>None</v>
      </c>
      <c r="AY161" s="229">
        <f>IF(OR(AM161="Row Not Used",AM161="Fixtures Only",AM161="Decommissioning"),0,INDEX(IncentiveRateTable[Incentive Rate],MATCH(AX161,IncentiveRateTable[Incentive Name],0)))</f>
        <v>0</v>
      </c>
      <c r="AZ161" s="133" t="str">
        <f>IF(OR(AM161="Row Not Used",AM161="Fixtures Only",AM161="Decommissioning"),"None",INDEX(IncentiveRateTable[Incentive Unit],MATCH(AX161,IncentiveRateTable[Incentive Name],0)))</f>
        <v>None</v>
      </c>
      <c r="BA161" s="465">
        <f t="shared" si="71"/>
        <v>0</v>
      </c>
      <c r="BB161" s="264" t="e" cm="1">
        <f t="array" ref="BB161">INDEX(BallastFactorTable[Commercial BPA Reference Number],MATCH(1,(BallastFactorTable[Fixture Class]=J161)*(BallastFactorTable[Fixture Category]=K161)*(BallastFactorTable[Fixture Sub-category]=L161),0))</f>
        <v>#N/A</v>
      </c>
      <c r="BC161" s="133" t="e" cm="1">
        <f t="array" ref="BC161">INDEX(BallastFactorTable[Industrial BPA Reference Number],MATCH(1,(BallastFactorTable[Fixture Class]=J161)*(BallastFactorTable[Fixture Category]=K161)*(BallastFactorTable[Fixture Sub-category]=L161),0))</f>
        <v>#N/A</v>
      </c>
      <c r="BD161" s="264" t="str">
        <f t="shared" si="72"/>
        <v>Sector is blank</v>
      </c>
      <c r="BE161" s="269" t="str">
        <f>IF(ISBLANK(SectorField),"Sector is blank",IF(AM161="Row Not Used","",IF(OR(R161="No Controls",ISBLANK(R161)),"",INDEX(ControlsBPARefNoTable[Reference Number],MATCH(SectorField,ControlsBPARefNoTable[Sector],0)))))</f>
        <v>Sector is blank</v>
      </c>
      <c r="BF161" s="530" t="str">
        <f t="shared" si="73"/>
        <v/>
      </c>
      <c r="BG161" s="132" t="str">
        <f t="shared" si="74"/>
        <v/>
      </c>
      <c r="BH161" s="531" t="str">
        <f t="shared" si="75"/>
        <v/>
      </c>
      <c r="BI161" s="532"/>
      <c r="BJ161" s="538" t="str">
        <f t="shared" si="81"/>
        <v/>
      </c>
      <c r="BK161" s="539" t="str">
        <f t="shared" si="82"/>
        <v/>
      </c>
      <c r="BL161" s="547" t="str">
        <f t="shared" si="83"/>
        <v/>
      </c>
    </row>
    <row r="162" spans="1:64" x14ac:dyDescent="0.3">
      <c r="A162" s="133">
        <v>155</v>
      </c>
      <c r="B162" s="294"/>
      <c r="C162" s="313"/>
      <c r="D162" s="292"/>
      <c r="E162" s="284"/>
      <c r="F162" s="284"/>
      <c r="G162" s="295"/>
      <c r="H162" s="296"/>
      <c r="I162" s="297"/>
      <c r="J162" s="292"/>
      <c r="K162" s="284"/>
      <c r="L162" s="284"/>
      <c r="M162" s="295"/>
      <c r="N162" s="296"/>
      <c r="O162" s="296"/>
      <c r="P162" s="284"/>
      <c r="Q162" s="298"/>
      <c r="R162" s="292"/>
      <c r="S162" s="299"/>
      <c r="T162" s="300"/>
      <c r="U162" s="317" t="str">
        <f t="shared" si="57"/>
        <v/>
      </c>
      <c r="V162" s="301"/>
      <c r="W162" s="137" t="str">
        <f t="shared" si="58"/>
        <v/>
      </c>
      <c r="X162" s="589" t="str">
        <f t="shared" si="76"/>
        <v/>
      </c>
      <c r="Y162" s="581"/>
      <c r="Z162" s="251" t="str">
        <f t="shared" si="59"/>
        <v/>
      </c>
      <c r="AA162" s="138" t="str">
        <f t="shared" si="84"/>
        <v/>
      </c>
      <c r="AB162" s="243" t="str">
        <f t="shared" si="77"/>
        <v/>
      </c>
      <c r="AC162" s="141" t="str">
        <f t="shared" si="60"/>
        <v/>
      </c>
      <c r="AD162" s="138" t="str">
        <f t="shared" si="78"/>
        <v/>
      </c>
      <c r="AE162" s="243" t="str">
        <f t="shared" si="61"/>
        <v/>
      </c>
      <c r="AF162" s="342" t="str">
        <f>IF(AM162="Row Not Used","",INDEX(SpaceTable[Annual Hours],(MATCH(B162,SpaceTable[Space Name Concatenated Helper],0))))</f>
        <v/>
      </c>
      <c r="AG162" s="205" t="str">
        <f t="shared" si="62"/>
        <v/>
      </c>
      <c r="AH162" s="234" t="str">
        <f t="shared" si="63"/>
        <v/>
      </c>
      <c r="AI162" s="205" t="str">
        <f t="shared" si="64"/>
        <v/>
      </c>
      <c r="AJ162" s="234" t="str">
        <f t="shared" si="65"/>
        <v/>
      </c>
      <c r="AK162" s="144" t="str">
        <f>IF(AM162="Row Not Used","",INDEX(SpaceTable[Row],(MATCH(B162,SpaceTable[Space Name Concatenated Helper],0))))</f>
        <v/>
      </c>
      <c r="AL162" s="238" t="str">
        <f>IF(AM162="Row Not Used","",INDEX(SpaceTable[HVAC Factor],(MATCH(B162,SpaceTable[Space Name Concatenated Helper],0))))</f>
        <v/>
      </c>
      <c r="AM162" s="520" t="str">
        <f t="shared" si="66"/>
        <v>Row Not Used</v>
      </c>
      <c r="AN162" s="512" t="e" cm="1">
        <f t="array" ref="AN162">INDEX(BallastFactorTable[Ballast Factor],MATCH(1,(BallastFactorTable[Fixture Class]=D162)*(BallastFactorTable[Fixture Category]=E162)*(BallastFactorTable[Fixture Sub-category]=F162),0))</f>
        <v>#N/A</v>
      </c>
      <c r="AO162" s="143" t="str">
        <f t="shared" si="79"/>
        <v/>
      </c>
      <c r="AP162" s="501" t="e" cm="1">
        <f t="array" ref="AP162">INDEX(BallastFactorTable[Wattage Range Name],MATCH(1,(BallastFactorTable[Fixture Class]=D162)*(BallastFactorTable[Fixture Category]=E162)*(BallastFactorTable[Fixture Sub-category]=F162),0))</f>
        <v>#N/A</v>
      </c>
      <c r="AQ162" s="515" t="str">
        <f t="shared" ca="1" si="67"/>
        <v>Okay</v>
      </c>
      <c r="AR162" s="512">
        <f t="shared" si="68"/>
        <v>0</v>
      </c>
      <c r="AS162" s="511" t="str">
        <f>IF(OR(Measures!AM162="Row Not Used",Measures!C162="Controls Only",Measures!C162="Decommissioning"),"",_xlfn.CONCAT(P162," ",Q162))</f>
        <v/>
      </c>
      <c r="AT162" s="264" t="str">
        <f t="shared" si="69"/>
        <v>None</v>
      </c>
      <c r="AU162" s="229">
        <f>IF(OR(AM162="Row Not Used",AM162="Controls Only"),0,INDEX(IncentiveRateTable[Incentive Rate],MATCH(AT162,IncentiveRateTable[Incentive Name],0)))</f>
        <v>0</v>
      </c>
      <c r="AV162" s="133" t="str">
        <f>IF(OR(AM162="Row Not Used",AM162="Controls Only"),"None",INDEX(IncentiveRateTable[Incentive Unit],MATCH(AT162,IncentiveRateTable[Incentive Name],0)))</f>
        <v>None</v>
      </c>
      <c r="AW162" s="578">
        <f t="shared" si="80"/>
        <v>0</v>
      </c>
      <c r="AX162" s="264" t="str">
        <f t="shared" si="70"/>
        <v>None</v>
      </c>
      <c r="AY162" s="229">
        <f>IF(OR(AM162="Row Not Used",AM162="Fixtures Only",AM162="Decommissioning"),0,INDEX(IncentiveRateTable[Incentive Rate],MATCH(AX162,IncentiveRateTable[Incentive Name],0)))</f>
        <v>0</v>
      </c>
      <c r="AZ162" s="133" t="str">
        <f>IF(OR(AM162="Row Not Used",AM162="Fixtures Only",AM162="Decommissioning"),"None",INDEX(IncentiveRateTable[Incentive Unit],MATCH(AX162,IncentiveRateTable[Incentive Name],0)))</f>
        <v>None</v>
      </c>
      <c r="BA162" s="465">
        <f t="shared" si="71"/>
        <v>0</v>
      </c>
      <c r="BB162" s="264" t="e" cm="1">
        <f t="array" ref="BB162">INDEX(BallastFactorTable[Commercial BPA Reference Number],MATCH(1,(BallastFactorTable[Fixture Class]=J162)*(BallastFactorTable[Fixture Category]=K162)*(BallastFactorTable[Fixture Sub-category]=L162),0))</f>
        <v>#N/A</v>
      </c>
      <c r="BC162" s="133" t="e" cm="1">
        <f t="array" ref="BC162">INDEX(BallastFactorTable[Industrial BPA Reference Number],MATCH(1,(BallastFactorTable[Fixture Class]=J162)*(BallastFactorTable[Fixture Category]=K162)*(BallastFactorTable[Fixture Sub-category]=L162),0))</f>
        <v>#N/A</v>
      </c>
      <c r="BD162" s="264" t="str">
        <f t="shared" si="72"/>
        <v>Sector is blank</v>
      </c>
      <c r="BE162" s="269" t="str">
        <f>IF(ISBLANK(SectorField),"Sector is blank",IF(AM162="Row Not Used","",IF(OR(R162="No Controls",ISBLANK(R162)),"",INDEX(ControlsBPARefNoTable[Reference Number],MATCH(SectorField,ControlsBPARefNoTable[Sector],0)))))</f>
        <v>Sector is blank</v>
      </c>
      <c r="BF162" s="530" t="str">
        <f t="shared" si="73"/>
        <v/>
      </c>
      <c r="BG162" s="132" t="str">
        <f t="shared" si="74"/>
        <v/>
      </c>
      <c r="BH162" s="531" t="str">
        <f t="shared" si="75"/>
        <v/>
      </c>
      <c r="BI162" s="532"/>
      <c r="BJ162" s="538" t="str">
        <f t="shared" si="81"/>
        <v/>
      </c>
      <c r="BK162" s="539" t="str">
        <f t="shared" si="82"/>
        <v/>
      </c>
      <c r="BL162" s="547" t="str">
        <f t="shared" si="83"/>
        <v/>
      </c>
    </row>
    <row r="163" spans="1:64" x14ac:dyDescent="0.3">
      <c r="A163" s="133">
        <v>156</v>
      </c>
      <c r="B163" s="294"/>
      <c r="C163" s="313"/>
      <c r="D163" s="292"/>
      <c r="E163" s="284"/>
      <c r="F163" s="284"/>
      <c r="G163" s="295"/>
      <c r="H163" s="296"/>
      <c r="I163" s="297"/>
      <c r="J163" s="292"/>
      <c r="K163" s="284"/>
      <c r="L163" s="284"/>
      <c r="M163" s="295"/>
      <c r="N163" s="296"/>
      <c r="O163" s="296"/>
      <c r="P163" s="284"/>
      <c r="Q163" s="298"/>
      <c r="R163" s="292"/>
      <c r="S163" s="299"/>
      <c r="T163" s="300"/>
      <c r="U163" s="317" t="str">
        <f t="shared" si="57"/>
        <v/>
      </c>
      <c r="V163" s="301"/>
      <c r="W163" s="136" t="str">
        <f t="shared" si="58"/>
        <v/>
      </c>
      <c r="X163" s="588" t="str">
        <f t="shared" si="76"/>
        <v/>
      </c>
      <c r="Y163" s="580"/>
      <c r="Z163" s="251" t="str">
        <f t="shared" si="59"/>
        <v/>
      </c>
      <c r="AA163" s="138" t="str">
        <f t="shared" si="84"/>
        <v/>
      </c>
      <c r="AB163" s="243" t="str">
        <f t="shared" si="77"/>
        <v/>
      </c>
      <c r="AC163" s="141" t="str">
        <f t="shared" si="60"/>
        <v/>
      </c>
      <c r="AD163" s="138" t="str">
        <f t="shared" si="78"/>
        <v/>
      </c>
      <c r="AE163" s="243" t="str">
        <f t="shared" si="61"/>
        <v/>
      </c>
      <c r="AF163" s="342" t="str">
        <f>IF(AM163="Row Not Used","",INDEX(SpaceTable[Annual Hours],(MATCH(B163,SpaceTable[Space Name Concatenated Helper],0))))</f>
        <v/>
      </c>
      <c r="AG163" s="205" t="str">
        <f t="shared" si="62"/>
        <v/>
      </c>
      <c r="AH163" s="234" t="str">
        <f t="shared" si="63"/>
        <v/>
      </c>
      <c r="AI163" s="205" t="str">
        <f t="shared" si="64"/>
        <v/>
      </c>
      <c r="AJ163" s="234" t="str">
        <f t="shared" si="65"/>
        <v/>
      </c>
      <c r="AK163" s="144" t="str">
        <f>IF(AM163="Row Not Used","",INDEX(SpaceTable[Row],(MATCH(B163,SpaceTable[Space Name Concatenated Helper],0))))</f>
        <v/>
      </c>
      <c r="AL163" s="238" t="str">
        <f>IF(AM163="Row Not Used","",INDEX(SpaceTable[HVAC Factor],(MATCH(B163,SpaceTable[Space Name Concatenated Helper],0))))</f>
        <v/>
      </c>
      <c r="AM163" s="520" t="str">
        <f t="shared" si="66"/>
        <v>Row Not Used</v>
      </c>
      <c r="AN163" s="512" t="e" cm="1">
        <f t="array" ref="AN163">INDEX(BallastFactorTable[Ballast Factor],MATCH(1,(BallastFactorTable[Fixture Class]=D163)*(BallastFactorTable[Fixture Category]=E163)*(BallastFactorTable[Fixture Sub-category]=F163),0))</f>
        <v>#N/A</v>
      </c>
      <c r="AO163" s="143" t="str">
        <f t="shared" si="79"/>
        <v/>
      </c>
      <c r="AP163" s="501" t="e" cm="1">
        <f t="array" ref="AP163">INDEX(BallastFactorTable[Wattage Range Name],MATCH(1,(BallastFactorTable[Fixture Class]=D163)*(BallastFactorTable[Fixture Category]=E163)*(BallastFactorTable[Fixture Sub-category]=F163),0))</f>
        <v>#N/A</v>
      </c>
      <c r="AQ163" s="515" t="str">
        <f t="shared" ca="1" si="67"/>
        <v>Okay</v>
      </c>
      <c r="AR163" s="512">
        <f t="shared" si="68"/>
        <v>0</v>
      </c>
      <c r="AS163" s="511" t="str">
        <f>IF(OR(Measures!AM163="Row Not Used",Measures!C163="Controls Only",Measures!C163="Decommissioning"),"",_xlfn.CONCAT(P163," ",Q163))</f>
        <v/>
      </c>
      <c r="AT163" s="264" t="str">
        <f t="shared" si="69"/>
        <v>None</v>
      </c>
      <c r="AU163" s="229">
        <f>IF(OR(AM163="Row Not Used",AM163="Controls Only"),0,INDEX(IncentiveRateTable[Incentive Rate],MATCH(AT163,IncentiveRateTable[Incentive Name],0)))</f>
        <v>0</v>
      </c>
      <c r="AV163" s="133" t="str">
        <f>IF(OR(AM163="Row Not Used",AM163="Controls Only"),"None",INDEX(IncentiveRateTable[Incentive Unit],MATCH(AT163,IncentiveRateTable[Incentive Name],0)))</f>
        <v>None</v>
      </c>
      <c r="AW163" s="578">
        <f t="shared" si="80"/>
        <v>0</v>
      </c>
      <c r="AX163" s="264" t="str">
        <f t="shared" si="70"/>
        <v>None</v>
      </c>
      <c r="AY163" s="229">
        <f>IF(OR(AM163="Row Not Used",AM163="Fixtures Only",AM163="Decommissioning"),0,INDEX(IncentiveRateTable[Incentive Rate],MATCH(AX163,IncentiveRateTable[Incentive Name],0)))</f>
        <v>0</v>
      </c>
      <c r="AZ163" s="133" t="str">
        <f>IF(OR(AM163="Row Not Used",AM163="Fixtures Only",AM163="Decommissioning"),"None",INDEX(IncentiveRateTable[Incentive Unit],MATCH(AX163,IncentiveRateTable[Incentive Name],0)))</f>
        <v>None</v>
      </c>
      <c r="BA163" s="465">
        <f t="shared" si="71"/>
        <v>0</v>
      </c>
      <c r="BB163" s="264" t="e" cm="1">
        <f t="array" ref="BB163">INDEX(BallastFactorTable[Commercial BPA Reference Number],MATCH(1,(BallastFactorTable[Fixture Class]=J163)*(BallastFactorTable[Fixture Category]=K163)*(BallastFactorTable[Fixture Sub-category]=L163),0))</f>
        <v>#N/A</v>
      </c>
      <c r="BC163" s="133" t="e" cm="1">
        <f t="array" ref="BC163">INDEX(BallastFactorTable[Industrial BPA Reference Number],MATCH(1,(BallastFactorTable[Fixture Class]=J163)*(BallastFactorTable[Fixture Category]=K163)*(BallastFactorTable[Fixture Sub-category]=L163),0))</f>
        <v>#N/A</v>
      </c>
      <c r="BD163" s="264" t="str">
        <f t="shared" si="72"/>
        <v>Sector is blank</v>
      </c>
      <c r="BE163" s="269" t="str">
        <f>IF(ISBLANK(SectorField),"Sector is blank",IF(AM163="Row Not Used","",IF(OR(R163="No Controls",ISBLANK(R163)),"",INDEX(ControlsBPARefNoTable[Reference Number],MATCH(SectorField,ControlsBPARefNoTable[Sector],0)))))</f>
        <v>Sector is blank</v>
      </c>
      <c r="BF163" s="530" t="str">
        <f t="shared" si="73"/>
        <v/>
      </c>
      <c r="BG163" s="132" t="str">
        <f t="shared" si="74"/>
        <v/>
      </c>
      <c r="BH163" s="531" t="str">
        <f t="shared" si="75"/>
        <v/>
      </c>
      <c r="BI163" s="532"/>
      <c r="BJ163" s="538" t="str">
        <f t="shared" si="81"/>
        <v/>
      </c>
      <c r="BK163" s="539" t="str">
        <f t="shared" si="82"/>
        <v/>
      </c>
      <c r="BL163" s="547" t="str">
        <f t="shared" si="83"/>
        <v/>
      </c>
    </row>
    <row r="164" spans="1:64" x14ac:dyDescent="0.3">
      <c r="A164" s="133">
        <v>157</v>
      </c>
      <c r="B164" s="294"/>
      <c r="C164" s="313"/>
      <c r="D164" s="292"/>
      <c r="E164" s="284"/>
      <c r="F164" s="284"/>
      <c r="G164" s="295"/>
      <c r="H164" s="296"/>
      <c r="I164" s="297"/>
      <c r="J164" s="292"/>
      <c r="K164" s="284"/>
      <c r="L164" s="284"/>
      <c r="M164" s="295"/>
      <c r="N164" s="296"/>
      <c r="O164" s="296"/>
      <c r="P164" s="284"/>
      <c r="Q164" s="298"/>
      <c r="R164" s="292"/>
      <c r="S164" s="299"/>
      <c r="T164" s="300"/>
      <c r="U164" s="317" t="str">
        <f t="shared" si="57"/>
        <v/>
      </c>
      <c r="V164" s="301"/>
      <c r="W164" s="137" t="str">
        <f t="shared" si="58"/>
        <v/>
      </c>
      <c r="X164" s="589" t="str">
        <f t="shared" si="76"/>
        <v/>
      </c>
      <c r="Y164" s="581"/>
      <c r="Z164" s="251" t="str">
        <f t="shared" si="59"/>
        <v/>
      </c>
      <c r="AA164" s="138" t="str">
        <f t="shared" si="84"/>
        <v/>
      </c>
      <c r="AB164" s="243" t="str">
        <f t="shared" si="77"/>
        <v/>
      </c>
      <c r="AC164" s="141" t="str">
        <f t="shared" si="60"/>
        <v/>
      </c>
      <c r="AD164" s="138" t="str">
        <f t="shared" si="78"/>
        <v/>
      </c>
      <c r="AE164" s="243" t="str">
        <f t="shared" si="61"/>
        <v/>
      </c>
      <c r="AF164" s="342" t="str">
        <f>IF(AM164="Row Not Used","",INDEX(SpaceTable[Annual Hours],(MATCH(B164,SpaceTable[Space Name Concatenated Helper],0))))</f>
        <v/>
      </c>
      <c r="AG164" s="205" t="str">
        <f t="shared" si="62"/>
        <v/>
      </c>
      <c r="AH164" s="234" t="str">
        <f t="shared" si="63"/>
        <v/>
      </c>
      <c r="AI164" s="205" t="str">
        <f t="shared" si="64"/>
        <v/>
      </c>
      <c r="AJ164" s="234" t="str">
        <f t="shared" si="65"/>
        <v/>
      </c>
      <c r="AK164" s="144" t="str">
        <f>IF(AM164="Row Not Used","",INDEX(SpaceTable[Row],(MATCH(B164,SpaceTable[Space Name Concatenated Helper],0))))</f>
        <v/>
      </c>
      <c r="AL164" s="238" t="str">
        <f>IF(AM164="Row Not Used","",INDEX(SpaceTable[HVAC Factor],(MATCH(B164,SpaceTable[Space Name Concatenated Helper],0))))</f>
        <v/>
      </c>
      <c r="AM164" s="520" t="str">
        <f t="shared" si="66"/>
        <v>Row Not Used</v>
      </c>
      <c r="AN164" s="512" t="e" cm="1">
        <f t="array" ref="AN164">INDEX(BallastFactorTable[Ballast Factor],MATCH(1,(BallastFactorTable[Fixture Class]=D164)*(BallastFactorTable[Fixture Category]=E164)*(BallastFactorTable[Fixture Sub-category]=F164),0))</f>
        <v>#N/A</v>
      </c>
      <c r="AO164" s="143" t="str">
        <f t="shared" si="79"/>
        <v/>
      </c>
      <c r="AP164" s="501" t="e" cm="1">
        <f t="array" ref="AP164">INDEX(BallastFactorTable[Wattage Range Name],MATCH(1,(BallastFactorTable[Fixture Class]=D164)*(BallastFactorTable[Fixture Category]=E164)*(BallastFactorTable[Fixture Sub-category]=F164),0))</f>
        <v>#N/A</v>
      </c>
      <c r="AQ164" s="515" t="str">
        <f t="shared" ca="1" si="67"/>
        <v>Okay</v>
      </c>
      <c r="AR164" s="512">
        <f t="shared" si="68"/>
        <v>0</v>
      </c>
      <c r="AS164" s="511" t="str">
        <f>IF(OR(Measures!AM164="Row Not Used",Measures!C164="Controls Only",Measures!C164="Decommissioning"),"",_xlfn.CONCAT(P164," ",Q164))</f>
        <v/>
      </c>
      <c r="AT164" s="264" t="str">
        <f t="shared" si="69"/>
        <v>None</v>
      </c>
      <c r="AU164" s="229">
        <f>IF(OR(AM164="Row Not Used",AM164="Controls Only"),0,INDEX(IncentiveRateTable[Incentive Rate],MATCH(AT164,IncentiveRateTable[Incentive Name],0)))</f>
        <v>0</v>
      </c>
      <c r="AV164" s="133" t="str">
        <f>IF(OR(AM164="Row Not Used",AM164="Controls Only"),"None",INDEX(IncentiveRateTable[Incentive Unit],MATCH(AT164,IncentiveRateTable[Incentive Name],0)))</f>
        <v>None</v>
      </c>
      <c r="AW164" s="578">
        <f t="shared" si="80"/>
        <v>0</v>
      </c>
      <c r="AX164" s="264" t="str">
        <f t="shared" si="70"/>
        <v>None</v>
      </c>
      <c r="AY164" s="229">
        <f>IF(OR(AM164="Row Not Used",AM164="Fixtures Only",AM164="Decommissioning"),0,INDEX(IncentiveRateTable[Incentive Rate],MATCH(AX164,IncentiveRateTable[Incentive Name],0)))</f>
        <v>0</v>
      </c>
      <c r="AZ164" s="133" t="str">
        <f>IF(OR(AM164="Row Not Used",AM164="Fixtures Only",AM164="Decommissioning"),"None",INDEX(IncentiveRateTable[Incentive Unit],MATCH(AX164,IncentiveRateTable[Incentive Name],0)))</f>
        <v>None</v>
      </c>
      <c r="BA164" s="465">
        <f t="shared" si="71"/>
        <v>0</v>
      </c>
      <c r="BB164" s="264" t="e" cm="1">
        <f t="array" ref="BB164">INDEX(BallastFactorTable[Commercial BPA Reference Number],MATCH(1,(BallastFactorTable[Fixture Class]=J164)*(BallastFactorTable[Fixture Category]=K164)*(BallastFactorTable[Fixture Sub-category]=L164),0))</f>
        <v>#N/A</v>
      </c>
      <c r="BC164" s="133" t="e" cm="1">
        <f t="array" ref="BC164">INDEX(BallastFactorTable[Industrial BPA Reference Number],MATCH(1,(BallastFactorTable[Fixture Class]=J164)*(BallastFactorTable[Fixture Category]=K164)*(BallastFactorTable[Fixture Sub-category]=L164),0))</f>
        <v>#N/A</v>
      </c>
      <c r="BD164" s="264" t="str">
        <f t="shared" si="72"/>
        <v>Sector is blank</v>
      </c>
      <c r="BE164" s="269" t="str">
        <f>IF(ISBLANK(SectorField),"Sector is blank",IF(AM164="Row Not Used","",IF(OR(R164="No Controls",ISBLANK(R164)),"",INDEX(ControlsBPARefNoTable[Reference Number],MATCH(SectorField,ControlsBPARefNoTable[Sector],0)))))</f>
        <v>Sector is blank</v>
      </c>
      <c r="BF164" s="530" t="str">
        <f t="shared" si="73"/>
        <v/>
      </c>
      <c r="BG164" s="132" t="str">
        <f t="shared" si="74"/>
        <v/>
      </c>
      <c r="BH164" s="531" t="str">
        <f t="shared" si="75"/>
        <v/>
      </c>
      <c r="BI164" s="532"/>
      <c r="BJ164" s="538" t="str">
        <f t="shared" si="81"/>
        <v/>
      </c>
      <c r="BK164" s="539" t="str">
        <f t="shared" si="82"/>
        <v/>
      </c>
      <c r="BL164" s="547" t="str">
        <f t="shared" si="83"/>
        <v/>
      </c>
    </row>
    <row r="165" spans="1:64" x14ac:dyDescent="0.3">
      <c r="A165" s="133">
        <v>158</v>
      </c>
      <c r="B165" s="294"/>
      <c r="C165" s="313"/>
      <c r="D165" s="292"/>
      <c r="E165" s="284"/>
      <c r="F165" s="284"/>
      <c r="G165" s="295"/>
      <c r="H165" s="296"/>
      <c r="I165" s="297"/>
      <c r="J165" s="292"/>
      <c r="K165" s="284"/>
      <c r="L165" s="284"/>
      <c r="M165" s="295"/>
      <c r="N165" s="296"/>
      <c r="O165" s="296"/>
      <c r="P165" s="284"/>
      <c r="Q165" s="298"/>
      <c r="R165" s="292"/>
      <c r="S165" s="299"/>
      <c r="T165" s="300"/>
      <c r="U165" s="317" t="str">
        <f t="shared" si="57"/>
        <v/>
      </c>
      <c r="V165" s="301"/>
      <c r="W165" s="136" t="str">
        <f t="shared" si="58"/>
        <v/>
      </c>
      <c r="X165" s="588" t="str">
        <f t="shared" si="76"/>
        <v/>
      </c>
      <c r="Y165" s="580"/>
      <c r="Z165" s="251" t="str">
        <f t="shared" si="59"/>
        <v/>
      </c>
      <c r="AA165" s="138" t="str">
        <f t="shared" si="84"/>
        <v/>
      </c>
      <c r="AB165" s="243" t="str">
        <f t="shared" si="77"/>
        <v/>
      </c>
      <c r="AC165" s="141" t="str">
        <f t="shared" si="60"/>
        <v/>
      </c>
      <c r="AD165" s="138" t="str">
        <f t="shared" si="78"/>
        <v/>
      </c>
      <c r="AE165" s="243" t="str">
        <f t="shared" si="61"/>
        <v/>
      </c>
      <c r="AF165" s="342" t="str">
        <f>IF(AM165="Row Not Used","",INDEX(SpaceTable[Annual Hours],(MATCH(B165,SpaceTable[Space Name Concatenated Helper],0))))</f>
        <v/>
      </c>
      <c r="AG165" s="205" t="str">
        <f t="shared" si="62"/>
        <v/>
      </c>
      <c r="AH165" s="234" t="str">
        <f t="shared" si="63"/>
        <v/>
      </c>
      <c r="AI165" s="205" t="str">
        <f t="shared" si="64"/>
        <v/>
      </c>
      <c r="AJ165" s="234" t="str">
        <f t="shared" si="65"/>
        <v/>
      </c>
      <c r="AK165" s="144" t="str">
        <f>IF(AM165="Row Not Used","",INDEX(SpaceTable[Row],(MATCH(B165,SpaceTable[Space Name Concatenated Helper],0))))</f>
        <v/>
      </c>
      <c r="AL165" s="238" t="str">
        <f>IF(AM165="Row Not Used","",INDEX(SpaceTable[HVAC Factor],(MATCH(B165,SpaceTable[Space Name Concatenated Helper],0))))</f>
        <v/>
      </c>
      <c r="AM165" s="520" t="str">
        <f t="shared" si="66"/>
        <v>Row Not Used</v>
      </c>
      <c r="AN165" s="512" t="e" cm="1">
        <f t="array" ref="AN165">INDEX(BallastFactorTable[Ballast Factor],MATCH(1,(BallastFactorTable[Fixture Class]=D165)*(BallastFactorTable[Fixture Category]=E165)*(BallastFactorTable[Fixture Sub-category]=F165),0))</f>
        <v>#N/A</v>
      </c>
      <c r="AO165" s="143" t="str">
        <f t="shared" si="79"/>
        <v/>
      </c>
      <c r="AP165" s="501" t="e" cm="1">
        <f t="array" ref="AP165">INDEX(BallastFactorTable[Wattage Range Name],MATCH(1,(BallastFactorTable[Fixture Class]=D165)*(BallastFactorTable[Fixture Category]=E165)*(BallastFactorTable[Fixture Sub-category]=F165),0))</f>
        <v>#N/A</v>
      </c>
      <c r="AQ165" s="515" t="str">
        <f t="shared" ca="1" si="67"/>
        <v>Okay</v>
      </c>
      <c r="AR165" s="512">
        <f t="shared" si="68"/>
        <v>0</v>
      </c>
      <c r="AS165" s="511" t="str">
        <f>IF(OR(Measures!AM165="Row Not Used",Measures!C165="Controls Only",Measures!C165="Decommissioning"),"",_xlfn.CONCAT(P165," ",Q165))</f>
        <v/>
      </c>
      <c r="AT165" s="264" t="str">
        <f t="shared" si="69"/>
        <v>None</v>
      </c>
      <c r="AU165" s="229">
        <f>IF(OR(AM165="Row Not Used",AM165="Controls Only"),0,INDEX(IncentiveRateTable[Incentive Rate],MATCH(AT165,IncentiveRateTable[Incentive Name],0)))</f>
        <v>0</v>
      </c>
      <c r="AV165" s="133" t="str">
        <f>IF(OR(AM165="Row Not Used",AM165="Controls Only"),"None",INDEX(IncentiveRateTable[Incentive Unit],MATCH(AT165,IncentiveRateTable[Incentive Name],0)))</f>
        <v>None</v>
      </c>
      <c r="AW165" s="578">
        <f t="shared" si="80"/>
        <v>0</v>
      </c>
      <c r="AX165" s="264" t="str">
        <f t="shared" si="70"/>
        <v>None</v>
      </c>
      <c r="AY165" s="229">
        <f>IF(OR(AM165="Row Not Used",AM165="Fixtures Only",AM165="Decommissioning"),0,INDEX(IncentiveRateTable[Incentive Rate],MATCH(AX165,IncentiveRateTable[Incentive Name],0)))</f>
        <v>0</v>
      </c>
      <c r="AZ165" s="133" t="str">
        <f>IF(OR(AM165="Row Not Used",AM165="Fixtures Only",AM165="Decommissioning"),"None",INDEX(IncentiveRateTable[Incentive Unit],MATCH(AX165,IncentiveRateTable[Incentive Name],0)))</f>
        <v>None</v>
      </c>
      <c r="BA165" s="465">
        <f t="shared" si="71"/>
        <v>0</v>
      </c>
      <c r="BB165" s="264" t="e" cm="1">
        <f t="array" ref="BB165">INDEX(BallastFactorTable[Commercial BPA Reference Number],MATCH(1,(BallastFactorTable[Fixture Class]=J165)*(BallastFactorTable[Fixture Category]=K165)*(BallastFactorTable[Fixture Sub-category]=L165),0))</f>
        <v>#N/A</v>
      </c>
      <c r="BC165" s="133" t="e" cm="1">
        <f t="array" ref="BC165">INDEX(BallastFactorTable[Industrial BPA Reference Number],MATCH(1,(BallastFactorTable[Fixture Class]=J165)*(BallastFactorTable[Fixture Category]=K165)*(BallastFactorTable[Fixture Sub-category]=L165),0))</f>
        <v>#N/A</v>
      </c>
      <c r="BD165" s="264" t="str">
        <f t="shared" si="72"/>
        <v>Sector is blank</v>
      </c>
      <c r="BE165" s="269" t="str">
        <f>IF(ISBLANK(SectorField),"Sector is blank",IF(AM165="Row Not Used","",IF(OR(R165="No Controls",ISBLANK(R165)),"",INDEX(ControlsBPARefNoTable[Reference Number],MATCH(SectorField,ControlsBPARefNoTable[Sector],0)))))</f>
        <v>Sector is blank</v>
      </c>
      <c r="BF165" s="530" t="str">
        <f t="shared" si="73"/>
        <v/>
      </c>
      <c r="BG165" s="132" t="str">
        <f t="shared" si="74"/>
        <v/>
      </c>
      <c r="BH165" s="531" t="str">
        <f t="shared" si="75"/>
        <v/>
      </c>
      <c r="BI165" s="532"/>
      <c r="BJ165" s="538" t="str">
        <f t="shared" si="81"/>
        <v/>
      </c>
      <c r="BK165" s="539" t="str">
        <f t="shared" si="82"/>
        <v/>
      </c>
      <c r="BL165" s="547" t="str">
        <f t="shared" si="83"/>
        <v/>
      </c>
    </row>
    <row r="166" spans="1:64" x14ac:dyDescent="0.3">
      <c r="A166" s="133">
        <v>159</v>
      </c>
      <c r="B166" s="294"/>
      <c r="C166" s="313"/>
      <c r="D166" s="292"/>
      <c r="E166" s="284"/>
      <c r="F166" s="284"/>
      <c r="G166" s="295"/>
      <c r="H166" s="296"/>
      <c r="I166" s="297"/>
      <c r="J166" s="292"/>
      <c r="K166" s="284"/>
      <c r="L166" s="284"/>
      <c r="M166" s="295"/>
      <c r="N166" s="296"/>
      <c r="O166" s="296"/>
      <c r="P166" s="284"/>
      <c r="Q166" s="298"/>
      <c r="R166" s="292"/>
      <c r="S166" s="299"/>
      <c r="T166" s="300"/>
      <c r="U166" s="317" t="str">
        <f t="shared" si="57"/>
        <v/>
      </c>
      <c r="V166" s="301"/>
      <c r="W166" s="137" t="str">
        <f t="shared" si="58"/>
        <v/>
      </c>
      <c r="X166" s="589" t="str">
        <f t="shared" si="76"/>
        <v/>
      </c>
      <c r="Y166" s="581"/>
      <c r="Z166" s="251" t="str">
        <f t="shared" si="59"/>
        <v/>
      </c>
      <c r="AA166" s="138" t="str">
        <f t="shared" si="84"/>
        <v/>
      </c>
      <c r="AB166" s="243" t="str">
        <f t="shared" si="77"/>
        <v/>
      </c>
      <c r="AC166" s="141" t="str">
        <f t="shared" si="60"/>
        <v/>
      </c>
      <c r="AD166" s="138" t="str">
        <f t="shared" si="78"/>
        <v/>
      </c>
      <c r="AE166" s="243" t="str">
        <f t="shared" si="61"/>
        <v/>
      </c>
      <c r="AF166" s="342" t="str">
        <f>IF(AM166="Row Not Used","",INDEX(SpaceTable[Annual Hours],(MATCH(B166,SpaceTable[Space Name Concatenated Helper],0))))</f>
        <v/>
      </c>
      <c r="AG166" s="205" t="str">
        <f t="shared" si="62"/>
        <v/>
      </c>
      <c r="AH166" s="234" t="str">
        <f t="shared" si="63"/>
        <v/>
      </c>
      <c r="AI166" s="205" t="str">
        <f t="shared" si="64"/>
        <v/>
      </c>
      <c r="AJ166" s="234" t="str">
        <f t="shared" si="65"/>
        <v/>
      </c>
      <c r="AK166" s="144" t="str">
        <f>IF(AM166="Row Not Used","",INDEX(SpaceTable[Row],(MATCH(B166,SpaceTable[Space Name Concatenated Helper],0))))</f>
        <v/>
      </c>
      <c r="AL166" s="238" t="str">
        <f>IF(AM166="Row Not Used","",INDEX(SpaceTable[HVAC Factor],(MATCH(B166,SpaceTable[Space Name Concatenated Helper],0))))</f>
        <v/>
      </c>
      <c r="AM166" s="520" t="str">
        <f t="shared" si="66"/>
        <v>Row Not Used</v>
      </c>
      <c r="AN166" s="512" t="e" cm="1">
        <f t="array" ref="AN166">INDEX(BallastFactorTable[Ballast Factor],MATCH(1,(BallastFactorTable[Fixture Class]=D166)*(BallastFactorTable[Fixture Category]=E166)*(BallastFactorTable[Fixture Sub-category]=F166),0))</f>
        <v>#N/A</v>
      </c>
      <c r="AO166" s="143" t="str">
        <f t="shared" si="79"/>
        <v/>
      </c>
      <c r="AP166" s="501" t="e" cm="1">
        <f t="array" ref="AP166">INDEX(BallastFactorTable[Wattage Range Name],MATCH(1,(BallastFactorTable[Fixture Class]=D166)*(BallastFactorTable[Fixture Category]=E166)*(BallastFactorTable[Fixture Sub-category]=F166),0))</f>
        <v>#N/A</v>
      </c>
      <c r="AQ166" s="515" t="str">
        <f t="shared" ca="1" si="67"/>
        <v>Okay</v>
      </c>
      <c r="AR166" s="512">
        <f t="shared" si="68"/>
        <v>0</v>
      </c>
      <c r="AS166" s="511" t="str">
        <f>IF(OR(Measures!AM166="Row Not Used",Measures!C166="Controls Only",Measures!C166="Decommissioning"),"",_xlfn.CONCAT(P166," ",Q166))</f>
        <v/>
      </c>
      <c r="AT166" s="264" t="str">
        <f t="shared" si="69"/>
        <v>None</v>
      </c>
      <c r="AU166" s="229">
        <f>IF(OR(AM166="Row Not Used",AM166="Controls Only"),0,INDEX(IncentiveRateTable[Incentive Rate],MATCH(AT166,IncentiveRateTable[Incentive Name],0)))</f>
        <v>0</v>
      </c>
      <c r="AV166" s="133" t="str">
        <f>IF(OR(AM166="Row Not Used",AM166="Controls Only"),"None",INDEX(IncentiveRateTable[Incentive Unit],MATCH(AT166,IncentiveRateTable[Incentive Name],0)))</f>
        <v>None</v>
      </c>
      <c r="AW166" s="578">
        <f t="shared" si="80"/>
        <v>0</v>
      </c>
      <c r="AX166" s="264" t="str">
        <f t="shared" si="70"/>
        <v>None</v>
      </c>
      <c r="AY166" s="229">
        <f>IF(OR(AM166="Row Not Used",AM166="Fixtures Only",AM166="Decommissioning"),0,INDEX(IncentiveRateTable[Incentive Rate],MATCH(AX166,IncentiveRateTable[Incentive Name],0)))</f>
        <v>0</v>
      </c>
      <c r="AZ166" s="133" t="str">
        <f>IF(OR(AM166="Row Not Used",AM166="Fixtures Only",AM166="Decommissioning"),"None",INDEX(IncentiveRateTable[Incentive Unit],MATCH(AX166,IncentiveRateTable[Incentive Name],0)))</f>
        <v>None</v>
      </c>
      <c r="BA166" s="465">
        <f t="shared" si="71"/>
        <v>0</v>
      </c>
      <c r="BB166" s="264" t="e" cm="1">
        <f t="array" ref="BB166">INDEX(BallastFactorTable[Commercial BPA Reference Number],MATCH(1,(BallastFactorTable[Fixture Class]=J166)*(BallastFactorTable[Fixture Category]=K166)*(BallastFactorTable[Fixture Sub-category]=L166),0))</f>
        <v>#N/A</v>
      </c>
      <c r="BC166" s="133" t="e" cm="1">
        <f t="array" ref="BC166">INDEX(BallastFactorTable[Industrial BPA Reference Number],MATCH(1,(BallastFactorTable[Fixture Class]=J166)*(BallastFactorTable[Fixture Category]=K166)*(BallastFactorTable[Fixture Sub-category]=L166),0))</f>
        <v>#N/A</v>
      </c>
      <c r="BD166" s="264" t="str">
        <f t="shared" si="72"/>
        <v>Sector is blank</v>
      </c>
      <c r="BE166" s="269" t="str">
        <f>IF(ISBLANK(SectorField),"Sector is blank",IF(AM166="Row Not Used","",IF(OR(R166="No Controls",ISBLANK(R166)),"",INDEX(ControlsBPARefNoTable[Reference Number],MATCH(SectorField,ControlsBPARefNoTable[Sector],0)))))</f>
        <v>Sector is blank</v>
      </c>
      <c r="BF166" s="530" t="str">
        <f t="shared" si="73"/>
        <v/>
      </c>
      <c r="BG166" s="132" t="str">
        <f t="shared" si="74"/>
        <v/>
      </c>
      <c r="BH166" s="531" t="str">
        <f t="shared" si="75"/>
        <v/>
      </c>
      <c r="BI166" s="532"/>
      <c r="BJ166" s="538" t="str">
        <f t="shared" si="81"/>
        <v/>
      </c>
      <c r="BK166" s="539" t="str">
        <f t="shared" si="82"/>
        <v/>
      </c>
      <c r="BL166" s="547" t="str">
        <f t="shared" si="83"/>
        <v/>
      </c>
    </row>
    <row r="167" spans="1:64" x14ac:dyDescent="0.3">
      <c r="A167" s="133">
        <v>160</v>
      </c>
      <c r="B167" s="294"/>
      <c r="C167" s="313"/>
      <c r="D167" s="292"/>
      <c r="E167" s="284"/>
      <c r="F167" s="284"/>
      <c r="G167" s="295"/>
      <c r="H167" s="296"/>
      <c r="I167" s="297"/>
      <c r="J167" s="292"/>
      <c r="K167" s="284"/>
      <c r="L167" s="284"/>
      <c r="M167" s="295"/>
      <c r="N167" s="296"/>
      <c r="O167" s="296"/>
      <c r="P167" s="284"/>
      <c r="Q167" s="298"/>
      <c r="R167" s="292"/>
      <c r="S167" s="299"/>
      <c r="T167" s="300"/>
      <c r="U167" s="317" t="str">
        <f t="shared" si="57"/>
        <v/>
      </c>
      <c r="V167" s="301"/>
      <c r="W167" s="136" t="str">
        <f t="shared" si="58"/>
        <v/>
      </c>
      <c r="X167" s="588" t="str">
        <f t="shared" si="76"/>
        <v/>
      </c>
      <c r="Y167" s="580"/>
      <c r="Z167" s="251" t="str">
        <f t="shared" si="59"/>
        <v/>
      </c>
      <c r="AA167" s="138" t="str">
        <f t="shared" si="84"/>
        <v/>
      </c>
      <c r="AB167" s="243" t="str">
        <f t="shared" si="77"/>
        <v/>
      </c>
      <c r="AC167" s="141" t="str">
        <f t="shared" si="60"/>
        <v/>
      </c>
      <c r="AD167" s="138" t="str">
        <f t="shared" si="78"/>
        <v/>
      </c>
      <c r="AE167" s="243" t="str">
        <f t="shared" si="61"/>
        <v/>
      </c>
      <c r="AF167" s="342" t="str">
        <f>IF(AM167="Row Not Used","",INDEX(SpaceTable[Annual Hours],(MATCH(B167,SpaceTable[Space Name Concatenated Helper],0))))</f>
        <v/>
      </c>
      <c r="AG167" s="205" t="str">
        <f t="shared" si="62"/>
        <v/>
      </c>
      <c r="AH167" s="234" t="str">
        <f t="shared" si="63"/>
        <v/>
      </c>
      <c r="AI167" s="205" t="str">
        <f t="shared" si="64"/>
        <v/>
      </c>
      <c r="AJ167" s="234" t="str">
        <f t="shared" si="65"/>
        <v/>
      </c>
      <c r="AK167" s="144" t="str">
        <f>IF(AM167="Row Not Used","",INDEX(SpaceTable[Row],(MATCH(B167,SpaceTable[Space Name Concatenated Helper],0))))</f>
        <v/>
      </c>
      <c r="AL167" s="238" t="str">
        <f>IF(AM167="Row Not Used","",INDEX(SpaceTable[HVAC Factor],(MATCH(B167,SpaceTable[Space Name Concatenated Helper],0))))</f>
        <v/>
      </c>
      <c r="AM167" s="520" t="str">
        <f t="shared" si="66"/>
        <v>Row Not Used</v>
      </c>
      <c r="AN167" s="512" t="e" cm="1">
        <f t="array" ref="AN167">INDEX(BallastFactorTable[Ballast Factor],MATCH(1,(BallastFactorTable[Fixture Class]=D167)*(BallastFactorTable[Fixture Category]=E167)*(BallastFactorTable[Fixture Sub-category]=F167),0))</f>
        <v>#N/A</v>
      </c>
      <c r="AO167" s="143" t="str">
        <f t="shared" si="79"/>
        <v/>
      </c>
      <c r="AP167" s="501" t="e" cm="1">
        <f t="array" ref="AP167">INDEX(BallastFactorTable[Wattage Range Name],MATCH(1,(BallastFactorTable[Fixture Class]=D167)*(BallastFactorTable[Fixture Category]=E167)*(BallastFactorTable[Fixture Sub-category]=F167),0))</f>
        <v>#N/A</v>
      </c>
      <c r="AQ167" s="515" t="str">
        <f t="shared" ca="1" si="67"/>
        <v>Okay</v>
      </c>
      <c r="AR167" s="512">
        <f t="shared" si="68"/>
        <v>0</v>
      </c>
      <c r="AS167" s="511" t="str">
        <f>IF(OR(Measures!AM167="Row Not Used",Measures!C167="Controls Only",Measures!C167="Decommissioning"),"",_xlfn.CONCAT(P167," ",Q167))</f>
        <v/>
      </c>
      <c r="AT167" s="264" t="str">
        <f t="shared" si="69"/>
        <v>None</v>
      </c>
      <c r="AU167" s="229">
        <f>IF(OR(AM167="Row Not Used",AM167="Controls Only"),0,INDEX(IncentiveRateTable[Incentive Rate],MATCH(AT167,IncentiveRateTable[Incentive Name],0)))</f>
        <v>0</v>
      </c>
      <c r="AV167" s="133" t="str">
        <f>IF(OR(AM167="Row Not Used",AM167="Controls Only"),"None",INDEX(IncentiveRateTable[Incentive Unit],MATCH(AT167,IncentiveRateTable[Incentive Name],0)))</f>
        <v>None</v>
      </c>
      <c r="AW167" s="578">
        <f t="shared" si="80"/>
        <v>0</v>
      </c>
      <c r="AX167" s="264" t="str">
        <f t="shared" si="70"/>
        <v>None</v>
      </c>
      <c r="AY167" s="229">
        <f>IF(OR(AM167="Row Not Used",AM167="Fixtures Only",AM167="Decommissioning"),0,INDEX(IncentiveRateTable[Incentive Rate],MATCH(AX167,IncentiveRateTable[Incentive Name],0)))</f>
        <v>0</v>
      </c>
      <c r="AZ167" s="133" t="str">
        <f>IF(OR(AM167="Row Not Used",AM167="Fixtures Only",AM167="Decommissioning"),"None",INDEX(IncentiveRateTable[Incentive Unit],MATCH(AX167,IncentiveRateTable[Incentive Name],0)))</f>
        <v>None</v>
      </c>
      <c r="BA167" s="465">
        <f t="shared" si="71"/>
        <v>0</v>
      </c>
      <c r="BB167" s="264" t="e" cm="1">
        <f t="array" ref="BB167">INDEX(BallastFactorTable[Commercial BPA Reference Number],MATCH(1,(BallastFactorTable[Fixture Class]=J167)*(BallastFactorTable[Fixture Category]=K167)*(BallastFactorTable[Fixture Sub-category]=L167),0))</f>
        <v>#N/A</v>
      </c>
      <c r="BC167" s="133" t="e" cm="1">
        <f t="array" ref="BC167">INDEX(BallastFactorTable[Industrial BPA Reference Number],MATCH(1,(BallastFactorTable[Fixture Class]=J167)*(BallastFactorTable[Fixture Category]=K167)*(BallastFactorTable[Fixture Sub-category]=L167),0))</f>
        <v>#N/A</v>
      </c>
      <c r="BD167" s="264" t="str">
        <f t="shared" si="72"/>
        <v>Sector is blank</v>
      </c>
      <c r="BE167" s="269" t="str">
        <f>IF(ISBLANK(SectorField),"Sector is blank",IF(AM167="Row Not Used","",IF(OR(R167="No Controls",ISBLANK(R167)),"",INDEX(ControlsBPARefNoTable[Reference Number],MATCH(SectorField,ControlsBPARefNoTable[Sector],0)))))</f>
        <v>Sector is blank</v>
      </c>
      <c r="BF167" s="530" t="str">
        <f t="shared" si="73"/>
        <v/>
      </c>
      <c r="BG167" s="132" t="str">
        <f t="shared" si="74"/>
        <v/>
      </c>
      <c r="BH167" s="531" t="str">
        <f t="shared" si="75"/>
        <v/>
      </c>
      <c r="BI167" s="532"/>
      <c r="BJ167" s="538" t="str">
        <f t="shared" si="81"/>
        <v/>
      </c>
      <c r="BK167" s="539" t="str">
        <f t="shared" si="82"/>
        <v/>
      </c>
      <c r="BL167" s="547" t="str">
        <f t="shared" si="83"/>
        <v/>
      </c>
    </row>
    <row r="168" spans="1:64" x14ac:dyDescent="0.3">
      <c r="A168" s="133">
        <v>161</v>
      </c>
      <c r="B168" s="294"/>
      <c r="C168" s="313"/>
      <c r="D168" s="292"/>
      <c r="E168" s="284"/>
      <c r="F168" s="284"/>
      <c r="G168" s="295"/>
      <c r="H168" s="296"/>
      <c r="I168" s="297"/>
      <c r="J168" s="292"/>
      <c r="K168" s="284"/>
      <c r="L168" s="284"/>
      <c r="M168" s="295"/>
      <c r="N168" s="296"/>
      <c r="O168" s="296"/>
      <c r="P168" s="284"/>
      <c r="Q168" s="298"/>
      <c r="R168" s="292"/>
      <c r="S168" s="299"/>
      <c r="T168" s="300"/>
      <c r="U168" s="317" t="str">
        <f t="shared" si="57"/>
        <v/>
      </c>
      <c r="V168" s="301"/>
      <c r="W168" s="137" t="str">
        <f t="shared" si="58"/>
        <v/>
      </c>
      <c r="X168" s="589" t="str">
        <f t="shared" si="76"/>
        <v/>
      </c>
      <c r="Y168" s="581"/>
      <c r="Z168" s="251" t="str">
        <f t="shared" si="59"/>
        <v/>
      </c>
      <c r="AA168" s="138" t="str">
        <f t="shared" si="84"/>
        <v/>
      </c>
      <c r="AB168" s="243" t="str">
        <f t="shared" si="77"/>
        <v/>
      </c>
      <c r="AC168" s="141" t="str">
        <f t="shared" si="60"/>
        <v/>
      </c>
      <c r="AD168" s="138" t="str">
        <f t="shared" si="78"/>
        <v/>
      </c>
      <c r="AE168" s="243" t="str">
        <f t="shared" si="61"/>
        <v/>
      </c>
      <c r="AF168" s="342" t="str">
        <f>IF(AM168="Row Not Used","",INDEX(SpaceTable[Annual Hours],(MATCH(B168,SpaceTable[Space Name Concatenated Helper],0))))</f>
        <v/>
      </c>
      <c r="AG168" s="205" t="str">
        <f t="shared" si="62"/>
        <v/>
      </c>
      <c r="AH168" s="234" t="str">
        <f t="shared" si="63"/>
        <v/>
      </c>
      <c r="AI168" s="205" t="str">
        <f t="shared" si="64"/>
        <v/>
      </c>
      <c r="AJ168" s="234" t="str">
        <f t="shared" si="65"/>
        <v/>
      </c>
      <c r="AK168" s="144" t="str">
        <f>IF(AM168="Row Not Used","",INDEX(SpaceTable[Row],(MATCH(B168,SpaceTable[Space Name Concatenated Helper],0))))</f>
        <v/>
      </c>
      <c r="AL168" s="238" t="str">
        <f>IF(AM168="Row Not Used","",INDEX(SpaceTable[HVAC Factor],(MATCH(B168,SpaceTable[Space Name Concatenated Helper],0))))</f>
        <v/>
      </c>
      <c r="AM168" s="520" t="str">
        <f t="shared" si="66"/>
        <v>Row Not Used</v>
      </c>
      <c r="AN168" s="512" t="e" cm="1">
        <f t="array" ref="AN168">INDEX(BallastFactorTable[Ballast Factor],MATCH(1,(BallastFactorTable[Fixture Class]=D168)*(BallastFactorTable[Fixture Category]=E168)*(BallastFactorTable[Fixture Sub-category]=F168),0))</f>
        <v>#N/A</v>
      </c>
      <c r="AO168" s="143" t="str">
        <f t="shared" si="79"/>
        <v/>
      </c>
      <c r="AP168" s="501" t="e" cm="1">
        <f t="array" ref="AP168">INDEX(BallastFactorTable[Wattage Range Name],MATCH(1,(BallastFactorTable[Fixture Class]=D168)*(BallastFactorTable[Fixture Category]=E168)*(BallastFactorTable[Fixture Sub-category]=F168),0))</f>
        <v>#N/A</v>
      </c>
      <c r="AQ168" s="515" t="str">
        <f t="shared" ca="1" si="67"/>
        <v>Okay</v>
      </c>
      <c r="AR168" s="512">
        <f t="shared" si="68"/>
        <v>0</v>
      </c>
      <c r="AS168" s="511" t="str">
        <f>IF(OR(Measures!AM168="Row Not Used",Measures!C168="Controls Only",Measures!C168="Decommissioning"),"",_xlfn.CONCAT(P168," ",Q168))</f>
        <v/>
      </c>
      <c r="AT168" s="264" t="str">
        <f t="shared" si="69"/>
        <v>None</v>
      </c>
      <c r="AU168" s="229">
        <f>IF(OR(AM168="Row Not Used",AM168="Controls Only"),0,INDEX(IncentiveRateTable[Incentive Rate],MATCH(AT168,IncentiveRateTable[Incentive Name],0)))</f>
        <v>0</v>
      </c>
      <c r="AV168" s="133" t="str">
        <f>IF(OR(AM168="Row Not Used",AM168="Controls Only"),"None",INDEX(IncentiveRateTable[Incentive Unit],MATCH(AT168,IncentiveRateTable[Incentive Name],0)))</f>
        <v>None</v>
      </c>
      <c r="AW168" s="578">
        <f t="shared" si="80"/>
        <v>0</v>
      </c>
      <c r="AX168" s="264" t="str">
        <f t="shared" si="70"/>
        <v>None</v>
      </c>
      <c r="AY168" s="229">
        <f>IF(OR(AM168="Row Not Used",AM168="Fixtures Only",AM168="Decommissioning"),0,INDEX(IncentiveRateTable[Incentive Rate],MATCH(AX168,IncentiveRateTable[Incentive Name],0)))</f>
        <v>0</v>
      </c>
      <c r="AZ168" s="133" t="str">
        <f>IF(OR(AM168="Row Not Used",AM168="Fixtures Only",AM168="Decommissioning"),"None",INDEX(IncentiveRateTable[Incentive Unit],MATCH(AX168,IncentiveRateTable[Incentive Name],0)))</f>
        <v>None</v>
      </c>
      <c r="BA168" s="465">
        <f t="shared" si="71"/>
        <v>0</v>
      </c>
      <c r="BB168" s="264" t="e" cm="1">
        <f t="array" ref="BB168">INDEX(BallastFactorTable[Commercial BPA Reference Number],MATCH(1,(BallastFactorTable[Fixture Class]=J168)*(BallastFactorTable[Fixture Category]=K168)*(BallastFactorTable[Fixture Sub-category]=L168),0))</f>
        <v>#N/A</v>
      </c>
      <c r="BC168" s="133" t="e" cm="1">
        <f t="array" ref="BC168">INDEX(BallastFactorTable[Industrial BPA Reference Number],MATCH(1,(BallastFactorTable[Fixture Class]=J168)*(BallastFactorTable[Fixture Category]=K168)*(BallastFactorTable[Fixture Sub-category]=L168),0))</f>
        <v>#N/A</v>
      </c>
      <c r="BD168" s="264" t="str">
        <f t="shared" si="72"/>
        <v>Sector is blank</v>
      </c>
      <c r="BE168" s="269" t="str">
        <f>IF(ISBLANK(SectorField),"Sector is blank",IF(AM168="Row Not Used","",IF(OR(R168="No Controls",ISBLANK(R168)),"",INDEX(ControlsBPARefNoTable[Reference Number],MATCH(SectorField,ControlsBPARefNoTable[Sector],0)))))</f>
        <v>Sector is blank</v>
      </c>
      <c r="BF168" s="530" t="str">
        <f t="shared" si="73"/>
        <v/>
      </c>
      <c r="BG168" s="132" t="str">
        <f t="shared" si="74"/>
        <v/>
      </c>
      <c r="BH168" s="531" t="str">
        <f t="shared" si="75"/>
        <v/>
      </c>
      <c r="BI168" s="532"/>
      <c r="BJ168" s="538" t="str">
        <f t="shared" si="81"/>
        <v/>
      </c>
      <c r="BK168" s="539" t="str">
        <f t="shared" si="82"/>
        <v/>
      </c>
      <c r="BL168" s="547" t="str">
        <f t="shared" si="83"/>
        <v/>
      </c>
    </row>
    <row r="169" spans="1:64" x14ac:dyDescent="0.3">
      <c r="A169" s="133">
        <v>162</v>
      </c>
      <c r="B169" s="294"/>
      <c r="C169" s="313"/>
      <c r="D169" s="292"/>
      <c r="E169" s="284"/>
      <c r="F169" s="284"/>
      <c r="G169" s="295"/>
      <c r="H169" s="296"/>
      <c r="I169" s="297"/>
      <c r="J169" s="292"/>
      <c r="K169" s="284"/>
      <c r="L169" s="284"/>
      <c r="M169" s="295"/>
      <c r="N169" s="296"/>
      <c r="O169" s="296"/>
      <c r="P169" s="284"/>
      <c r="Q169" s="298"/>
      <c r="R169" s="292"/>
      <c r="S169" s="299"/>
      <c r="T169" s="300"/>
      <c r="U169" s="317" t="str">
        <f t="shared" si="57"/>
        <v/>
      </c>
      <c r="V169" s="301"/>
      <c r="W169" s="136" t="str">
        <f t="shared" si="58"/>
        <v/>
      </c>
      <c r="X169" s="588" t="str">
        <f t="shared" si="76"/>
        <v/>
      </c>
      <c r="Y169" s="580"/>
      <c r="Z169" s="251" t="str">
        <f t="shared" si="59"/>
        <v/>
      </c>
      <c r="AA169" s="138" t="str">
        <f t="shared" si="84"/>
        <v/>
      </c>
      <c r="AB169" s="243" t="str">
        <f t="shared" si="77"/>
        <v/>
      </c>
      <c r="AC169" s="141" t="str">
        <f t="shared" si="60"/>
        <v/>
      </c>
      <c r="AD169" s="138" t="str">
        <f t="shared" si="78"/>
        <v/>
      </c>
      <c r="AE169" s="243" t="str">
        <f t="shared" si="61"/>
        <v/>
      </c>
      <c r="AF169" s="342" t="str">
        <f>IF(AM169="Row Not Used","",INDEX(SpaceTable[Annual Hours],(MATCH(B169,SpaceTable[Space Name Concatenated Helper],0))))</f>
        <v/>
      </c>
      <c r="AG169" s="205" t="str">
        <f t="shared" si="62"/>
        <v/>
      </c>
      <c r="AH169" s="234" t="str">
        <f t="shared" si="63"/>
        <v/>
      </c>
      <c r="AI169" s="205" t="str">
        <f t="shared" si="64"/>
        <v/>
      </c>
      <c r="AJ169" s="234" t="str">
        <f t="shared" si="65"/>
        <v/>
      </c>
      <c r="AK169" s="144" t="str">
        <f>IF(AM169="Row Not Used","",INDEX(SpaceTable[Row],(MATCH(B169,SpaceTable[Space Name Concatenated Helper],0))))</f>
        <v/>
      </c>
      <c r="AL169" s="238" t="str">
        <f>IF(AM169="Row Not Used","",INDEX(SpaceTable[HVAC Factor],(MATCH(B169,SpaceTable[Space Name Concatenated Helper],0))))</f>
        <v/>
      </c>
      <c r="AM169" s="520" t="str">
        <f t="shared" si="66"/>
        <v>Row Not Used</v>
      </c>
      <c r="AN169" s="512" t="e" cm="1">
        <f t="array" ref="AN169">INDEX(BallastFactorTable[Ballast Factor],MATCH(1,(BallastFactorTable[Fixture Class]=D169)*(BallastFactorTable[Fixture Category]=E169)*(BallastFactorTable[Fixture Sub-category]=F169),0))</f>
        <v>#N/A</v>
      </c>
      <c r="AO169" s="143" t="str">
        <f t="shared" si="79"/>
        <v/>
      </c>
      <c r="AP169" s="501" t="e" cm="1">
        <f t="array" ref="AP169">INDEX(BallastFactorTable[Wattage Range Name],MATCH(1,(BallastFactorTable[Fixture Class]=D169)*(BallastFactorTable[Fixture Category]=E169)*(BallastFactorTable[Fixture Sub-category]=F169),0))</f>
        <v>#N/A</v>
      </c>
      <c r="AQ169" s="515" t="str">
        <f t="shared" ca="1" si="67"/>
        <v>Okay</v>
      </c>
      <c r="AR169" s="512">
        <f t="shared" si="68"/>
        <v>0</v>
      </c>
      <c r="AS169" s="511" t="str">
        <f>IF(OR(Measures!AM169="Row Not Used",Measures!C169="Controls Only",Measures!C169="Decommissioning"),"",_xlfn.CONCAT(P169," ",Q169))</f>
        <v/>
      </c>
      <c r="AT169" s="264" t="str">
        <f t="shared" si="69"/>
        <v>None</v>
      </c>
      <c r="AU169" s="229">
        <f>IF(OR(AM169="Row Not Used",AM169="Controls Only"),0,INDEX(IncentiveRateTable[Incentive Rate],MATCH(AT169,IncentiveRateTable[Incentive Name],0)))</f>
        <v>0</v>
      </c>
      <c r="AV169" s="133" t="str">
        <f>IF(OR(AM169="Row Not Used",AM169="Controls Only"),"None",INDEX(IncentiveRateTable[Incentive Unit],MATCH(AT169,IncentiveRateTable[Incentive Name],0)))</f>
        <v>None</v>
      </c>
      <c r="AW169" s="578">
        <f t="shared" si="80"/>
        <v>0</v>
      </c>
      <c r="AX169" s="264" t="str">
        <f t="shared" si="70"/>
        <v>None</v>
      </c>
      <c r="AY169" s="229">
        <f>IF(OR(AM169="Row Not Used",AM169="Fixtures Only",AM169="Decommissioning"),0,INDEX(IncentiveRateTable[Incentive Rate],MATCH(AX169,IncentiveRateTable[Incentive Name],0)))</f>
        <v>0</v>
      </c>
      <c r="AZ169" s="133" t="str">
        <f>IF(OR(AM169="Row Not Used",AM169="Fixtures Only",AM169="Decommissioning"),"None",INDEX(IncentiveRateTable[Incentive Unit],MATCH(AX169,IncentiveRateTable[Incentive Name],0)))</f>
        <v>None</v>
      </c>
      <c r="BA169" s="465">
        <f t="shared" si="71"/>
        <v>0</v>
      </c>
      <c r="BB169" s="264" t="e" cm="1">
        <f t="array" ref="BB169">INDEX(BallastFactorTable[Commercial BPA Reference Number],MATCH(1,(BallastFactorTable[Fixture Class]=J169)*(BallastFactorTable[Fixture Category]=K169)*(BallastFactorTable[Fixture Sub-category]=L169),0))</f>
        <v>#N/A</v>
      </c>
      <c r="BC169" s="133" t="e" cm="1">
        <f t="array" ref="BC169">INDEX(BallastFactorTable[Industrial BPA Reference Number],MATCH(1,(BallastFactorTable[Fixture Class]=J169)*(BallastFactorTable[Fixture Category]=K169)*(BallastFactorTable[Fixture Sub-category]=L169),0))</f>
        <v>#N/A</v>
      </c>
      <c r="BD169" s="264" t="str">
        <f t="shared" si="72"/>
        <v>Sector is blank</v>
      </c>
      <c r="BE169" s="269" t="str">
        <f>IF(ISBLANK(SectorField),"Sector is blank",IF(AM169="Row Not Used","",IF(OR(R169="No Controls",ISBLANK(R169)),"",INDEX(ControlsBPARefNoTable[Reference Number],MATCH(SectorField,ControlsBPARefNoTable[Sector],0)))))</f>
        <v>Sector is blank</v>
      </c>
      <c r="BF169" s="530" t="str">
        <f t="shared" si="73"/>
        <v/>
      </c>
      <c r="BG169" s="132" t="str">
        <f t="shared" si="74"/>
        <v/>
      </c>
      <c r="BH169" s="531" t="str">
        <f t="shared" si="75"/>
        <v/>
      </c>
      <c r="BI169" s="532"/>
      <c r="BJ169" s="538" t="str">
        <f t="shared" si="81"/>
        <v/>
      </c>
      <c r="BK169" s="539" t="str">
        <f t="shared" si="82"/>
        <v/>
      </c>
      <c r="BL169" s="547" t="str">
        <f t="shared" si="83"/>
        <v/>
      </c>
    </row>
    <row r="170" spans="1:64" x14ac:dyDescent="0.3">
      <c r="A170" s="133">
        <v>163</v>
      </c>
      <c r="B170" s="294"/>
      <c r="C170" s="313"/>
      <c r="D170" s="292"/>
      <c r="E170" s="284"/>
      <c r="F170" s="284"/>
      <c r="G170" s="295"/>
      <c r="H170" s="296"/>
      <c r="I170" s="297"/>
      <c r="J170" s="292"/>
      <c r="K170" s="284"/>
      <c r="L170" s="284"/>
      <c r="M170" s="295"/>
      <c r="N170" s="296"/>
      <c r="O170" s="296"/>
      <c r="P170" s="284"/>
      <c r="Q170" s="298"/>
      <c r="R170" s="292"/>
      <c r="S170" s="299"/>
      <c r="T170" s="300"/>
      <c r="U170" s="317" t="str">
        <f t="shared" si="57"/>
        <v/>
      </c>
      <c r="V170" s="301"/>
      <c r="W170" s="137" t="str">
        <f t="shared" si="58"/>
        <v/>
      </c>
      <c r="X170" s="589" t="str">
        <f t="shared" si="76"/>
        <v/>
      </c>
      <c r="Y170" s="581"/>
      <c r="Z170" s="251" t="str">
        <f t="shared" si="59"/>
        <v/>
      </c>
      <c r="AA170" s="138" t="str">
        <f t="shared" si="84"/>
        <v/>
      </c>
      <c r="AB170" s="243" t="str">
        <f t="shared" si="77"/>
        <v/>
      </c>
      <c r="AC170" s="141" t="str">
        <f t="shared" si="60"/>
        <v/>
      </c>
      <c r="AD170" s="138" t="str">
        <f t="shared" si="78"/>
        <v/>
      </c>
      <c r="AE170" s="243" t="str">
        <f t="shared" si="61"/>
        <v/>
      </c>
      <c r="AF170" s="342" t="str">
        <f>IF(AM170="Row Not Used","",INDEX(SpaceTable[Annual Hours],(MATCH(B170,SpaceTable[Space Name Concatenated Helper],0))))</f>
        <v/>
      </c>
      <c r="AG170" s="205" t="str">
        <f t="shared" si="62"/>
        <v/>
      </c>
      <c r="AH170" s="234" t="str">
        <f t="shared" si="63"/>
        <v/>
      </c>
      <c r="AI170" s="205" t="str">
        <f t="shared" si="64"/>
        <v/>
      </c>
      <c r="AJ170" s="234" t="str">
        <f t="shared" si="65"/>
        <v/>
      </c>
      <c r="AK170" s="144" t="str">
        <f>IF(AM170="Row Not Used","",INDEX(SpaceTable[Row],(MATCH(B170,SpaceTable[Space Name Concatenated Helper],0))))</f>
        <v/>
      </c>
      <c r="AL170" s="238" t="str">
        <f>IF(AM170="Row Not Used","",INDEX(SpaceTable[HVAC Factor],(MATCH(B170,SpaceTable[Space Name Concatenated Helper],0))))</f>
        <v/>
      </c>
      <c r="AM170" s="520" t="str">
        <f t="shared" si="66"/>
        <v>Row Not Used</v>
      </c>
      <c r="AN170" s="512" t="e" cm="1">
        <f t="array" ref="AN170">INDEX(BallastFactorTable[Ballast Factor],MATCH(1,(BallastFactorTable[Fixture Class]=D170)*(BallastFactorTable[Fixture Category]=E170)*(BallastFactorTable[Fixture Sub-category]=F170),0))</f>
        <v>#N/A</v>
      </c>
      <c r="AO170" s="143" t="str">
        <f t="shared" si="79"/>
        <v/>
      </c>
      <c r="AP170" s="501" t="e" cm="1">
        <f t="array" ref="AP170">INDEX(BallastFactorTable[Wattage Range Name],MATCH(1,(BallastFactorTable[Fixture Class]=D170)*(BallastFactorTable[Fixture Category]=E170)*(BallastFactorTable[Fixture Sub-category]=F170),0))</f>
        <v>#N/A</v>
      </c>
      <c r="AQ170" s="515" t="str">
        <f t="shared" ca="1" si="67"/>
        <v>Okay</v>
      </c>
      <c r="AR170" s="512">
        <f t="shared" si="68"/>
        <v>0</v>
      </c>
      <c r="AS170" s="511" t="str">
        <f>IF(OR(Measures!AM170="Row Not Used",Measures!C170="Controls Only",Measures!C170="Decommissioning"),"",_xlfn.CONCAT(P170," ",Q170))</f>
        <v/>
      </c>
      <c r="AT170" s="264" t="str">
        <f t="shared" si="69"/>
        <v>None</v>
      </c>
      <c r="AU170" s="229">
        <f>IF(OR(AM170="Row Not Used",AM170="Controls Only"),0,INDEX(IncentiveRateTable[Incentive Rate],MATCH(AT170,IncentiveRateTable[Incentive Name],0)))</f>
        <v>0</v>
      </c>
      <c r="AV170" s="133" t="str">
        <f>IF(OR(AM170="Row Not Used",AM170="Controls Only"),"None",INDEX(IncentiveRateTable[Incentive Unit],MATCH(AT170,IncentiveRateTable[Incentive Name],0)))</f>
        <v>None</v>
      </c>
      <c r="AW170" s="578">
        <f t="shared" si="80"/>
        <v>0</v>
      </c>
      <c r="AX170" s="264" t="str">
        <f t="shared" si="70"/>
        <v>None</v>
      </c>
      <c r="AY170" s="229">
        <f>IF(OR(AM170="Row Not Used",AM170="Fixtures Only",AM170="Decommissioning"),0,INDEX(IncentiveRateTable[Incentive Rate],MATCH(AX170,IncentiveRateTable[Incentive Name],0)))</f>
        <v>0</v>
      </c>
      <c r="AZ170" s="133" t="str">
        <f>IF(OR(AM170="Row Not Used",AM170="Fixtures Only",AM170="Decommissioning"),"None",INDEX(IncentiveRateTable[Incentive Unit],MATCH(AX170,IncentiveRateTable[Incentive Name],0)))</f>
        <v>None</v>
      </c>
      <c r="BA170" s="465">
        <f t="shared" si="71"/>
        <v>0</v>
      </c>
      <c r="BB170" s="264" t="e" cm="1">
        <f t="array" ref="BB170">INDEX(BallastFactorTable[Commercial BPA Reference Number],MATCH(1,(BallastFactorTable[Fixture Class]=J170)*(BallastFactorTable[Fixture Category]=K170)*(BallastFactorTable[Fixture Sub-category]=L170),0))</f>
        <v>#N/A</v>
      </c>
      <c r="BC170" s="133" t="e" cm="1">
        <f t="array" ref="BC170">INDEX(BallastFactorTable[Industrial BPA Reference Number],MATCH(1,(BallastFactorTable[Fixture Class]=J170)*(BallastFactorTable[Fixture Category]=K170)*(BallastFactorTable[Fixture Sub-category]=L170),0))</f>
        <v>#N/A</v>
      </c>
      <c r="BD170" s="264" t="str">
        <f t="shared" si="72"/>
        <v>Sector is blank</v>
      </c>
      <c r="BE170" s="269" t="str">
        <f>IF(ISBLANK(SectorField),"Sector is blank",IF(AM170="Row Not Used","",IF(OR(R170="No Controls",ISBLANK(R170)),"",INDEX(ControlsBPARefNoTable[Reference Number],MATCH(SectorField,ControlsBPARefNoTable[Sector],0)))))</f>
        <v>Sector is blank</v>
      </c>
      <c r="BF170" s="530" t="str">
        <f t="shared" si="73"/>
        <v/>
      </c>
      <c r="BG170" s="132" t="str">
        <f t="shared" si="74"/>
        <v/>
      </c>
      <c r="BH170" s="531" t="str">
        <f t="shared" si="75"/>
        <v/>
      </c>
      <c r="BI170" s="532"/>
      <c r="BJ170" s="538" t="str">
        <f t="shared" si="81"/>
        <v/>
      </c>
      <c r="BK170" s="539" t="str">
        <f t="shared" si="82"/>
        <v/>
      </c>
      <c r="BL170" s="547" t="str">
        <f t="shared" si="83"/>
        <v/>
      </c>
    </row>
    <row r="171" spans="1:64" x14ac:dyDescent="0.3">
      <c r="A171" s="133">
        <v>164</v>
      </c>
      <c r="B171" s="294"/>
      <c r="C171" s="313"/>
      <c r="D171" s="292"/>
      <c r="E171" s="284"/>
      <c r="F171" s="284"/>
      <c r="G171" s="295"/>
      <c r="H171" s="296"/>
      <c r="I171" s="297"/>
      <c r="J171" s="292"/>
      <c r="K171" s="284"/>
      <c r="L171" s="284"/>
      <c r="M171" s="295"/>
      <c r="N171" s="296"/>
      <c r="O171" s="296"/>
      <c r="P171" s="284"/>
      <c r="Q171" s="298"/>
      <c r="R171" s="292"/>
      <c r="S171" s="299"/>
      <c r="T171" s="300"/>
      <c r="U171" s="317" t="str">
        <f t="shared" si="57"/>
        <v/>
      </c>
      <c r="V171" s="301"/>
      <c r="W171" s="136" t="str">
        <f t="shared" si="58"/>
        <v/>
      </c>
      <c r="X171" s="588" t="str">
        <f t="shared" si="76"/>
        <v/>
      </c>
      <c r="Y171" s="580"/>
      <c r="Z171" s="251" t="str">
        <f t="shared" si="59"/>
        <v/>
      </c>
      <c r="AA171" s="138" t="str">
        <f t="shared" si="84"/>
        <v/>
      </c>
      <c r="AB171" s="243" t="str">
        <f t="shared" si="77"/>
        <v/>
      </c>
      <c r="AC171" s="141" t="str">
        <f t="shared" si="60"/>
        <v/>
      </c>
      <c r="AD171" s="138" t="str">
        <f t="shared" si="78"/>
        <v/>
      </c>
      <c r="AE171" s="243" t="str">
        <f t="shared" si="61"/>
        <v/>
      </c>
      <c r="AF171" s="342" t="str">
        <f>IF(AM171="Row Not Used","",INDEX(SpaceTable[Annual Hours],(MATCH(B171,SpaceTable[Space Name Concatenated Helper],0))))</f>
        <v/>
      </c>
      <c r="AG171" s="205" t="str">
        <f t="shared" si="62"/>
        <v/>
      </c>
      <c r="AH171" s="234" t="str">
        <f t="shared" si="63"/>
        <v/>
      </c>
      <c r="AI171" s="205" t="str">
        <f t="shared" si="64"/>
        <v/>
      </c>
      <c r="AJ171" s="234" t="str">
        <f t="shared" si="65"/>
        <v/>
      </c>
      <c r="AK171" s="144" t="str">
        <f>IF(AM171="Row Not Used","",INDEX(SpaceTable[Row],(MATCH(B171,SpaceTable[Space Name Concatenated Helper],0))))</f>
        <v/>
      </c>
      <c r="AL171" s="238" t="str">
        <f>IF(AM171="Row Not Used","",INDEX(SpaceTable[HVAC Factor],(MATCH(B171,SpaceTable[Space Name Concatenated Helper],0))))</f>
        <v/>
      </c>
      <c r="AM171" s="520" t="str">
        <f t="shared" si="66"/>
        <v>Row Not Used</v>
      </c>
      <c r="AN171" s="512" t="e" cm="1">
        <f t="array" ref="AN171">INDEX(BallastFactorTable[Ballast Factor],MATCH(1,(BallastFactorTable[Fixture Class]=D171)*(BallastFactorTable[Fixture Category]=E171)*(BallastFactorTable[Fixture Sub-category]=F171),0))</f>
        <v>#N/A</v>
      </c>
      <c r="AO171" s="143" t="str">
        <f t="shared" si="79"/>
        <v/>
      </c>
      <c r="AP171" s="501" t="e" cm="1">
        <f t="array" ref="AP171">INDEX(BallastFactorTable[Wattage Range Name],MATCH(1,(BallastFactorTable[Fixture Class]=D171)*(BallastFactorTable[Fixture Category]=E171)*(BallastFactorTable[Fixture Sub-category]=F171),0))</f>
        <v>#N/A</v>
      </c>
      <c r="AQ171" s="515" t="str">
        <f t="shared" ca="1" si="67"/>
        <v>Okay</v>
      </c>
      <c r="AR171" s="512">
        <f t="shared" si="68"/>
        <v>0</v>
      </c>
      <c r="AS171" s="511" t="str">
        <f>IF(OR(Measures!AM171="Row Not Used",Measures!C171="Controls Only",Measures!C171="Decommissioning"),"",_xlfn.CONCAT(P171," ",Q171))</f>
        <v/>
      </c>
      <c r="AT171" s="264" t="str">
        <f t="shared" si="69"/>
        <v>None</v>
      </c>
      <c r="AU171" s="229">
        <f>IF(OR(AM171="Row Not Used",AM171="Controls Only"),0,INDEX(IncentiveRateTable[Incentive Rate],MATCH(AT171,IncentiveRateTable[Incentive Name],0)))</f>
        <v>0</v>
      </c>
      <c r="AV171" s="133" t="str">
        <f>IF(OR(AM171="Row Not Used",AM171="Controls Only"),"None",INDEX(IncentiveRateTable[Incentive Unit],MATCH(AT171,IncentiveRateTable[Incentive Name],0)))</f>
        <v>None</v>
      </c>
      <c r="AW171" s="578">
        <f t="shared" si="80"/>
        <v>0</v>
      </c>
      <c r="AX171" s="264" t="str">
        <f t="shared" si="70"/>
        <v>None</v>
      </c>
      <c r="AY171" s="229">
        <f>IF(OR(AM171="Row Not Used",AM171="Fixtures Only",AM171="Decommissioning"),0,INDEX(IncentiveRateTable[Incentive Rate],MATCH(AX171,IncentiveRateTable[Incentive Name],0)))</f>
        <v>0</v>
      </c>
      <c r="AZ171" s="133" t="str">
        <f>IF(OR(AM171="Row Not Used",AM171="Fixtures Only",AM171="Decommissioning"),"None",INDEX(IncentiveRateTable[Incentive Unit],MATCH(AX171,IncentiveRateTable[Incentive Name],0)))</f>
        <v>None</v>
      </c>
      <c r="BA171" s="465">
        <f t="shared" si="71"/>
        <v>0</v>
      </c>
      <c r="BB171" s="264" t="e" cm="1">
        <f t="array" ref="BB171">INDEX(BallastFactorTable[Commercial BPA Reference Number],MATCH(1,(BallastFactorTable[Fixture Class]=J171)*(BallastFactorTable[Fixture Category]=K171)*(BallastFactorTable[Fixture Sub-category]=L171),0))</f>
        <v>#N/A</v>
      </c>
      <c r="BC171" s="133" t="e" cm="1">
        <f t="array" ref="BC171">INDEX(BallastFactorTable[Industrial BPA Reference Number],MATCH(1,(BallastFactorTable[Fixture Class]=J171)*(BallastFactorTable[Fixture Category]=K171)*(BallastFactorTable[Fixture Sub-category]=L171),0))</f>
        <v>#N/A</v>
      </c>
      <c r="BD171" s="264" t="str">
        <f t="shared" si="72"/>
        <v>Sector is blank</v>
      </c>
      <c r="BE171" s="269" t="str">
        <f>IF(ISBLANK(SectorField),"Sector is blank",IF(AM171="Row Not Used","",IF(OR(R171="No Controls",ISBLANK(R171)),"",INDEX(ControlsBPARefNoTable[Reference Number],MATCH(SectorField,ControlsBPARefNoTable[Sector],0)))))</f>
        <v>Sector is blank</v>
      </c>
      <c r="BF171" s="530" t="str">
        <f t="shared" si="73"/>
        <v/>
      </c>
      <c r="BG171" s="132" t="str">
        <f t="shared" si="74"/>
        <v/>
      </c>
      <c r="BH171" s="531" t="str">
        <f t="shared" si="75"/>
        <v/>
      </c>
      <c r="BI171" s="532"/>
      <c r="BJ171" s="538" t="str">
        <f t="shared" si="81"/>
        <v/>
      </c>
      <c r="BK171" s="539" t="str">
        <f t="shared" si="82"/>
        <v/>
      </c>
      <c r="BL171" s="547" t="str">
        <f t="shared" si="83"/>
        <v/>
      </c>
    </row>
    <row r="172" spans="1:64" x14ac:dyDescent="0.3">
      <c r="A172" s="133">
        <v>165</v>
      </c>
      <c r="B172" s="294"/>
      <c r="C172" s="313"/>
      <c r="D172" s="292"/>
      <c r="E172" s="284"/>
      <c r="F172" s="284"/>
      <c r="G172" s="295"/>
      <c r="H172" s="296"/>
      <c r="I172" s="297"/>
      <c r="J172" s="292"/>
      <c r="K172" s="284"/>
      <c r="L172" s="284"/>
      <c r="M172" s="295"/>
      <c r="N172" s="296"/>
      <c r="O172" s="296"/>
      <c r="P172" s="284"/>
      <c r="Q172" s="298"/>
      <c r="R172" s="292"/>
      <c r="S172" s="299"/>
      <c r="T172" s="300"/>
      <c r="U172" s="317" t="str">
        <f t="shared" si="57"/>
        <v/>
      </c>
      <c r="V172" s="301"/>
      <c r="W172" s="137" t="str">
        <f t="shared" si="58"/>
        <v/>
      </c>
      <c r="X172" s="589" t="str">
        <f t="shared" si="76"/>
        <v/>
      </c>
      <c r="Y172" s="581"/>
      <c r="Z172" s="251" t="str">
        <f t="shared" si="59"/>
        <v/>
      </c>
      <c r="AA172" s="138" t="str">
        <f t="shared" si="84"/>
        <v/>
      </c>
      <c r="AB172" s="243" t="str">
        <f t="shared" si="77"/>
        <v/>
      </c>
      <c r="AC172" s="141" t="str">
        <f t="shared" si="60"/>
        <v/>
      </c>
      <c r="AD172" s="138" t="str">
        <f t="shared" si="78"/>
        <v/>
      </c>
      <c r="AE172" s="243" t="str">
        <f t="shared" si="61"/>
        <v/>
      </c>
      <c r="AF172" s="342" t="str">
        <f>IF(AM172="Row Not Used","",INDEX(SpaceTable[Annual Hours],(MATCH(B172,SpaceTable[Space Name Concatenated Helper],0))))</f>
        <v/>
      </c>
      <c r="AG172" s="205" t="str">
        <f t="shared" si="62"/>
        <v/>
      </c>
      <c r="AH172" s="234" t="str">
        <f t="shared" si="63"/>
        <v/>
      </c>
      <c r="AI172" s="205" t="str">
        <f t="shared" si="64"/>
        <v/>
      </c>
      <c r="AJ172" s="234" t="str">
        <f t="shared" si="65"/>
        <v/>
      </c>
      <c r="AK172" s="144" t="str">
        <f>IF(AM172="Row Not Used","",INDEX(SpaceTable[Row],(MATCH(B172,SpaceTable[Space Name Concatenated Helper],0))))</f>
        <v/>
      </c>
      <c r="AL172" s="238" t="str">
        <f>IF(AM172="Row Not Used","",INDEX(SpaceTable[HVAC Factor],(MATCH(B172,SpaceTable[Space Name Concatenated Helper],0))))</f>
        <v/>
      </c>
      <c r="AM172" s="520" t="str">
        <f t="shared" si="66"/>
        <v>Row Not Used</v>
      </c>
      <c r="AN172" s="512" t="e" cm="1">
        <f t="array" ref="AN172">INDEX(BallastFactorTable[Ballast Factor],MATCH(1,(BallastFactorTable[Fixture Class]=D172)*(BallastFactorTable[Fixture Category]=E172)*(BallastFactorTable[Fixture Sub-category]=F172),0))</f>
        <v>#N/A</v>
      </c>
      <c r="AO172" s="143" t="str">
        <f t="shared" si="79"/>
        <v/>
      </c>
      <c r="AP172" s="501" t="e" cm="1">
        <f t="array" ref="AP172">INDEX(BallastFactorTable[Wattage Range Name],MATCH(1,(BallastFactorTable[Fixture Class]=D172)*(BallastFactorTable[Fixture Category]=E172)*(BallastFactorTable[Fixture Sub-category]=F172),0))</f>
        <v>#N/A</v>
      </c>
      <c r="AQ172" s="515" t="str">
        <f t="shared" ca="1" si="67"/>
        <v>Okay</v>
      </c>
      <c r="AR172" s="512">
        <f t="shared" si="68"/>
        <v>0</v>
      </c>
      <c r="AS172" s="511" t="str">
        <f>IF(OR(Measures!AM172="Row Not Used",Measures!C172="Controls Only",Measures!C172="Decommissioning"),"",_xlfn.CONCAT(P172," ",Q172))</f>
        <v/>
      </c>
      <c r="AT172" s="264" t="str">
        <f t="shared" si="69"/>
        <v>None</v>
      </c>
      <c r="AU172" s="229">
        <f>IF(OR(AM172="Row Not Used",AM172="Controls Only"),0,INDEX(IncentiveRateTable[Incentive Rate],MATCH(AT172,IncentiveRateTable[Incentive Name],0)))</f>
        <v>0</v>
      </c>
      <c r="AV172" s="133" t="str">
        <f>IF(OR(AM172="Row Not Used",AM172="Controls Only"),"None",INDEX(IncentiveRateTable[Incentive Unit],MATCH(AT172,IncentiveRateTable[Incentive Name],0)))</f>
        <v>None</v>
      </c>
      <c r="AW172" s="578">
        <f t="shared" si="80"/>
        <v>0</v>
      </c>
      <c r="AX172" s="264" t="str">
        <f t="shared" si="70"/>
        <v>None</v>
      </c>
      <c r="AY172" s="229">
        <f>IF(OR(AM172="Row Not Used",AM172="Fixtures Only",AM172="Decommissioning"),0,INDEX(IncentiveRateTable[Incentive Rate],MATCH(AX172,IncentiveRateTable[Incentive Name],0)))</f>
        <v>0</v>
      </c>
      <c r="AZ172" s="133" t="str">
        <f>IF(OR(AM172="Row Not Used",AM172="Fixtures Only",AM172="Decommissioning"),"None",INDEX(IncentiveRateTable[Incentive Unit],MATCH(AX172,IncentiveRateTable[Incentive Name],0)))</f>
        <v>None</v>
      </c>
      <c r="BA172" s="465">
        <f t="shared" si="71"/>
        <v>0</v>
      </c>
      <c r="BB172" s="264" t="e" cm="1">
        <f t="array" ref="BB172">INDEX(BallastFactorTable[Commercial BPA Reference Number],MATCH(1,(BallastFactorTable[Fixture Class]=J172)*(BallastFactorTable[Fixture Category]=K172)*(BallastFactorTable[Fixture Sub-category]=L172),0))</f>
        <v>#N/A</v>
      </c>
      <c r="BC172" s="133" t="e" cm="1">
        <f t="array" ref="BC172">INDEX(BallastFactorTable[Industrial BPA Reference Number],MATCH(1,(BallastFactorTable[Fixture Class]=J172)*(BallastFactorTable[Fixture Category]=K172)*(BallastFactorTable[Fixture Sub-category]=L172),0))</f>
        <v>#N/A</v>
      </c>
      <c r="BD172" s="264" t="str">
        <f t="shared" si="72"/>
        <v>Sector is blank</v>
      </c>
      <c r="BE172" s="269" t="str">
        <f>IF(ISBLANK(SectorField),"Sector is blank",IF(AM172="Row Not Used","",IF(OR(R172="No Controls",ISBLANK(R172)),"",INDEX(ControlsBPARefNoTable[Reference Number],MATCH(SectorField,ControlsBPARefNoTable[Sector],0)))))</f>
        <v>Sector is blank</v>
      </c>
      <c r="BF172" s="530" t="str">
        <f t="shared" si="73"/>
        <v/>
      </c>
      <c r="BG172" s="132" t="str">
        <f t="shared" si="74"/>
        <v/>
      </c>
      <c r="BH172" s="531" t="str">
        <f t="shared" si="75"/>
        <v/>
      </c>
      <c r="BI172" s="532"/>
      <c r="BJ172" s="538" t="str">
        <f t="shared" si="81"/>
        <v/>
      </c>
      <c r="BK172" s="539" t="str">
        <f t="shared" si="82"/>
        <v/>
      </c>
      <c r="BL172" s="547" t="str">
        <f t="shared" si="83"/>
        <v/>
      </c>
    </row>
    <row r="173" spans="1:64" x14ac:dyDescent="0.3">
      <c r="A173" s="133">
        <v>166</v>
      </c>
      <c r="B173" s="294"/>
      <c r="C173" s="313"/>
      <c r="D173" s="292"/>
      <c r="E173" s="284"/>
      <c r="F173" s="284"/>
      <c r="G173" s="295"/>
      <c r="H173" s="296"/>
      <c r="I173" s="297"/>
      <c r="J173" s="292"/>
      <c r="K173" s="284"/>
      <c r="L173" s="284"/>
      <c r="M173" s="295"/>
      <c r="N173" s="296"/>
      <c r="O173" s="296"/>
      <c r="P173" s="284"/>
      <c r="Q173" s="298"/>
      <c r="R173" s="292"/>
      <c r="S173" s="299"/>
      <c r="T173" s="300"/>
      <c r="U173" s="317" t="str">
        <f t="shared" si="57"/>
        <v/>
      </c>
      <c r="V173" s="301"/>
      <c r="W173" s="136" t="str">
        <f t="shared" si="58"/>
        <v/>
      </c>
      <c r="X173" s="588" t="str">
        <f t="shared" si="76"/>
        <v/>
      </c>
      <c r="Y173" s="580"/>
      <c r="Z173" s="251" t="str">
        <f t="shared" si="59"/>
        <v/>
      </c>
      <c r="AA173" s="138" t="str">
        <f t="shared" si="84"/>
        <v/>
      </c>
      <c r="AB173" s="243" t="str">
        <f t="shared" si="77"/>
        <v/>
      </c>
      <c r="AC173" s="141" t="str">
        <f t="shared" si="60"/>
        <v/>
      </c>
      <c r="AD173" s="138" t="str">
        <f t="shared" si="78"/>
        <v/>
      </c>
      <c r="AE173" s="243" t="str">
        <f t="shared" si="61"/>
        <v/>
      </c>
      <c r="AF173" s="342" t="str">
        <f>IF(AM173="Row Not Used","",INDEX(SpaceTable[Annual Hours],(MATCH(B173,SpaceTable[Space Name Concatenated Helper],0))))</f>
        <v/>
      </c>
      <c r="AG173" s="205" t="str">
        <f t="shared" si="62"/>
        <v/>
      </c>
      <c r="AH173" s="234" t="str">
        <f t="shared" si="63"/>
        <v/>
      </c>
      <c r="AI173" s="205" t="str">
        <f t="shared" si="64"/>
        <v/>
      </c>
      <c r="AJ173" s="234" t="str">
        <f t="shared" si="65"/>
        <v/>
      </c>
      <c r="AK173" s="144" t="str">
        <f>IF(AM173="Row Not Used","",INDEX(SpaceTable[Row],(MATCH(B173,SpaceTable[Space Name Concatenated Helper],0))))</f>
        <v/>
      </c>
      <c r="AL173" s="238" t="str">
        <f>IF(AM173="Row Not Used","",INDEX(SpaceTable[HVAC Factor],(MATCH(B173,SpaceTable[Space Name Concatenated Helper],0))))</f>
        <v/>
      </c>
      <c r="AM173" s="520" t="str">
        <f t="shared" si="66"/>
        <v>Row Not Used</v>
      </c>
      <c r="AN173" s="512" t="e" cm="1">
        <f t="array" ref="AN173">INDEX(BallastFactorTable[Ballast Factor],MATCH(1,(BallastFactorTable[Fixture Class]=D173)*(BallastFactorTable[Fixture Category]=E173)*(BallastFactorTable[Fixture Sub-category]=F173),0))</f>
        <v>#N/A</v>
      </c>
      <c r="AO173" s="143" t="str">
        <f t="shared" si="79"/>
        <v/>
      </c>
      <c r="AP173" s="501" t="e" cm="1">
        <f t="array" ref="AP173">INDEX(BallastFactorTable[Wattage Range Name],MATCH(1,(BallastFactorTable[Fixture Class]=D173)*(BallastFactorTable[Fixture Category]=E173)*(BallastFactorTable[Fixture Sub-category]=F173),0))</f>
        <v>#N/A</v>
      </c>
      <c r="AQ173" s="515" t="str">
        <f t="shared" ca="1" si="67"/>
        <v>Okay</v>
      </c>
      <c r="AR173" s="512">
        <f t="shared" si="68"/>
        <v>0</v>
      </c>
      <c r="AS173" s="511" t="str">
        <f>IF(OR(Measures!AM173="Row Not Used",Measures!C173="Controls Only",Measures!C173="Decommissioning"),"",_xlfn.CONCAT(P173," ",Q173))</f>
        <v/>
      </c>
      <c r="AT173" s="264" t="str">
        <f t="shared" si="69"/>
        <v>None</v>
      </c>
      <c r="AU173" s="229">
        <f>IF(OR(AM173="Row Not Used",AM173="Controls Only"),0,INDEX(IncentiveRateTable[Incentive Rate],MATCH(AT173,IncentiveRateTable[Incentive Name],0)))</f>
        <v>0</v>
      </c>
      <c r="AV173" s="133" t="str">
        <f>IF(OR(AM173="Row Not Used",AM173="Controls Only"),"None",INDEX(IncentiveRateTable[Incentive Unit],MATCH(AT173,IncentiveRateTable[Incentive Name],0)))</f>
        <v>None</v>
      </c>
      <c r="AW173" s="578">
        <f t="shared" si="80"/>
        <v>0</v>
      </c>
      <c r="AX173" s="264" t="str">
        <f t="shared" si="70"/>
        <v>None</v>
      </c>
      <c r="AY173" s="229">
        <f>IF(OR(AM173="Row Not Used",AM173="Fixtures Only",AM173="Decommissioning"),0,INDEX(IncentiveRateTable[Incentive Rate],MATCH(AX173,IncentiveRateTable[Incentive Name],0)))</f>
        <v>0</v>
      </c>
      <c r="AZ173" s="133" t="str">
        <f>IF(OR(AM173="Row Not Used",AM173="Fixtures Only",AM173="Decommissioning"),"None",INDEX(IncentiveRateTable[Incentive Unit],MATCH(AX173,IncentiveRateTable[Incentive Name],0)))</f>
        <v>None</v>
      </c>
      <c r="BA173" s="465">
        <f t="shared" si="71"/>
        <v>0</v>
      </c>
      <c r="BB173" s="264" t="e" cm="1">
        <f t="array" ref="BB173">INDEX(BallastFactorTable[Commercial BPA Reference Number],MATCH(1,(BallastFactorTable[Fixture Class]=J173)*(BallastFactorTable[Fixture Category]=K173)*(BallastFactorTable[Fixture Sub-category]=L173),0))</f>
        <v>#N/A</v>
      </c>
      <c r="BC173" s="133" t="e" cm="1">
        <f t="array" ref="BC173">INDEX(BallastFactorTable[Industrial BPA Reference Number],MATCH(1,(BallastFactorTable[Fixture Class]=J173)*(BallastFactorTable[Fixture Category]=K173)*(BallastFactorTable[Fixture Sub-category]=L173),0))</f>
        <v>#N/A</v>
      </c>
      <c r="BD173" s="264" t="str">
        <f t="shared" si="72"/>
        <v>Sector is blank</v>
      </c>
      <c r="BE173" s="269" t="str">
        <f>IF(ISBLANK(SectorField),"Sector is blank",IF(AM173="Row Not Used","",IF(OR(R173="No Controls",ISBLANK(R173)),"",INDEX(ControlsBPARefNoTable[Reference Number],MATCH(SectorField,ControlsBPARefNoTable[Sector],0)))))</f>
        <v>Sector is blank</v>
      </c>
      <c r="BF173" s="530" t="str">
        <f t="shared" si="73"/>
        <v/>
      </c>
      <c r="BG173" s="132" t="str">
        <f t="shared" si="74"/>
        <v/>
      </c>
      <c r="BH173" s="531" t="str">
        <f t="shared" si="75"/>
        <v/>
      </c>
      <c r="BI173" s="532"/>
      <c r="BJ173" s="538" t="str">
        <f t="shared" si="81"/>
        <v/>
      </c>
      <c r="BK173" s="539" t="str">
        <f t="shared" si="82"/>
        <v/>
      </c>
      <c r="BL173" s="547" t="str">
        <f t="shared" si="83"/>
        <v/>
      </c>
    </row>
    <row r="174" spans="1:64" x14ac:dyDescent="0.3">
      <c r="A174" s="133">
        <v>167</v>
      </c>
      <c r="B174" s="294"/>
      <c r="C174" s="313"/>
      <c r="D174" s="292"/>
      <c r="E174" s="284"/>
      <c r="F174" s="284"/>
      <c r="G174" s="295"/>
      <c r="H174" s="296"/>
      <c r="I174" s="297"/>
      <c r="J174" s="292"/>
      <c r="K174" s="284"/>
      <c r="L174" s="284"/>
      <c r="M174" s="295"/>
      <c r="N174" s="296"/>
      <c r="O174" s="296"/>
      <c r="P174" s="284"/>
      <c r="Q174" s="298"/>
      <c r="R174" s="292"/>
      <c r="S174" s="299"/>
      <c r="T174" s="300"/>
      <c r="U174" s="317" t="str">
        <f t="shared" si="57"/>
        <v/>
      </c>
      <c r="V174" s="301"/>
      <c r="W174" s="137" t="str">
        <f t="shared" si="58"/>
        <v/>
      </c>
      <c r="X174" s="589" t="str">
        <f t="shared" si="76"/>
        <v/>
      </c>
      <c r="Y174" s="581"/>
      <c r="Z174" s="251" t="str">
        <f t="shared" si="59"/>
        <v/>
      </c>
      <c r="AA174" s="138" t="str">
        <f t="shared" si="84"/>
        <v/>
      </c>
      <c r="AB174" s="243" t="str">
        <f t="shared" si="77"/>
        <v/>
      </c>
      <c r="AC174" s="141" t="str">
        <f t="shared" si="60"/>
        <v/>
      </c>
      <c r="AD174" s="138" t="str">
        <f t="shared" si="78"/>
        <v/>
      </c>
      <c r="AE174" s="243" t="str">
        <f t="shared" si="61"/>
        <v/>
      </c>
      <c r="AF174" s="342" t="str">
        <f>IF(AM174="Row Not Used","",INDEX(SpaceTable[Annual Hours],(MATCH(B174,SpaceTable[Space Name Concatenated Helper],0))))</f>
        <v/>
      </c>
      <c r="AG174" s="205" t="str">
        <f t="shared" si="62"/>
        <v/>
      </c>
      <c r="AH174" s="234" t="str">
        <f t="shared" si="63"/>
        <v/>
      </c>
      <c r="AI174" s="205" t="str">
        <f t="shared" si="64"/>
        <v/>
      </c>
      <c r="AJ174" s="234" t="str">
        <f t="shared" si="65"/>
        <v/>
      </c>
      <c r="AK174" s="144" t="str">
        <f>IF(AM174="Row Not Used","",INDEX(SpaceTable[Row],(MATCH(B174,SpaceTable[Space Name Concatenated Helper],0))))</f>
        <v/>
      </c>
      <c r="AL174" s="238" t="str">
        <f>IF(AM174="Row Not Used","",INDEX(SpaceTable[HVAC Factor],(MATCH(B174,SpaceTable[Space Name Concatenated Helper],0))))</f>
        <v/>
      </c>
      <c r="AM174" s="520" t="str">
        <f t="shared" si="66"/>
        <v>Row Not Used</v>
      </c>
      <c r="AN174" s="512" t="e" cm="1">
        <f t="array" ref="AN174">INDEX(BallastFactorTable[Ballast Factor],MATCH(1,(BallastFactorTable[Fixture Class]=D174)*(BallastFactorTable[Fixture Category]=E174)*(BallastFactorTable[Fixture Sub-category]=F174),0))</f>
        <v>#N/A</v>
      </c>
      <c r="AO174" s="143" t="str">
        <f t="shared" si="79"/>
        <v/>
      </c>
      <c r="AP174" s="501" t="e" cm="1">
        <f t="array" ref="AP174">INDEX(BallastFactorTable[Wattage Range Name],MATCH(1,(BallastFactorTable[Fixture Class]=D174)*(BallastFactorTable[Fixture Category]=E174)*(BallastFactorTable[Fixture Sub-category]=F174),0))</f>
        <v>#N/A</v>
      </c>
      <c r="AQ174" s="515" t="str">
        <f t="shared" ca="1" si="67"/>
        <v>Okay</v>
      </c>
      <c r="AR174" s="512">
        <f t="shared" si="68"/>
        <v>0</v>
      </c>
      <c r="AS174" s="511" t="str">
        <f>IF(OR(Measures!AM174="Row Not Used",Measures!C174="Controls Only",Measures!C174="Decommissioning"),"",_xlfn.CONCAT(P174," ",Q174))</f>
        <v/>
      </c>
      <c r="AT174" s="264" t="str">
        <f t="shared" si="69"/>
        <v>None</v>
      </c>
      <c r="AU174" s="229">
        <f>IF(OR(AM174="Row Not Used",AM174="Controls Only"),0,INDEX(IncentiveRateTable[Incentive Rate],MATCH(AT174,IncentiveRateTable[Incentive Name],0)))</f>
        <v>0</v>
      </c>
      <c r="AV174" s="133" t="str">
        <f>IF(OR(AM174="Row Not Used",AM174="Controls Only"),"None",INDEX(IncentiveRateTable[Incentive Unit],MATCH(AT174,IncentiveRateTable[Incentive Name],0)))</f>
        <v>None</v>
      </c>
      <c r="AW174" s="578">
        <f t="shared" si="80"/>
        <v>0</v>
      </c>
      <c r="AX174" s="264" t="str">
        <f t="shared" si="70"/>
        <v>None</v>
      </c>
      <c r="AY174" s="229">
        <f>IF(OR(AM174="Row Not Used",AM174="Fixtures Only",AM174="Decommissioning"),0,INDEX(IncentiveRateTable[Incentive Rate],MATCH(AX174,IncentiveRateTable[Incentive Name],0)))</f>
        <v>0</v>
      </c>
      <c r="AZ174" s="133" t="str">
        <f>IF(OR(AM174="Row Not Used",AM174="Fixtures Only",AM174="Decommissioning"),"None",INDEX(IncentiveRateTable[Incentive Unit],MATCH(AX174,IncentiveRateTable[Incentive Name],0)))</f>
        <v>None</v>
      </c>
      <c r="BA174" s="465">
        <f t="shared" si="71"/>
        <v>0</v>
      </c>
      <c r="BB174" s="264" t="e" cm="1">
        <f t="array" ref="BB174">INDEX(BallastFactorTable[Commercial BPA Reference Number],MATCH(1,(BallastFactorTable[Fixture Class]=J174)*(BallastFactorTable[Fixture Category]=K174)*(BallastFactorTable[Fixture Sub-category]=L174),0))</f>
        <v>#N/A</v>
      </c>
      <c r="BC174" s="133" t="e" cm="1">
        <f t="array" ref="BC174">INDEX(BallastFactorTable[Industrial BPA Reference Number],MATCH(1,(BallastFactorTable[Fixture Class]=J174)*(BallastFactorTable[Fixture Category]=K174)*(BallastFactorTable[Fixture Sub-category]=L174),0))</f>
        <v>#N/A</v>
      </c>
      <c r="BD174" s="264" t="str">
        <f t="shared" si="72"/>
        <v>Sector is blank</v>
      </c>
      <c r="BE174" s="269" t="str">
        <f>IF(ISBLANK(SectorField),"Sector is blank",IF(AM174="Row Not Used","",IF(OR(R174="No Controls",ISBLANK(R174)),"",INDEX(ControlsBPARefNoTable[Reference Number],MATCH(SectorField,ControlsBPARefNoTable[Sector],0)))))</f>
        <v>Sector is blank</v>
      </c>
      <c r="BF174" s="530" t="str">
        <f t="shared" si="73"/>
        <v/>
      </c>
      <c r="BG174" s="132" t="str">
        <f t="shared" si="74"/>
        <v/>
      </c>
      <c r="BH174" s="531" t="str">
        <f t="shared" si="75"/>
        <v/>
      </c>
      <c r="BI174" s="532"/>
      <c r="BJ174" s="538" t="str">
        <f t="shared" si="81"/>
        <v/>
      </c>
      <c r="BK174" s="539" t="str">
        <f t="shared" si="82"/>
        <v/>
      </c>
      <c r="BL174" s="547" t="str">
        <f t="shared" si="83"/>
        <v/>
      </c>
    </row>
    <row r="175" spans="1:64" x14ac:dyDescent="0.3">
      <c r="A175" s="133">
        <v>168</v>
      </c>
      <c r="B175" s="294"/>
      <c r="C175" s="313"/>
      <c r="D175" s="292"/>
      <c r="E175" s="284"/>
      <c r="F175" s="284"/>
      <c r="G175" s="295"/>
      <c r="H175" s="296"/>
      <c r="I175" s="297"/>
      <c r="J175" s="292"/>
      <c r="K175" s="284"/>
      <c r="L175" s="284"/>
      <c r="M175" s="295"/>
      <c r="N175" s="296"/>
      <c r="O175" s="296"/>
      <c r="P175" s="284"/>
      <c r="Q175" s="298"/>
      <c r="R175" s="292"/>
      <c r="S175" s="299"/>
      <c r="T175" s="300"/>
      <c r="U175" s="317" t="str">
        <f t="shared" si="57"/>
        <v/>
      </c>
      <c r="V175" s="301"/>
      <c r="W175" s="136" t="str">
        <f t="shared" si="58"/>
        <v/>
      </c>
      <c r="X175" s="588" t="str">
        <f t="shared" si="76"/>
        <v/>
      </c>
      <c r="Y175" s="580"/>
      <c r="Z175" s="251" t="str">
        <f t="shared" si="59"/>
        <v/>
      </c>
      <c r="AA175" s="138" t="str">
        <f t="shared" si="84"/>
        <v/>
      </c>
      <c r="AB175" s="243" t="str">
        <f t="shared" si="77"/>
        <v/>
      </c>
      <c r="AC175" s="141" t="str">
        <f t="shared" si="60"/>
        <v/>
      </c>
      <c r="AD175" s="138" t="str">
        <f t="shared" si="78"/>
        <v/>
      </c>
      <c r="AE175" s="243" t="str">
        <f t="shared" si="61"/>
        <v/>
      </c>
      <c r="AF175" s="342" t="str">
        <f>IF(AM175="Row Not Used","",INDEX(SpaceTable[Annual Hours],(MATCH(B175,SpaceTable[Space Name Concatenated Helper],0))))</f>
        <v/>
      </c>
      <c r="AG175" s="205" t="str">
        <f t="shared" si="62"/>
        <v/>
      </c>
      <c r="AH175" s="234" t="str">
        <f t="shared" si="63"/>
        <v/>
      </c>
      <c r="AI175" s="205" t="str">
        <f t="shared" si="64"/>
        <v/>
      </c>
      <c r="AJ175" s="234" t="str">
        <f t="shared" si="65"/>
        <v/>
      </c>
      <c r="AK175" s="144" t="str">
        <f>IF(AM175="Row Not Used","",INDEX(SpaceTable[Row],(MATCH(B175,SpaceTable[Space Name Concatenated Helper],0))))</f>
        <v/>
      </c>
      <c r="AL175" s="238" t="str">
        <f>IF(AM175="Row Not Used","",INDEX(SpaceTable[HVAC Factor],(MATCH(B175,SpaceTable[Space Name Concatenated Helper],0))))</f>
        <v/>
      </c>
      <c r="AM175" s="520" t="str">
        <f t="shared" si="66"/>
        <v>Row Not Used</v>
      </c>
      <c r="AN175" s="512" t="e" cm="1">
        <f t="array" ref="AN175">INDEX(BallastFactorTable[Ballast Factor],MATCH(1,(BallastFactorTable[Fixture Class]=D175)*(BallastFactorTable[Fixture Category]=E175)*(BallastFactorTable[Fixture Sub-category]=F175),0))</f>
        <v>#N/A</v>
      </c>
      <c r="AO175" s="143" t="str">
        <f t="shared" si="79"/>
        <v/>
      </c>
      <c r="AP175" s="501" t="e" cm="1">
        <f t="array" ref="AP175">INDEX(BallastFactorTable[Wattage Range Name],MATCH(1,(BallastFactorTable[Fixture Class]=D175)*(BallastFactorTable[Fixture Category]=E175)*(BallastFactorTable[Fixture Sub-category]=F175),0))</f>
        <v>#N/A</v>
      </c>
      <c r="AQ175" s="515" t="str">
        <f t="shared" ca="1" si="67"/>
        <v>Okay</v>
      </c>
      <c r="AR175" s="512">
        <f t="shared" si="68"/>
        <v>0</v>
      </c>
      <c r="AS175" s="511" t="str">
        <f>IF(OR(Measures!AM175="Row Not Used",Measures!C175="Controls Only",Measures!C175="Decommissioning"),"",_xlfn.CONCAT(P175," ",Q175))</f>
        <v/>
      </c>
      <c r="AT175" s="264" t="str">
        <f t="shared" si="69"/>
        <v>None</v>
      </c>
      <c r="AU175" s="229">
        <f>IF(OR(AM175="Row Not Used",AM175="Controls Only"),0,INDEX(IncentiveRateTable[Incentive Rate],MATCH(AT175,IncentiveRateTable[Incentive Name],0)))</f>
        <v>0</v>
      </c>
      <c r="AV175" s="133" t="str">
        <f>IF(OR(AM175="Row Not Used",AM175="Controls Only"),"None",INDEX(IncentiveRateTable[Incentive Unit],MATCH(AT175,IncentiveRateTable[Incentive Name],0)))</f>
        <v>None</v>
      </c>
      <c r="AW175" s="578">
        <f t="shared" si="80"/>
        <v>0</v>
      </c>
      <c r="AX175" s="264" t="str">
        <f t="shared" si="70"/>
        <v>None</v>
      </c>
      <c r="AY175" s="229">
        <f>IF(OR(AM175="Row Not Used",AM175="Fixtures Only",AM175="Decommissioning"),0,INDEX(IncentiveRateTable[Incentive Rate],MATCH(AX175,IncentiveRateTable[Incentive Name],0)))</f>
        <v>0</v>
      </c>
      <c r="AZ175" s="133" t="str">
        <f>IF(OR(AM175="Row Not Used",AM175="Fixtures Only",AM175="Decommissioning"),"None",INDEX(IncentiveRateTable[Incentive Unit],MATCH(AX175,IncentiveRateTable[Incentive Name],0)))</f>
        <v>None</v>
      </c>
      <c r="BA175" s="465">
        <f t="shared" si="71"/>
        <v>0</v>
      </c>
      <c r="BB175" s="264" t="e" cm="1">
        <f t="array" ref="BB175">INDEX(BallastFactorTable[Commercial BPA Reference Number],MATCH(1,(BallastFactorTable[Fixture Class]=J175)*(BallastFactorTable[Fixture Category]=K175)*(BallastFactorTable[Fixture Sub-category]=L175),0))</f>
        <v>#N/A</v>
      </c>
      <c r="BC175" s="133" t="e" cm="1">
        <f t="array" ref="BC175">INDEX(BallastFactorTable[Industrial BPA Reference Number],MATCH(1,(BallastFactorTable[Fixture Class]=J175)*(BallastFactorTable[Fixture Category]=K175)*(BallastFactorTable[Fixture Sub-category]=L175),0))</f>
        <v>#N/A</v>
      </c>
      <c r="BD175" s="264" t="str">
        <f t="shared" si="72"/>
        <v>Sector is blank</v>
      </c>
      <c r="BE175" s="269" t="str">
        <f>IF(ISBLANK(SectorField),"Sector is blank",IF(AM175="Row Not Used","",IF(OR(R175="No Controls",ISBLANK(R175)),"",INDEX(ControlsBPARefNoTable[Reference Number],MATCH(SectorField,ControlsBPARefNoTable[Sector],0)))))</f>
        <v>Sector is blank</v>
      </c>
      <c r="BF175" s="530" t="str">
        <f t="shared" si="73"/>
        <v/>
      </c>
      <c r="BG175" s="132" t="str">
        <f t="shared" si="74"/>
        <v/>
      </c>
      <c r="BH175" s="531" t="str">
        <f t="shared" si="75"/>
        <v/>
      </c>
      <c r="BI175" s="532"/>
      <c r="BJ175" s="538" t="str">
        <f t="shared" si="81"/>
        <v/>
      </c>
      <c r="BK175" s="539" t="str">
        <f t="shared" si="82"/>
        <v/>
      </c>
      <c r="BL175" s="547" t="str">
        <f t="shared" si="83"/>
        <v/>
      </c>
    </row>
    <row r="176" spans="1:64" x14ac:dyDescent="0.3">
      <c r="A176" s="133">
        <v>169</v>
      </c>
      <c r="B176" s="294"/>
      <c r="C176" s="313"/>
      <c r="D176" s="292"/>
      <c r="E176" s="284"/>
      <c r="F176" s="284"/>
      <c r="G176" s="295"/>
      <c r="H176" s="296"/>
      <c r="I176" s="297"/>
      <c r="J176" s="292"/>
      <c r="K176" s="284"/>
      <c r="L176" s="284"/>
      <c r="M176" s="295"/>
      <c r="N176" s="296"/>
      <c r="O176" s="296"/>
      <c r="P176" s="284"/>
      <c r="Q176" s="298"/>
      <c r="R176" s="292"/>
      <c r="S176" s="299"/>
      <c r="T176" s="300"/>
      <c r="U176" s="317" t="str">
        <f t="shared" si="57"/>
        <v/>
      </c>
      <c r="V176" s="301"/>
      <c r="W176" s="137" t="str">
        <f t="shared" si="58"/>
        <v/>
      </c>
      <c r="X176" s="589" t="str">
        <f t="shared" si="76"/>
        <v/>
      </c>
      <c r="Y176" s="581"/>
      <c r="Z176" s="251" t="str">
        <f t="shared" si="59"/>
        <v/>
      </c>
      <c r="AA176" s="138" t="str">
        <f t="shared" si="84"/>
        <v/>
      </c>
      <c r="AB176" s="243" t="str">
        <f t="shared" si="77"/>
        <v/>
      </c>
      <c r="AC176" s="141" t="str">
        <f t="shared" si="60"/>
        <v/>
      </c>
      <c r="AD176" s="138" t="str">
        <f t="shared" si="78"/>
        <v/>
      </c>
      <c r="AE176" s="243" t="str">
        <f t="shared" si="61"/>
        <v/>
      </c>
      <c r="AF176" s="342" t="str">
        <f>IF(AM176="Row Not Used","",INDEX(SpaceTable[Annual Hours],(MATCH(B176,SpaceTable[Space Name Concatenated Helper],0))))</f>
        <v/>
      </c>
      <c r="AG176" s="205" t="str">
        <f t="shared" si="62"/>
        <v/>
      </c>
      <c r="AH176" s="234" t="str">
        <f t="shared" si="63"/>
        <v/>
      </c>
      <c r="AI176" s="205" t="str">
        <f t="shared" si="64"/>
        <v/>
      </c>
      <c r="AJ176" s="234" t="str">
        <f t="shared" si="65"/>
        <v/>
      </c>
      <c r="AK176" s="144" t="str">
        <f>IF(AM176="Row Not Used","",INDEX(SpaceTable[Row],(MATCH(B176,SpaceTable[Space Name Concatenated Helper],0))))</f>
        <v/>
      </c>
      <c r="AL176" s="238" t="str">
        <f>IF(AM176="Row Not Used","",INDEX(SpaceTable[HVAC Factor],(MATCH(B176,SpaceTable[Space Name Concatenated Helper],0))))</f>
        <v/>
      </c>
      <c r="AM176" s="520" t="str">
        <f t="shared" si="66"/>
        <v>Row Not Used</v>
      </c>
      <c r="AN176" s="512" t="e" cm="1">
        <f t="array" ref="AN176">INDEX(BallastFactorTable[Ballast Factor],MATCH(1,(BallastFactorTable[Fixture Class]=D176)*(BallastFactorTable[Fixture Category]=E176)*(BallastFactorTable[Fixture Sub-category]=F176),0))</f>
        <v>#N/A</v>
      </c>
      <c r="AO176" s="143" t="str">
        <f t="shared" si="79"/>
        <v/>
      </c>
      <c r="AP176" s="501" t="e" cm="1">
        <f t="array" ref="AP176">INDEX(BallastFactorTable[Wattage Range Name],MATCH(1,(BallastFactorTable[Fixture Class]=D176)*(BallastFactorTable[Fixture Category]=E176)*(BallastFactorTable[Fixture Sub-category]=F176),0))</f>
        <v>#N/A</v>
      </c>
      <c r="AQ176" s="515" t="str">
        <f t="shared" ca="1" si="67"/>
        <v>Okay</v>
      </c>
      <c r="AR176" s="512">
        <f t="shared" si="68"/>
        <v>0</v>
      </c>
      <c r="AS176" s="511" t="str">
        <f>IF(OR(Measures!AM176="Row Not Used",Measures!C176="Controls Only",Measures!C176="Decommissioning"),"",_xlfn.CONCAT(P176," ",Q176))</f>
        <v/>
      </c>
      <c r="AT176" s="264" t="str">
        <f t="shared" si="69"/>
        <v>None</v>
      </c>
      <c r="AU176" s="229">
        <f>IF(OR(AM176="Row Not Used",AM176="Controls Only"),0,INDEX(IncentiveRateTable[Incentive Rate],MATCH(AT176,IncentiveRateTable[Incentive Name],0)))</f>
        <v>0</v>
      </c>
      <c r="AV176" s="133" t="str">
        <f>IF(OR(AM176="Row Not Used",AM176="Controls Only"),"None",INDEX(IncentiveRateTable[Incentive Unit],MATCH(AT176,IncentiveRateTable[Incentive Name],0)))</f>
        <v>None</v>
      </c>
      <c r="AW176" s="578">
        <f t="shared" si="80"/>
        <v>0</v>
      </c>
      <c r="AX176" s="264" t="str">
        <f t="shared" si="70"/>
        <v>None</v>
      </c>
      <c r="AY176" s="229">
        <f>IF(OR(AM176="Row Not Used",AM176="Fixtures Only",AM176="Decommissioning"),0,INDEX(IncentiveRateTable[Incentive Rate],MATCH(AX176,IncentiveRateTable[Incentive Name],0)))</f>
        <v>0</v>
      </c>
      <c r="AZ176" s="133" t="str">
        <f>IF(OR(AM176="Row Not Used",AM176="Fixtures Only",AM176="Decommissioning"),"None",INDEX(IncentiveRateTable[Incentive Unit],MATCH(AX176,IncentiveRateTable[Incentive Name],0)))</f>
        <v>None</v>
      </c>
      <c r="BA176" s="465">
        <f t="shared" si="71"/>
        <v>0</v>
      </c>
      <c r="BB176" s="264" t="e" cm="1">
        <f t="array" ref="BB176">INDEX(BallastFactorTable[Commercial BPA Reference Number],MATCH(1,(BallastFactorTable[Fixture Class]=J176)*(BallastFactorTable[Fixture Category]=K176)*(BallastFactorTable[Fixture Sub-category]=L176),0))</f>
        <v>#N/A</v>
      </c>
      <c r="BC176" s="133" t="e" cm="1">
        <f t="array" ref="BC176">INDEX(BallastFactorTable[Industrial BPA Reference Number],MATCH(1,(BallastFactorTable[Fixture Class]=J176)*(BallastFactorTable[Fixture Category]=K176)*(BallastFactorTable[Fixture Sub-category]=L176),0))</f>
        <v>#N/A</v>
      </c>
      <c r="BD176" s="264" t="str">
        <f t="shared" si="72"/>
        <v>Sector is blank</v>
      </c>
      <c r="BE176" s="269" t="str">
        <f>IF(ISBLANK(SectorField),"Sector is blank",IF(AM176="Row Not Used","",IF(OR(R176="No Controls",ISBLANK(R176)),"",INDEX(ControlsBPARefNoTable[Reference Number],MATCH(SectorField,ControlsBPARefNoTable[Sector],0)))))</f>
        <v>Sector is blank</v>
      </c>
      <c r="BF176" s="530" t="str">
        <f t="shared" si="73"/>
        <v/>
      </c>
      <c r="BG176" s="132" t="str">
        <f t="shared" si="74"/>
        <v/>
      </c>
      <c r="BH176" s="531" t="str">
        <f t="shared" si="75"/>
        <v/>
      </c>
      <c r="BI176" s="532"/>
      <c r="BJ176" s="538" t="str">
        <f t="shared" si="81"/>
        <v/>
      </c>
      <c r="BK176" s="539" t="str">
        <f t="shared" si="82"/>
        <v/>
      </c>
      <c r="BL176" s="547" t="str">
        <f t="shared" si="83"/>
        <v/>
      </c>
    </row>
    <row r="177" spans="1:64" x14ac:dyDescent="0.3">
      <c r="A177" s="133">
        <v>170</v>
      </c>
      <c r="B177" s="294"/>
      <c r="C177" s="313"/>
      <c r="D177" s="292"/>
      <c r="E177" s="284"/>
      <c r="F177" s="284"/>
      <c r="G177" s="295"/>
      <c r="H177" s="296"/>
      <c r="I177" s="297"/>
      <c r="J177" s="292"/>
      <c r="K177" s="284"/>
      <c r="L177" s="284"/>
      <c r="M177" s="295"/>
      <c r="N177" s="296"/>
      <c r="O177" s="296"/>
      <c r="P177" s="284"/>
      <c r="Q177" s="298"/>
      <c r="R177" s="292"/>
      <c r="S177" s="299"/>
      <c r="T177" s="300"/>
      <c r="U177" s="317" t="str">
        <f t="shared" si="57"/>
        <v/>
      </c>
      <c r="V177" s="301"/>
      <c r="W177" s="136" t="str">
        <f t="shared" si="58"/>
        <v/>
      </c>
      <c r="X177" s="588" t="str">
        <f t="shared" si="76"/>
        <v/>
      </c>
      <c r="Y177" s="580"/>
      <c r="Z177" s="251" t="str">
        <f t="shared" si="59"/>
        <v/>
      </c>
      <c r="AA177" s="138" t="str">
        <f t="shared" si="84"/>
        <v/>
      </c>
      <c r="AB177" s="243" t="str">
        <f t="shared" si="77"/>
        <v/>
      </c>
      <c r="AC177" s="141" t="str">
        <f t="shared" si="60"/>
        <v/>
      </c>
      <c r="AD177" s="138" t="str">
        <f t="shared" si="78"/>
        <v/>
      </c>
      <c r="AE177" s="243" t="str">
        <f t="shared" si="61"/>
        <v/>
      </c>
      <c r="AF177" s="342" t="str">
        <f>IF(AM177="Row Not Used","",INDEX(SpaceTable[Annual Hours],(MATCH(B177,SpaceTable[Space Name Concatenated Helper],0))))</f>
        <v/>
      </c>
      <c r="AG177" s="205" t="str">
        <f t="shared" si="62"/>
        <v/>
      </c>
      <c r="AH177" s="234" t="str">
        <f t="shared" si="63"/>
        <v/>
      </c>
      <c r="AI177" s="205" t="str">
        <f t="shared" si="64"/>
        <v/>
      </c>
      <c r="AJ177" s="234" t="str">
        <f t="shared" si="65"/>
        <v/>
      </c>
      <c r="AK177" s="144" t="str">
        <f>IF(AM177="Row Not Used","",INDEX(SpaceTable[Row],(MATCH(B177,SpaceTable[Space Name Concatenated Helper],0))))</f>
        <v/>
      </c>
      <c r="AL177" s="238" t="str">
        <f>IF(AM177="Row Not Used","",INDEX(SpaceTable[HVAC Factor],(MATCH(B177,SpaceTable[Space Name Concatenated Helper],0))))</f>
        <v/>
      </c>
      <c r="AM177" s="520" t="str">
        <f t="shared" si="66"/>
        <v>Row Not Used</v>
      </c>
      <c r="AN177" s="512" t="e" cm="1">
        <f t="array" ref="AN177">INDEX(BallastFactorTable[Ballast Factor],MATCH(1,(BallastFactorTable[Fixture Class]=D177)*(BallastFactorTable[Fixture Category]=E177)*(BallastFactorTable[Fixture Sub-category]=F177),0))</f>
        <v>#N/A</v>
      </c>
      <c r="AO177" s="143" t="str">
        <f t="shared" si="79"/>
        <v/>
      </c>
      <c r="AP177" s="501" t="e" cm="1">
        <f t="array" ref="AP177">INDEX(BallastFactorTable[Wattage Range Name],MATCH(1,(BallastFactorTable[Fixture Class]=D177)*(BallastFactorTable[Fixture Category]=E177)*(BallastFactorTable[Fixture Sub-category]=F177),0))</f>
        <v>#N/A</v>
      </c>
      <c r="AQ177" s="515" t="str">
        <f t="shared" ca="1" si="67"/>
        <v>Okay</v>
      </c>
      <c r="AR177" s="512">
        <f t="shared" si="68"/>
        <v>0</v>
      </c>
      <c r="AS177" s="511" t="str">
        <f>IF(OR(Measures!AM177="Row Not Used",Measures!C177="Controls Only",Measures!C177="Decommissioning"),"",_xlfn.CONCAT(P177," ",Q177))</f>
        <v/>
      </c>
      <c r="AT177" s="264" t="str">
        <f t="shared" si="69"/>
        <v>None</v>
      </c>
      <c r="AU177" s="229">
        <f>IF(OR(AM177="Row Not Used",AM177="Controls Only"),0,INDEX(IncentiveRateTable[Incentive Rate],MATCH(AT177,IncentiveRateTable[Incentive Name],0)))</f>
        <v>0</v>
      </c>
      <c r="AV177" s="133" t="str">
        <f>IF(OR(AM177="Row Not Used",AM177="Controls Only"),"None",INDEX(IncentiveRateTable[Incentive Unit],MATCH(AT177,IncentiveRateTable[Incentive Name],0)))</f>
        <v>None</v>
      </c>
      <c r="AW177" s="578">
        <f t="shared" si="80"/>
        <v>0</v>
      </c>
      <c r="AX177" s="264" t="str">
        <f t="shared" si="70"/>
        <v>None</v>
      </c>
      <c r="AY177" s="229">
        <f>IF(OR(AM177="Row Not Used",AM177="Fixtures Only",AM177="Decommissioning"),0,INDEX(IncentiveRateTable[Incentive Rate],MATCH(AX177,IncentiveRateTable[Incentive Name],0)))</f>
        <v>0</v>
      </c>
      <c r="AZ177" s="133" t="str">
        <f>IF(OR(AM177="Row Not Used",AM177="Fixtures Only",AM177="Decommissioning"),"None",INDEX(IncentiveRateTable[Incentive Unit],MATCH(AX177,IncentiveRateTable[Incentive Name],0)))</f>
        <v>None</v>
      </c>
      <c r="BA177" s="465">
        <f t="shared" si="71"/>
        <v>0</v>
      </c>
      <c r="BB177" s="264" t="e" cm="1">
        <f t="array" ref="BB177">INDEX(BallastFactorTable[Commercial BPA Reference Number],MATCH(1,(BallastFactorTable[Fixture Class]=J177)*(BallastFactorTable[Fixture Category]=K177)*(BallastFactorTable[Fixture Sub-category]=L177),0))</f>
        <v>#N/A</v>
      </c>
      <c r="BC177" s="133" t="e" cm="1">
        <f t="array" ref="BC177">INDEX(BallastFactorTable[Industrial BPA Reference Number],MATCH(1,(BallastFactorTable[Fixture Class]=J177)*(BallastFactorTable[Fixture Category]=K177)*(BallastFactorTable[Fixture Sub-category]=L177),0))</f>
        <v>#N/A</v>
      </c>
      <c r="BD177" s="264" t="str">
        <f t="shared" si="72"/>
        <v>Sector is blank</v>
      </c>
      <c r="BE177" s="269" t="str">
        <f>IF(ISBLANK(SectorField),"Sector is blank",IF(AM177="Row Not Used","",IF(OR(R177="No Controls",ISBLANK(R177)),"",INDEX(ControlsBPARefNoTable[Reference Number],MATCH(SectorField,ControlsBPARefNoTable[Sector],0)))))</f>
        <v>Sector is blank</v>
      </c>
      <c r="BF177" s="530" t="str">
        <f t="shared" si="73"/>
        <v/>
      </c>
      <c r="BG177" s="132" t="str">
        <f t="shared" si="74"/>
        <v/>
      </c>
      <c r="BH177" s="531" t="str">
        <f t="shared" si="75"/>
        <v/>
      </c>
      <c r="BI177" s="532"/>
      <c r="BJ177" s="538" t="str">
        <f t="shared" si="81"/>
        <v/>
      </c>
      <c r="BK177" s="539" t="str">
        <f t="shared" si="82"/>
        <v/>
      </c>
      <c r="BL177" s="547" t="str">
        <f t="shared" si="83"/>
        <v/>
      </c>
    </row>
    <row r="178" spans="1:64" x14ac:dyDescent="0.3">
      <c r="A178" s="133">
        <v>171</v>
      </c>
      <c r="B178" s="294"/>
      <c r="C178" s="313"/>
      <c r="D178" s="292"/>
      <c r="E178" s="284"/>
      <c r="F178" s="284"/>
      <c r="G178" s="295"/>
      <c r="H178" s="296"/>
      <c r="I178" s="297"/>
      <c r="J178" s="292"/>
      <c r="K178" s="284"/>
      <c r="L178" s="284"/>
      <c r="M178" s="295"/>
      <c r="N178" s="296"/>
      <c r="O178" s="296"/>
      <c r="P178" s="284"/>
      <c r="Q178" s="298"/>
      <c r="R178" s="292"/>
      <c r="S178" s="299"/>
      <c r="T178" s="300"/>
      <c r="U178" s="317" t="str">
        <f t="shared" si="57"/>
        <v/>
      </c>
      <c r="V178" s="301"/>
      <c r="W178" s="137" t="str">
        <f t="shared" si="58"/>
        <v/>
      </c>
      <c r="X178" s="589" t="str">
        <f t="shared" si="76"/>
        <v/>
      </c>
      <c r="Y178" s="581"/>
      <c r="Z178" s="251" t="str">
        <f t="shared" si="59"/>
        <v/>
      </c>
      <c r="AA178" s="138" t="str">
        <f t="shared" si="84"/>
        <v/>
      </c>
      <c r="AB178" s="243" t="str">
        <f t="shared" si="77"/>
        <v/>
      </c>
      <c r="AC178" s="141" t="str">
        <f t="shared" si="60"/>
        <v/>
      </c>
      <c r="AD178" s="138" t="str">
        <f t="shared" si="78"/>
        <v/>
      </c>
      <c r="AE178" s="243" t="str">
        <f t="shared" si="61"/>
        <v/>
      </c>
      <c r="AF178" s="342" t="str">
        <f>IF(AM178="Row Not Used","",INDEX(SpaceTable[Annual Hours],(MATCH(B178,SpaceTable[Space Name Concatenated Helper],0))))</f>
        <v/>
      </c>
      <c r="AG178" s="205" t="str">
        <f t="shared" si="62"/>
        <v/>
      </c>
      <c r="AH178" s="234" t="str">
        <f t="shared" si="63"/>
        <v/>
      </c>
      <c r="AI178" s="205" t="str">
        <f t="shared" si="64"/>
        <v/>
      </c>
      <c r="AJ178" s="234" t="str">
        <f t="shared" si="65"/>
        <v/>
      </c>
      <c r="AK178" s="144" t="str">
        <f>IF(AM178="Row Not Used","",INDEX(SpaceTable[Row],(MATCH(B178,SpaceTable[Space Name Concatenated Helper],0))))</f>
        <v/>
      </c>
      <c r="AL178" s="238" t="str">
        <f>IF(AM178="Row Not Used","",INDEX(SpaceTable[HVAC Factor],(MATCH(B178,SpaceTable[Space Name Concatenated Helper],0))))</f>
        <v/>
      </c>
      <c r="AM178" s="520" t="str">
        <f t="shared" si="66"/>
        <v>Row Not Used</v>
      </c>
      <c r="AN178" s="512" t="e" cm="1">
        <f t="array" ref="AN178">INDEX(BallastFactorTable[Ballast Factor],MATCH(1,(BallastFactorTable[Fixture Class]=D178)*(BallastFactorTable[Fixture Category]=E178)*(BallastFactorTable[Fixture Sub-category]=F178),0))</f>
        <v>#N/A</v>
      </c>
      <c r="AO178" s="143" t="str">
        <f t="shared" si="79"/>
        <v/>
      </c>
      <c r="AP178" s="501" t="e" cm="1">
        <f t="array" ref="AP178">INDEX(BallastFactorTable[Wattage Range Name],MATCH(1,(BallastFactorTable[Fixture Class]=D178)*(BallastFactorTable[Fixture Category]=E178)*(BallastFactorTable[Fixture Sub-category]=F178),0))</f>
        <v>#N/A</v>
      </c>
      <c r="AQ178" s="515" t="str">
        <f t="shared" ca="1" si="67"/>
        <v>Okay</v>
      </c>
      <c r="AR178" s="512">
        <f t="shared" si="68"/>
        <v>0</v>
      </c>
      <c r="AS178" s="511" t="str">
        <f>IF(OR(Measures!AM178="Row Not Used",Measures!C178="Controls Only",Measures!C178="Decommissioning"),"",_xlfn.CONCAT(P178," ",Q178))</f>
        <v/>
      </c>
      <c r="AT178" s="264" t="str">
        <f t="shared" si="69"/>
        <v>None</v>
      </c>
      <c r="AU178" s="229">
        <f>IF(OR(AM178="Row Not Used",AM178="Controls Only"),0,INDEX(IncentiveRateTable[Incentive Rate],MATCH(AT178,IncentiveRateTable[Incentive Name],0)))</f>
        <v>0</v>
      </c>
      <c r="AV178" s="133" t="str">
        <f>IF(OR(AM178="Row Not Used",AM178="Controls Only"),"None",INDEX(IncentiveRateTable[Incentive Unit],MATCH(AT178,IncentiveRateTable[Incentive Name],0)))</f>
        <v>None</v>
      </c>
      <c r="AW178" s="578">
        <f t="shared" si="80"/>
        <v>0</v>
      </c>
      <c r="AX178" s="264" t="str">
        <f t="shared" si="70"/>
        <v>None</v>
      </c>
      <c r="AY178" s="229">
        <f>IF(OR(AM178="Row Not Used",AM178="Fixtures Only",AM178="Decommissioning"),0,INDEX(IncentiveRateTable[Incentive Rate],MATCH(AX178,IncentiveRateTable[Incentive Name],0)))</f>
        <v>0</v>
      </c>
      <c r="AZ178" s="133" t="str">
        <f>IF(OR(AM178="Row Not Used",AM178="Fixtures Only",AM178="Decommissioning"),"None",INDEX(IncentiveRateTable[Incentive Unit],MATCH(AX178,IncentiveRateTable[Incentive Name],0)))</f>
        <v>None</v>
      </c>
      <c r="BA178" s="465">
        <f t="shared" si="71"/>
        <v>0</v>
      </c>
      <c r="BB178" s="264" t="e" cm="1">
        <f t="array" ref="BB178">INDEX(BallastFactorTable[Commercial BPA Reference Number],MATCH(1,(BallastFactorTable[Fixture Class]=J178)*(BallastFactorTable[Fixture Category]=K178)*(BallastFactorTable[Fixture Sub-category]=L178),0))</f>
        <v>#N/A</v>
      </c>
      <c r="BC178" s="133" t="e" cm="1">
        <f t="array" ref="BC178">INDEX(BallastFactorTable[Industrial BPA Reference Number],MATCH(1,(BallastFactorTable[Fixture Class]=J178)*(BallastFactorTable[Fixture Category]=K178)*(BallastFactorTable[Fixture Sub-category]=L178),0))</f>
        <v>#N/A</v>
      </c>
      <c r="BD178" s="264" t="str">
        <f t="shared" si="72"/>
        <v>Sector is blank</v>
      </c>
      <c r="BE178" s="269" t="str">
        <f>IF(ISBLANK(SectorField),"Sector is blank",IF(AM178="Row Not Used","",IF(OR(R178="No Controls",ISBLANK(R178)),"",INDEX(ControlsBPARefNoTable[Reference Number],MATCH(SectorField,ControlsBPARefNoTable[Sector],0)))))</f>
        <v>Sector is blank</v>
      </c>
      <c r="BF178" s="530" t="str">
        <f t="shared" si="73"/>
        <v/>
      </c>
      <c r="BG178" s="132" t="str">
        <f t="shared" si="74"/>
        <v/>
      </c>
      <c r="BH178" s="531" t="str">
        <f t="shared" si="75"/>
        <v/>
      </c>
      <c r="BI178" s="532"/>
      <c r="BJ178" s="538" t="str">
        <f t="shared" si="81"/>
        <v/>
      </c>
      <c r="BK178" s="539" t="str">
        <f t="shared" si="82"/>
        <v/>
      </c>
      <c r="BL178" s="547" t="str">
        <f t="shared" si="83"/>
        <v/>
      </c>
    </row>
    <row r="179" spans="1:64" x14ac:dyDescent="0.3">
      <c r="A179" s="133">
        <v>172</v>
      </c>
      <c r="B179" s="294"/>
      <c r="C179" s="313"/>
      <c r="D179" s="292"/>
      <c r="E179" s="284"/>
      <c r="F179" s="284"/>
      <c r="G179" s="295"/>
      <c r="H179" s="296"/>
      <c r="I179" s="297"/>
      <c r="J179" s="292"/>
      <c r="K179" s="284"/>
      <c r="L179" s="284"/>
      <c r="M179" s="295"/>
      <c r="N179" s="296"/>
      <c r="O179" s="296"/>
      <c r="P179" s="284"/>
      <c r="Q179" s="298"/>
      <c r="R179" s="292"/>
      <c r="S179" s="299"/>
      <c r="T179" s="300"/>
      <c r="U179" s="317" t="str">
        <f t="shared" si="57"/>
        <v/>
      </c>
      <c r="V179" s="301"/>
      <c r="W179" s="136" t="str">
        <f t="shared" si="58"/>
        <v/>
      </c>
      <c r="X179" s="588" t="str">
        <f t="shared" si="76"/>
        <v/>
      </c>
      <c r="Y179" s="580"/>
      <c r="Z179" s="251" t="str">
        <f t="shared" si="59"/>
        <v/>
      </c>
      <c r="AA179" s="138" t="str">
        <f t="shared" si="84"/>
        <v/>
      </c>
      <c r="AB179" s="243" t="str">
        <f t="shared" si="77"/>
        <v/>
      </c>
      <c r="AC179" s="141" t="str">
        <f t="shared" si="60"/>
        <v/>
      </c>
      <c r="AD179" s="138" t="str">
        <f t="shared" si="78"/>
        <v/>
      </c>
      <c r="AE179" s="243" t="str">
        <f t="shared" si="61"/>
        <v/>
      </c>
      <c r="AF179" s="342" t="str">
        <f>IF(AM179="Row Not Used","",INDEX(SpaceTable[Annual Hours],(MATCH(B179,SpaceTable[Space Name Concatenated Helper],0))))</f>
        <v/>
      </c>
      <c r="AG179" s="205" t="str">
        <f t="shared" si="62"/>
        <v/>
      </c>
      <c r="AH179" s="234" t="str">
        <f t="shared" si="63"/>
        <v/>
      </c>
      <c r="AI179" s="205" t="str">
        <f t="shared" si="64"/>
        <v/>
      </c>
      <c r="AJ179" s="234" t="str">
        <f t="shared" si="65"/>
        <v/>
      </c>
      <c r="AK179" s="144" t="str">
        <f>IF(AM179="Row Not Used","",INDEX(SpaceTable[Row],(MATCH(B179,SpaceTable[Space Name Concatenated Helper],0))))</f>
        <v/>
      </c>
      <c r="AL179" s="238" t="str">
        <f>IF(AM179="Row Not Used","",INDEX(SpaceTable[HVAC Factor],(MATCH(B179,SpaceTable[Space Name Concatenated Helper],0))))</f>
        <v/>
      </c>
      <c r="AM179" s="520" t="str">
        <f t="shared" si="66"/>
        <v>Row Not Used</v>
      </c>
      <c r="AN179" s="512" t="e" cm="1">
        <f t="array" ref="AN179">INDEX(BallastFactorTable[Ballast Factor],MATCH(1,(BallastFactorTable[Fixture Class]=D179)*(BallastFactorTable[Fixture Category]=E179)*(BallastFactorTable[Fixture Sub-category]=F179),0))</f>
        <v>#N/A</v>
      </c>
      <c r="AO179" s="143" t="str">
        <f t="shared" si="79"/>
        <v/>
      </c>
      <c r="AP179" s="501" t="e" cm="1">
        <f t="array" ref="AP179">INDEX(BallastFactorTable[Wattage Range Name],MATCH(1,(BallastFactorTable[Fixture Class]=D179)*(BallastFactorTable[Fixture Category]=E179)*(BallastFactorTable[Fixture Sub-category]=F179),0))</f>
        <v>#N/A</v>
      </c>
      <c r="AQ179" s="515" t="str">
        <f t="shared" ca="1" si="67"/>
        <v>Okay</v>
      </c>
      <c r="AR179" s="512">
        <f t="shared" si="68"/>
        <v>0</v>
      </c>
      <c r="AS179" s="511" t="str">
        <f>IF(OR(Measures!AM179="Row Not Used",Measures!C179="Controls Only",Measures!C179="Decommissioning"),"",_xlfn.CONCAT(P179," ",Q179))</f>
        <v/>
      </c>
      <c r="AT179" s="264" t="str">
        <f t="shared" si="69"/>
        <v>None</v>
      </c>
      <c r="AU179" s="229">
        <f>IF(OR(AM179="Row Not Used",AM179="Controls Only"),0,INDEX(IncentiveRateTable[Incentive Rate],MATCH(AT179,IncentiveRateTable[Incentive Name],0)))</f>
        <v>0</v>
      </c>
      <c r="AV179" s="133" t="str">
        <f>IF(OR(AM179="Row Not Used",AM179="Controls Only"),"None",INDEX(IncentiveRateTable[Incentive Unit],MATCH(AT179,IncentiveRateTable[Incentive Name],0)))</f>
        <v>None</v>
      </c>
      <c r="AW179" s="578">
        <f t="shared" si="80"/>
        <v>0</v>
      </c>
      <c r="AX179" s="264" t="str">
        <f t="shared" si="70"/>
        <v>None</v>
      </c>
      <c r="AY179" s="229">
        <f>IF(OR(AM179="Row Not Used",AM179="Fixtures Only",AM179="Decommissioning"),0,INDEX(IncentiveRateTable[Incentive Rate],MATCH(AX179,IncentiveRateTable[Incentive Name],0)))</f>
        <v>0</v>
      </c>
      <c r="AZ179" s="133" t="str">
        <f>IF(OR(AM179="Row Not Used",AM179="Fixtures Only",AM179="Decommissioning"),"None",INDEX(IncentiveRateTable[Incentive Unit],MATCH(AX179,IncentiveRateTable[Incentive Name],0)))</f>
        <v>None</v>
      </c>
      <c r="BA179" s="465">
        <f t="shared" si="71"/>
        <v>0</v>
      </c>
      <c r="BB179" s="264" t="e" cm="1">
        <f t="array" ref="BB179">INDEX(BallastFactorTable[Commercial BPA Reference Number],MATCH(1,(BallastFactorTable[Fixture Class]=J179)*(BallastFactorTable[Fixture Category]=K179)*(BallastFactorTable[Fixture Sub-category]=L179),0))</f>
        <v>#N/A</v>
      </c>
      <c r="BC179" s="133" t="e" cm="1">
        <f t="array" ref="BC179">INDEX(BallastFactorTable[Industrial BPA Reference Number],MATCH(1,(BallastFactorTable[Fixture Class]=J179)*(BallastFactorTable[Fixture Category]=K179)*(BallastFactorTable[Fixture Sub-category]=L179),0))</f>
        <v>#N/A</v>
      </c>
      <c r="BD179" s="264" t="str">
        <f t="shared" si="72"/>
        <v>Sector is blank</v>
      </c>
      <c r="BE179" s="269" t="str">
        <f>IF(ISBLANK(SectorField),"Sector is blank",IF(AM179="Row Not Used","",IF(OR(R179="No Controls",ISBLANK(R179)),"",INDEX(ControlsBPARefNoTable[Reference Number],MATCH(SectorField,ControlsBPARefNoTable[Sector],0)))))</f>
        <v>Sector is blank</v>
      </c>
      <c r="BF179" s="530" t="str">
        <f t="shared" si="73"/>
        <v/>
      </c>
      <c r="BG179" s="132" t="str">
        <f t="shared" si="74"/>
        <v/>
      </c>
      <c r="BH179" s="531" t="str">
        <f t="shared" si="75"/>
        <v/>
      </c>
      <c r="BI179" s="532"/>
      <c r="BJ179" s="538" t="str">
        <f t="shared" si="81"/>
        <v/>
      </c>
      <c r="BK179" s="539" t="str">
        <f t="shared" si="82"/>
        <v/>
      </c>
      <c r="BL179" s="547" t="str">
        <f t="shared" si="83"/>
        <v/>
      </c>
    </row>
    <row r="180" spans="1:64" x14ac:dyDescent="0.3">
      <c r="A180" s="133">
        <v>173</v>
      </c>
      <c r="B180" s="294"/>
      <c r="C180" s="313"/>
      <c r="D180" s="292"/>
      <c r="E180" s="284"/>
      <c r="F180" s="284"/>
      <c r="G180" s="295"/>
      <c r="H180" s="296"/>
      <c r="I180" s="297"/>
      <c r="J180" s="292"/>
      <c r="K180" s="284"/>
      <c r="L180" s="284"/>
      <c r="M180" s="295"/>
      <c r="N180" s="296"/>
      <c r="O180" s="296"/>
      <c r="P180" s="284"/>
      <c r="Q180" s="298"/>
      <c r="R180" s="292"/>
      <c r="S180" s="299"/>
      <c r="T180" s="300"/>
      <c r="U180" s="317" t="str">
        <f t="shared" si="57"/>
        <v/>
      </c>
      <c r="V180" s="301"/>
      <c r="W180" s="137" t="str">
        <f t="shared" si="58"/>
        <v/>
      </c>
      <c r="X180" s="589" t="str">
        <f t="shared" si="76"/>
        <v/>
      </c>
      <c r="Y180" s="581"/>
      <c r="Z180" s="251" t="str">
        <f t="shared" si="59"/>
        <v/>
      </c>
      <c r="AA180" s="138" t="str">
        <f t="shared" si="84"/>
        <v/>
      </c>
      <c r="AB180" s="243" t="str">
        <f t="shared" si="77"/>
        <v/>
      </c>
      <c r="AC180" s="141" t="str">
        <f t="shared" si="60"/>
        <v/>
      </c>
      <c r="AD180" s="138" t="str">
        <f t="shared" si="78"/>
        <v/>
      </c>
      <c r="AE180" s="243" t="str">
        <f t="shared" si="61"/>
        <v/>
      </c>
      <c r="AF180" s="342" t="str">
        <f>IF(AM180="Row Not Used","",INDEX(SpaceTable[Annual Hours],(MATCH(B180,SpaceTable[Space Name Concatenated Helper],0))))</f>
        <v/>
      </c>
      <c r="AG180" s="205" t="str">
        <f t="shared" si="62"/>
        <v/>
      </c>
      <c r="AH180" s="234" t="str">
        <f t="shared" si="63"/>
        <v/>
      </c>
      <c r="AI180" s="205" t="str">
        <f t="shared" si="64"/>
        <v/>
      </c>
      <c r="AJ180" s="234" t="str">
        <f t="shared" si="65"/>
        <v/>
      </c>
      <c r="AK180" s="144" t="str">
        <f>IF(AM180="Row Not Used","",INDEX(SpaceTable[Row],(MATCH(B180,SpaceTable[Space Name Concatenated Helper],0))))</f>
        <v/>
      </c>
      <c r="AL180" s="238" t="str">
        <f>IF(AM180="Row Not Used","",INDEX(SpaceTable[HVAC Factor],(MATCH(B180,SpaceTable[Space Name Concatenated Helper],0))))</f>
        <v/>
      </c>
      <c r="AM180" s="520" t="str">
        <f t="shared" si="66"/>
        <v>Row Not Used</v>
      </c>
      <c r="AN180" s="512" t="e" cm="1">
        <f t="array" ref="AN180">INDEX(BallastFactorTable[Ballast Factor],MATCH(1,(BallastFactorTable[Fixture Class]=D180)*(BallastFactorTable[Fixture Category]=E180)*(BallastFactorTable[Fixture Sub-category]=F180),0))</f>
        <v>#N/A</v>
      </c>
      <c r="AO180" s="143" t="str">
        <f t="shared" si="79"/>
        <v/>
      </c>
      <c r="AP180" s="501" t="e" cm="1">
        <f t="array" ref="AP180">INDEX(BallastFactorTable[Wattage Range Name],MATCH(1,(BallastFactorTable[Fixture Class]=D180)*(BallastFactorTable[Fixture Category]=E180)*(BallastFactorTable[Fixture Sub-category]=F180),0))</f>
        <v>#N/A</v>
      </c>
      <c r="AQ180" s="515" t="str">
        <f t="shared" ca="1" si="67"/>
        <v>Okay</v>
      </c>
      <c r="AR180" s="512">
        <f t="shared" si="68"/>
        <v>0</v>
      </c>
      <c r="AS180" s="511" t="str">
        <f>IF(OR(Measures!AM180="Row Not Used",Measures!C180="Controls Only",Measures!C180="Decommissioning"),"",_xlfn.CONCAT(P180," ",Q180))</f>
        <v/>
      </c>
      <c r="AT180" s="264" t="str">
        <f t="shared" si="69"/>
        <v>None</v>
      </c>
      <c r="AU180" s="229">
        <f>IF(OR(AM180="Row Not Used",AM180="Controls Only"),0,INDEX(IncentiveRateTable[Incentive Rate],MATCH(AT180,IncentiveRateTable[Incentive Name],0)))</f>
        <v>0</v>
      </c>
      <c r="AV180" s="133" t="str">
        <f>IF(OR(AM180="Row Not Used",AM180="Controls Only"),"None",INDEX(IncentiveRateTable[Incentive Unit],MATCH(AT180,IncentiveRateTable[Incentive Name],0)))</f>
        <v>None</v>
      </c>
      <c r="AW180" s="578">
        <f t="shared" si="80"/>
        <v>0</v>
      </c>
      <c r="AX180" s="264" t="str">
        <f t="shared" si="70"/>
        <v>None</v>
      </c>
      <c r="AY180" s="229">
        <f>IF(OR(AM180="Row Not Used",AM180="Fixtures Only",AM180="Decommissioning"),0,INDEX(IncentiveRateTable[Incentive Rate],MATCH(AX180,IncentiveRateTable[Incentive Name],0)))</f>
        <v>0</v>
      </c>
      <c r="AZ180" s="133" t="str">
        <f>IF(OR(AM180="Row Not Used",AM180="Fixtures Only",AM180="Decommissioning"),"None",INDEX(IncentiveRateTable[Incentive Unit],MATCH(AX180,IncentiveRateTable[Incentive Name],0)))</f>
        <v>None</v>
      </c>
      <c r="BA180" s="465">
        <f t="shared" si="71"/>
        <v>0</v>
      </c>
      <c r="BB180" s="264" t="e" cm="1">
        <f t="array" ref="BB180">INDEX(BallastFactorTable[Commercial BPA Reference Number],MATCH(1,(BallastFactorTable[Fixture Class]=J180)*(BallastFactorTable[Fixture Category]=K180)*(BallastFactorTable[Fixture Sub-category]=L180),0))</f>
        <v>#N/A</v>
      </c>
      <c r="BC180" s="133" t="e" cm="1">
        <f t="array" ref="BC180">INDEX(BallastFactorTable[Industrial BPA Reference Number],MATCH(1,(BallastFactorTable[Fixture Class]=J180)*(BallastFactorTable[Fixture Category]=K180)*(BallastFactorTable[Fixture Sub-category]=L180),0))</f>
        <v>#N/A</v>
      </c>
      <c r="BD180" s="264" t="str">
        <f t="shared" si="72"/>
        <v>Sector is blank</v>
      </c>
      <c r="BE180" s="269" t="str">
        <f>IF(ISBLANK(SectorField),"Sector is blank",IF(AM180="Row Not Used","",IF(OR(R180="No Controls",ISBLANK(R180)),"",INDEX(ControlsBPARefNoTable[Reference Number],MATCH(SectorField,ControlsBPARefNoTable[Sector],0)))))</f>
        <v>Sector is blank</v>
      </c>
      <c r="BF180" s="530" t="str">
        <f t="shared" si="73"/>
        <v/>
      </c>
      <c r="BG180" s="132" t="str">
        <f t="shared" si="74"/>
        <v/>
      </c>
      <c r="BH180" s="531" t="str">
        <f t="shared" si="75"/>
        <v/>
      </c>
      <c r="BI180" s="532"/>
      <c r="BJ180" s="538" t="str">
        <f t="shared" si="81"/>
        <v/>
      </c>
      <c r="BK180" s="539" t="str">
        <f t="shared" si="82"/>
        <v/>
      </c>
      <c r="BL180" s="547" t="str">
        <f t="shared" si="83"/>
        <v/>
      </c>
    </row>
    <row r="181" spans="1:64" x14ac:dyDescent="0.3">
      <c r="A181" s="133">
        <v>174</v>
      </c>
      <c r="B181" s="294"/>
      <c r="C181" s="313"/>
      <c r="D181" s="292"/>
      <c r="E181" s="284"/>
      <c r="F181" s="284"/>
      <c r="G181" s="295"/>
      <c r="H181" s="296"/>
      <c r="I181" s="297"/>
      <c r="J181" s="292"/>
      <c r="K181" s="284"/>
      <c r="L181" s="284"/>
      <c r="M181" s="295"/>
      <c r="N181" s="296"/>
      <c r="O181" s="296"/>
      <c r="P181" s="284"/>
      <c r="Q181" s="298"/>
      <c r="R181" s="292"/>
      <c r="S181" s="299"/>
      <c r="T181" s="300"/>
      <c r="U181" s="317" t="str">
        <f t="shared" si="57"/>
        <v/>
      </c>
      <c r="V181" s="301"/>
      <c r="W181" s="136" t="str">
        <f t="shared" si="58"/>
        <v/>
      </c>
      <c r="X181" s="588" t="str">
        <f t="shared" si="76"/>
        <v/>
      </c>
      <c r="Y181" s="580"/>
      <c r="Z181" s="251" t="str">
        <f t="shared" si="59"/>
        <v/>
      </c>
      <c r="AA181" s="138" t="str">
        <f t="shared" si="84"/>
        <v/>
      </c>
      <c r="AB181" s="243" t="str">
        <f t="shared" si="77"/>
        <v/>
      </c>
      <c r="AC181" s="141" t="str">
        <f t="shared" si="60"/>
        <v/>
      </c>
      <c r="AD181" s="138" t="str">
        <f t="shared" si="78"/>
        <v/>
      </c>
      <c r="AE181" s="243" t="str">
        <f t="shared" si="61"/>
        <v/>
      </c>
      <c r="AF181" s="342" t="str">
        <f>IF(AM181="Row Not Used","",INDEX(SpaceTable[Annual Hours],(MATCH(B181,SpaceTable[Space Name Concatenated Helper],0))))</f>
        <v/>
      </c>
      <c r="AG181" s="205" t="str">
        <f t="shared" si="62"/>
        <v/>
      </c>
      <c r="AH181" s="234" t="str">
        <f t="shared" si="63"/>
        <v/>
      </c>
      <c r="AI181" s="205" t="str">
        <f t="shared" si="64"/>
        <v/>
      </c>
      <c r="AJ181" s="234" t="str">
        <f t="shared" si="65"/>
        <v/>
      </c>
      <c r="AK181" s="144" t="str">
        <f>IF(AM181="Row Not Used","",INDEX(SpaceTable[Row],(MATCH(B181,SpaceTable[Space Name Concatenated Helper],0))))</f>
        <v/>
      </c>
      <c r="AL181" s="238" t="str">
        <f>IF(AM181="Row Not Used","",INDEX(SpaceTable[HVAC Factor],(MATCH(B181,SpaceTable[Space Name Concatenated Helper],0))))</f>
        <v/>
      </c>
      <c r="AM181" s="520" t="str">
        <f t="shared" si="66"/>
        <v>Row Not Used</v>
      </c>
      <c r="AN181" s="512" t="e" cm="1">
        <f t="array" ref="AN181">INDEX(BallastFactorTable[Ballast Factor],MATCH(1,(BallastFactorTable[Fixture Class]=D181)*(BallastFactorTable[Fixture Category]=E181)*(BallastFactorTable[Fixture Sub-category]=F181),0))</f>
        <v>#N/A</v>
      </c>
      <c r="AO181" s="143" t="str">
        <f t="shared" si="79"/>
        <v/>
      </c>
      <c r="AP181" s="501" t="e" cm="1">
        <f t="array" ref="AP181">INDEX(BallastFactorTable[Wattage Range Name],MATCH(1,(BallastFactorTable[Fixture Class]=D181)*(BallastFactorTable[Fixture Category]=E181)*(BallastFactorTable[Fixture Sub-category]=F181),0))</f>
        <v>#N/A</v>
      </c>
      <c r="AQ181" s="515" t="str">
        <f t="shared" ca="1" si="67"/>
        <v>Okay</v>
      </c>
      <c r="AR181" s="512">
        <f t="shared" si="68"/>
        <v>0</v>
      </c>
      <c r="AS181" s="511" t="str">
        <f>IF(OR(Measures!AM181="Row Not Used",Measures!C181="Controls Only",Measures!C181="Decommissioning"),"",_xlfn.CONCAT(P181," ",Q181))</f>
        <v/>
      </c>
      <c r="AT181" s="264" t="str">
        <f t="shared" si="69"/>
        <v>None</v>
      </c>
      <c r="AU181" s="229">
        <f>IF(OR(AM181="Row Not Used",AM181="Controls Only"),0,INDEX(IncentiveRateTable[Incentive Rate],MATCH(AT181,IncentiveRateTable[Incentive Name],0)))</f>
        <v>0</v>
      </c>
      <c r="AV181" s="133" t="str">
        <f>IF(OR(AM181="Row Not Used",AM181="Controls Only"),"None",INDEX(IncentiveRateTable[Incentive Unit],MATCH(AT181,IncentiveRateTable[Incentive Name],0)))</f>
        <v>None</v>
      </c>
      <c r="AW181" s="578">
        <f t="shared" si="80"/>
        <v>0</v>
      </c>
      <c r="AX181" s="264" t="str">
        <f t="shared" si="70"/>
        <v>None</v>
      </c>
      <c r="AY181" s="229">
        <f>IF(OR(AM181="Row Not Used",AM181="Fixtures Only",AM181="Decommissioning"),0,INDEX(IncentiveRateTable[Incentive Rate],MATCH(AX181,IncentiveRateTable[Incentive Name],0)))</f>
        <v>0</v>
      </c>
      <c r="AZ181" s="133" t="str">
        <f>IF(OR(AM181="Row Not Used",AM181="Fixtures Only",AM181="Decommissioning"),"None",INDEX(IncentiveRateTable[Incentive Unit],MATCH(AX181,IncentiveRateTable[Incentive Name],0)))</f>
        <v>None</v>
      </c>
      <c r="BA181" s="465">
        <f t="shared" si="71"/>
        <v>0</v>
      </c>
      <c r="BB181" s="264" t="e" cm="1">
        <f t="array" ref="BB181">INDEX(BallastFactorTable[Commercial BPA Reference Number],MATCH(1,(BallastFactorTable[Fixture Class]=J181)*(BallastFactorTable[Fixture Category]=K181)*(BallastFactorTable[Fixture Sub-category]=L181),0))</f>
        <v>#N/A</v>
      </c>
      <c r="BC181" s="133" t="e" cm="1">
        <f t="array" ref="BC181">INDEX(BallastFactorTable[Industrial BPA Reference Number],MATCH(1,(BallastFactorTable[Fixture Class]=J181)*(BallastFactorTable[Fixture Category]=K181)*(BallastFactorTable[Fixture Sub-category]=L181),0))</f>
        <v>#N/A</v>
      </c>
      <c r="BD181" s="264" t="str">
        <f t="shared" si="72"/>
        <v>Sector is blank</v>
      </c>
      <c r="BE181" s="269" t="str">
        <f>IF(ISBLANK(SectorField),"Sector is blank",IF(AM181="Row Not Used","",IF(OR(R181="No Controls",ISBLANK(R181)),"",INDEX(ControlsBPARefNoTable[Reference Number],MATCH(SectorField,ControlsBPARefNoTable[Sector],0)))))</f>
        <v>Sector is blank</v>
      </c>
      <c r="BF181" s="530" t="str">
        <f t="shared" si="73"/>
        <v/>
      </c>
      <c r="BG181" s="132" t="str">
        <f t="shared" si="74"/>
        <v/>
      </c>
      <c r="BH181" s="531" t="str">
        <f t="shared" si="75"/>
        <v/>
      </c>
      <c r="BI181" s="532"/>
      <c r="BJ181" s="538" t="str">
        <f t="shared" si="81"/>
        <v/>
      </c>
      <c r="BK181" s="539" t="str">
        <f t="shared" si="82"/>
        <v/>
      </c>
      <c r="BL181" s="547" t="str">
        <f t="shared" si="83"/>
        <v/>
      </c>
    </row>
    <row r="182" spans="1:64" x14ac:dyDescent="0.3">
      <c r="A182" s="133">
        <v>175</v>
      </c>
      <c r="B182" s="294"/>
      <c r="C182" s="313"/>
      <c r="D182" s="292"/>
      <c r="E182" s="284"/>
      <c r="F182" s="284"/>
      <c r="G182" s="295"/>
      <c r="H182" s="296"/>
      <c r="I182" s="297"/>
      <c r="J182" s="292"/>
      <c r="K182" s="284"/>
      <c r="L182" s="284"/>
      <c r="M182" s="295"/>
      <c r="N182" s="296"/>
      <c r="O182" s="296"/>
      <c r="P182" s="284"/>
      <c r="Q182" s="298"/>
      <c r="R182" s="292"/>
      <c r="S182" s="299"/>
      <c r="T182" s="300"/>
      <c r="U182" s="317" t="str">
        <f t="shared" si="57"/>
        <v/>
      </c>
      <c r="V182" s="301"/>
      <c r="W182" s="137" t="str">
        <f t="shared" si="58"/>
        <v/>
      </c>
      <c r="X182" s="589" t="str">
        <f t="shared" si="76"/>
        <v/>
      </c>
      <c r="Y182" s="581"/>
      <c r="Z182" s="251" t="str">
        <f t="shared" si="59"/>
        <v/>
      </c>
      <c r="AA182" s="138" t="str">
        <f t="shared" si="84"/>
        <v/>
      </c>
      <c r="AB182" s="243" t="str">
        <f t="shared" si="77"/>
        <v/>
      </c>
      <c r="AC182" s="141" t="str">
        <f t="shared" si="60"/>
        <v/>
      </c>
      <c r="AD182" s="138" t="str">
        <f t="shared" si="78"/>
        <v/>
      </c>
      <c r="AE182" s="243" t="str">
        <f t="shared" si="61"/>
        <v/>
      </c>
      <c r="AF182" s="342" t="str">
        <f>IF(AM182="Row Not Used","",INDEX(SpaceTable[Annual Hours],(MATCH(B182,SpaceTable[Space Name Concatenated Helper],0))))</f>
        <v/>
      </c>
      <c r="AG182" s="205" t="str">
        <f t="shared" si="62"/>
        <v/>
      </c>
      <c r="AH182" s="234" t="str">
        <f t="shared" si="63"/>
        <v/>
      </c>
      <c r="AI182" s="205" t="str">
        <f t="shared" si="64"/>
        <v/>
      </c>
      <c r="AJ182" s="234" t="str">
        <f t="shared" si="65"/>
        <v/>
      </c>
      <c r="AK182" s="144" t="str">
        <f>IF(AM182="Row Not Used","",INDEX(SpaceTable[Row],(MATCH(B182,SpaceTable[Space Name Concatenated Helper],0))))</f>
        <v/>
      </c>
      <c r="AL182" s="238" t="str">
        <f>IF(AM182="Row Not Used","",INDEX(SpaceTable[HVAC Factor],(MATCH(B182,SpaceTable[Space Name Concatenated Helper],0))))</f>
        <v/>
      </c>
      <c r="AM182" s="520" t="str">
        <f t="shared" si="66"/>
        <v>Row Not Used</v>
      </c>
      <c r="AN182" s="512" t="e" cm="1">
        <f t="array" ref="AN182">INDEX(BallastFactorTable[Ballast Factor],MATCH(1,(BallastFactorTable[Fixture Class]=D182)*(BallastFactorTable[Fixture Category]=E182)*(BallastFactorTable[Fixture Sub-category]=F182),0))</f>
        <v>#N/A</v>
      </c>
      <c r="AO182" s="143" t="str">
        <f t="shared" si="79"/>
        <v/>
      </c>
      <c r="AP182" s="501" t="e" cm="1">
        <f t="array" ref="AP182">INDEX(BallastFactorTable[Wattage Range Name],MATCH(1,(BallastFactorTable[Fixture Class]=D182)*(BallastFactorTable[Fixture Category]=E182)*(BallastFactorTable[Fixture Sub-category]=F182),0))</f>
        <v>#N/A</v>
      </c>
      <c r="AQ182" s="515" t="str">
        <f t="shared" ca="1" si="67"/>
        <v>Okay</v>
      </c>
      <c r="AR182" s="512">
        <f t="shared" si="68"/>
        <v>0</v>
      </c>
      <c r="AS182" s="511" t="str">
        <f>IF(OR(Measures!AM182="Row Not Used",Measures!C182="Controls Only",Measures!C182="Decommissioning"),"",_xlfn.CONCAT(P182," ",Q182))</f>
        <v/>
      </c>
      <c r="AT182" s="264" t="str">
        <f t="shared" si="69"/>
        <v>None</v>
      </c>
      <c r="AU182" s="229">
        <f>IF(OR(AM182="Row Not Used",AM182="Controls Only"),0,INDEX(IncentiveRateTable[Incentive Rate],MATCH(AT182,IncentiveRateTable[Incentive Name],0)))</f>
        <v>0</v>
      </c>
      <c r="AV182" s="133" t="str">
        <f>IF(OR(AM182="Row Not Used",AM182="Controls Only"),"None",INDEX(IncentiveRateTable[Incentive Unit],MATCH(AT182,IncentiveRateTable[Incentive Name],0)))</f>
        <v>None</v>
      </c>
      <c r="AW182" s="578">
        <f t="shared" si="80"/>
        <v>0</v>
      </c>
      <c r="AX182" s="264" t="str">
        <f t="shared" si="70"/>
        <v>None</v>
      </c>
      <c r="AY182" s="229">
        <f>IF(OR(AM182="Row Not Used",AM182="Fixtures Only",AM182="Decommissioning"),0,INDEX(IncentiveRateTable[Incentive Rate],MATCH(AX182,IncentiveRateTable[Incentive Name],0)))</f>
        <v>0</v>
      </c>
      <c r="AZ182" s="133" t="str">
        <f>IF(OR(AM182="Row Not Used",AM182="Fixtures Only",AM182="Decommissioning"),"None",INDEX(IncentiveRateTable[Incentive Unit],MATCH(AX182,IncentiveRateTable[Incentive Name],0)))</f>
        <v>None</v>
      </c>
      <c r="BA182" s="465">
        <f t="shared" si="71"/>
        <v>0</v>
      </c>
      <c r="BB182" s="264" t="e" cm="1">
        <f t="array" ref="BB182">INDEX(BallastFactorTable[Commercial BPA Reference Number],MATCH(1,(BallastFactorTable[Fixture Class]=J182)*(BallastFactorTable[Fixture Category]=K182)*(BallastFactorTable[Fixture Sub-category]=L182),0))</f>
        <v>#N/A</v>
      </c>
      <c r="BC182" s="133" t="e" cm="1">
        <f t="array" ref="BC182">INDEX(BallastFactorTable[Industrial BPA Reference Number],MATCH(1,(BallastFactorTable[Fixture Class]=J182)*(BallastFactorTable[Fixture Category]=K182)*(BallastFactorTable[Fixture Sub-category]=L182),0))</f>
        <v>#N/A</v>
      </c>
      <c r="BD182" s="264" t="str">
        <f t="shared" si="72"/>
        <v>Sector is blank</v>
      </c>
      <c r="BE182" s="269" t="str">
        <f>IF(ISBLANK(SectorField),"Sector is blank",IF(AM182="Row Not Used","",IF(OR(R182="No Controls",ISBLANK(R182)),"",INDEX(ControlsBPARefNoTable[Reference Number],MATCH(SectorField,ControlsBPARefNoTable[Sector],0)))))</f>
        <v>Sector is blank</v>
      </c>
      <c r="BF182" s="530" t="str">
        <f t="shared" si="73"/>
        <v/>
      </c>
      <c r="BG182" s="132" t="str">
        <f t="shared" si="74"/>
        <v/>
      </c>
      <c r="BH182" s="531" t="str">
        <f t="shared" si="75"/>
        <v/>
      </c>
      <c r="BI182" s="532"/>
      <c r="BJ182" s="538" t="str">
        <f t="shared" si="81"/>
        <v/>
      </c>
      <c r="BK182" s="539" t="str">
        <f t="shared" si="82"/>
        <v/>
      </c>
      <c r="BL182" s="547" t="str">
        <f t="shared" si="83"/>
        <v/>
      </c>
    </row>
    <row r="183" spans="1:64" x14ac:dyDescent="0.3">
      <c r="A183" s="133">
        <v>176</v>
      </c>
      <c r="B183" s="294"/>
      <c r="C183" s="313"/>
      <c r="D183" s="292"/>
      <c r="E183" s="284"/>
      <c r="F183" s="284"/>
      <c r="G183" s="295"/>
      <c r="H183" s="296"/>
      <c r="I183" s="297"/>
      <c r="J183" s="292"/>
      <c r="K183" s="284"/>
      <c r="L183" s="284"/>
      <c r="M183" s="295"/>
      <c r="N183" s="296"/>
      <c r="O183" s="296"/>
      <c r="P183" s="284"/>
      <c r="Q183" s="298"/>
      <c r="R183" s="292"/>
      <c r="S183" s="299"/>
      <c r="T183" s="300"/>
      <c r="U183" s="317" t="str">
        <f t="shared" si="57"/>
        <v/>
      </c>
      <c r="V183" s="301"/>
      <c r="W183" s="136" t="str">
        <f t="shared" si="58"/>
        <v/>
      </c>
      <c r="X183" s="588" t="str">
        <f t="shared" si="76"/>
        <v/>
      </c>
      <c r="Y183" s="580"/>
      <c r="Z183" s="251" t="str">
        <f t="shared" si="59"/>
        <v/>
      </c>
      <c r="AA183" s="138" t="str">
        <f t="shared" si="84"/>
        <v/>
      </c>
      <c r="AB183" s="243" t="str">
        <f t="shared" si="77"/>
        <v/>
      </c>
      <c r="AC183" s="141" t="str">
        <f t="shared" si="60"/>
        <v/>
      </c>
      <c r="AD183" s="138" t="str">
        <f t="shared" si="78"/>
        <v/>
      </c>
      <c r="AE183" s="243" t="str">
        <f t="shared" si="61"/>
        <v/>
      </c>
      <c r="AF183" s="342" t="str">
        <f>IF(AM183="Row Not Used","",INDEX(SpaceTable[Annual Hours],(MATCH(B183,SpaceTable[Space Name Concatenated Helper],0))))</f>
        <v/>
      </c>
      <c r="AG183" s="205" t="str">
        <f t="shared" si="62"/>
        <v/>
      </c>
      <c r="AH183" s="234" t="str">
        <f t="shared" si="63"/>
        <v/>
      </c>
      <c r="AI183" s="205" t="str">
        <f t="shared" si="64"/>
        <v/>
      </c>
      <c r="AJ183" s="234" t="str">
        <f t="shared" si="65"/>
        <v/>
      </c>
      <c r="AK183" s="144" t="str">
        <f>IF(AM183="Row Not Used","",INDEX(SpaceTable[Row],(MATCH(B183,SpaceTable[Space Name Concatenated Helper],0))))</f>
        <v/>
      </c>
      <c r="AL183" s="238" t="str">
        <f>IF(AM183="Row Not Used","",INDEX(SpaceTable[HVAC Factor],(MATCH(B183,SpaceTable[Space Name Concatenated Helper],0))))</f>
        <v/>
      </c>
      <c r="AM183" s="520" t="str">
        <f t="shared" si="66"/>
        <v>Row Not Used</v>
      </c>
      <c r="AN183" s="512" t="e" cm="1">
        <f t="array" ref="AN183">INDEX(BallastFactorTable[Ballast Factor],MATCH(1,(BallastFactorTable[Fixture Class]=D183)*(BallastFactorTable[Fixture Category]=E183)*(BallastFactorTable[Fixture Sub-category]=F183),0))</f>
        <v>#N/A</v>
      </c>
      <c r="AO183" s="143" t="str">
        <f t="shared" si="79"/>
        <v/>
      </c>
      <c r="AP183" s="501" t="e" cm="1">
        <f t="array" ref="AP183">INDEX(BallastFactorTable[Wattage Range Name],MATCH(1,(BallastFactorTable[Fixture Class]=D183)*(BallastFactorTable[Fixture Category]=E183)*(BallastFactorTable[Fixture Sub-category]=F183),0))</f>
        <v>#N/A</v>
      </c>
      <c r="AQ183" s="515" t="str">
        <f t="shared" ca="1" si="67"/>
        <v>Okay</v>
      </c>
      <c r="AR183" s="512">
        <f t="shared" si="68"/>
        <v>0</v>
      </c>
      <c r="AS183" s="511" t="str">
        <f>IF(OR(Measures!AM183="Row Not Used",Measures!C183="Controls Only",Measures!C183="Decommissioning"),"",_xlfn.CONCAT(P183," ",Q183))</f>
        <v/>
      </c>
      <c r="AT183" s="264" t="str">
        <f t="shared" si="69"/>
        <v>None</v>
      </c>
      <c r="AU183" s="229">
        <f>IF(OR(AM183="Row Not Used",AM183="Controls Only"),0,INDEX(IncentiveRateTable[Incentive Rate],MATCH(AT183,IncentiveRateTable[Incentive Name],0)))</f>
        <v>0</v>
      </c>
      <c r="AV183" s="133" t="str">
        <f>IF(OR(AM183="Row Not Used",AM183="Controls Only"),"None",INDEX(IncentiveRateTable[Incentive Unit],MATCH(AT183,IncentiveRateTable[Incentive Name],0)))</f>
        <v>None</v>
      </c>
      <c r="AW183" s="578">
        <f t="shared" si="80"/>
        <v>0</v>
      </c>
      <c r="AX183" s="264" t="str">
        <f t="shared" si="70"/>
        <v>None</v>
      </c>
      <c r="AY183" s="229">
        <f>IF(OR(AM183="Row Not Used",AM183="Fixtures Only",AM183="Decommissioning"),0,INDEX(IncentiveRateTable[Incentive Rate],MATCH(AX183,IncentiveRateTable[Incentive Name],0)))</f>
        <v>0</v>
      </c>
      <c r="AZ183" s="133" t="str">
        <f>IF(OR(AM183="Row Not Used",AM183="Fixtures Only",AM183="Decommissioning"),"None",INDEX(IncentiveRateTable[Incentive Unit],MATCH(AX183,IncentiveRateTable[Incentive Name],0)))</f>
        <v>None</v>
      </c>
      <c r="BA183" s="465">
        <f t="shared" si="71"/>
        <v>0</v>
      </c>
      <c r="BB183" s="264" t="e" cm="1">
        <f t="array" ref="BB183">INDEX(BallastFactorTable[Commercial BPA Reference Number],MATCH(1,(BallastFactorTable[Fixture Class]=J183)*(BallastFactorTable[Fixture Category]=K183)*(BallastFactorTable[Fixture Sub-category]=L183),0))</f>
        <v>#N/A</v>
      </c>
      <c r="BC183" s="133" t="e" cm="1">
        <f t="array" ref="BC183">INDEX(BallastFactorTable[Industrial BPA Reference Number],MATCH(1,(BallastFactorTable[Fixture Class]=J183)*(BallastFactorTable[Fixture Category]=K183)*(BallastFactorTable[Fixture Sub-category]=L183),0))</f>
        <v>#N/A</v>
      </c>
      <c r="BD183" s="264" t="str">
        <f t="shared" si="72"/>
        <v>Sector is blank</v>
      </c>
      <c r="BE183" s="269" t="str">
        <f>IF(ISBLANK(SectorField),"Sector is blank",IF(AM183="Row Not Used","",IF(OR(R183="No Controls",ISBLANK(R183)),"",INDEX(ControlsBPARefNoTable[Reference Number],MATCH(SectorField,ControlsBPARefNoTable[Sector],0)))))</f>
        <v>Sector is blank</v>
      </c>
      <c r="BF183" s="530" t="str">
        <f t="shared" si="73"/>
        <v/>
      </c>
      <c r="BG183" s="132" t="str">
        <f t="shared" si="74"/>
        <v/>
      </c>
      <c r="BH183" s="531" t="str">
        <f t="shared" si="75"/>
        <v/>
      </c>
      <c r="BI183" s="532"/>
      <c r="BJ183" s="538" t="str">
        <f t="shared" si="81"/>
        <v/>
      </c>
      <c r="BK183" s="539" t="str">
        <f t="shared" si="82"/>
        <v/>
      </c>
      <c r="BL183" s="547" t="str">
        <f t="shared" si="83"/>
        <v/>
      </c>
    </row>
    <row r="184" spans="1:64" x14ac:dyDescent="0.3">
      <c r="A184" s="133">
        <v>177</v>
      </c>
      <c r="B184" s="294"/>
      <c r="C184" s="313"/>
      <c r="D184" s="292"/>
      <c r="E184" s="284"/>
      <c r="F184" s="284"/>
      <c r="G184" s="295"/>
      <c r="H184" s="296"/>
      <c r="I184" s="297"/>
      <c r="J184" s="292"/>
      <c r="K184" s="284"/>
      <c r="L184" s="284"/>
      <c r="M184" s="295"/>
      <c r="N184" s="296"/>
      <c r="O184" s="296"/>
      <c r="P184" s="284"/>
      <c r="Q184" s="298"/>
      <c r="R184" s="292"/>
      <c r="S184" s="299"/>
      <c r="T184" s="300"/>
      <c r="U184" s="317" t="str">
        <f t="shared" si="57"/>
        <v/>
      </c>
      <c r="V184" s="301"/>
      <c r="W184" s="137" t="str">
        <f t="shared" si="58"/>
        <v/>
      </c>
      <c r="X184" s="589" t="str">
        <f t="shared" si="76"/>
        <v/>
      </c>
      <c r="Y184" s="581"/>
      <c r="Z184" s="251" t="str">
        <f t="shared" si="59"/>
        <v/>
      </c>
      <c r="AA184" s="138" t="str">
        <f t="shared" si="84"/>
        <v/>
      </c>
      <c r="AB184" s="243" t="str">
        <f t="shared" si="77"/>
        <v/>
      </c>
      <c r="AC184" s="141" t="str">
        <f t="shared" si="60"/>
        <v/>
      </c>
      <c r="AD184" s="138" t="str">
        <f t="shared" si="78"/>
        <v/>
      </c>
      <c r="AE184" s="243" t="str">
        <f t="shared" si="61"/>
        <v/>
      </c>
      <c r="AF184" s="342" t="str">
        <f>IF(AM184="Row Not Used","",INDEX(SpaceTable[Annual Hours],(MATCH(B184,SpaceTable[Space Name Concatenated Helper],0))))</f>
        <v/>
      </c>
      <c r="AG184" s="205" t="str">
        <f t="shared" si="62"/>
        <v/>
      </c>
      <c r="AH184" s="234" t="str">
        <f t="shared" si="63"/>
        <v/>
      </c>
      <c r="AI184" s="205" t="str">
        <f t="shared" si="64"/>
        <v/>
      </c>
      <c r="AJ184" s="234" t="str">
        <f t="shared" si="65"/>
        <v/>
      </c>
      <c r="AK184" s="144" t="str">
        <f>IF(AM184="Row Not Used","",INDEX(SpaceTable[Row],(MATCH(B184,SpaceTable[Space Name Concatenated Helper],0))))</f>
        <v/>
      </c>
      <c r="AL184" s="238" t="str">
        <f>IF(AM184="Row Not Used","",INDEX(SpaceTable[HVAC Factor],(MATCH(B184,SpaceTable[Space Name Concatenated Helper],0))))</f>
        <v/>
      </c>
      <c r="AM184" s="520" t="str">
        <f t="shared" si="66"/>
        <v>Row Not Used</v>
      </c>
      <c r="AN184" s="512" t="e" cm="1">
        <f t="array" ref="AN184">INDEX(BallastFactorTable[Ballast Factor],MATCH(1,(BallastFactorTable[Fixture Class]=D184)*(BallastFactorTable[Fixture Category]=E184)*(BallastFactorTable[Fixture Sub-category]=F184),0))</f>
        <v>#N/A</v>
      </c>
      <c r="AO184" s="143" t="str">
        <f t="shared" si="79"/>
        <v/>
      </c>
      <c r="AP184" s="501" t="e" cm="1">
        <f t="array" ref="AP184">INDEX(BallastFactorTable[Wattage Range Name],MATCH(1,(BallastFactorTable[Fixture Class]=D184)*(BallastFactorTable[Fixture Category]=E184)*(BallastFactorTable[Fixture Sub-category]=F184),0))</f>
        <v>#N/A</v>
      </c>
      <c r="AQ184" s="515" t="str">
        <f t="shared" ca="1" si="67"/>
        <v>Okay</v>
      </c>
      <c r="AR184" s="512">
        <f t="shared" si="68"/>
        <v>0</v>
      </c>
      <c r="AS184" s="511" t="str">
        <f>IF(OR(Measures!AM184="Row Not Used",Measures!C184="Controls Only",Measures!C184="Decommissioning"),"",_xlfn.CONCAT(P184," ",Q184))</f>
        <v/>
      </c>
      <c r="AT184" s="264" t="str">
        <f t="shared" si="69"/>
        <v>None</v>
      </c>
      <c r="AU184" s="229">
        <f>IF(OR(AM184="Row Not Used",AM184="Controls Only"),0,INDEX(IncentiveRateTable[Incentive Rate],MATCH(AT184,IncentiveRateTable[Incentive Name],0)))</f>
        <v>0</v>
      </c>
      <c r="AV184" s="133" t="str">
        <f>IF(OR(AM184="Row Not Used",AM184="Controls Only"),"None",INDEX(IncentiveRateTable[Incentive Unit],MATCH(AT184,IncentiveRateTable[Incentive Name],0)))</f>
        <v>None</v>
      </c>
      <c r="AW184" s="578">
        <f t="shared" si="80"/>
        <v>0</v>
      </c>
      <c r="AX184" s="264" t="str">
        <f t="shared" si="70"/>
        <v>None</v>
      </c>
      <c r="AY184" s="229">
        <f>IF(OR(AM184="Row Not Used",AM184="Fixtures Only",AM184="Decommissioning"),0,INDEX(IncentiveRateTable[Incentive Rate],MATCH(AX184,IncentiveRateTable[Incentive Name],0)))</f>
        <v>0</v>
      </c>
      <c r="AZ184" s="133" t="str">
        <f>IF(OR(AM184="Row Not Used",AM184="Fixtures Only",AM184="Decommissioning"),"None",INDEX(IncentiveRateTable[Incentive Unit],MATCH(AX184,IncentiveRateTable[Incentive Name],0)))</f>
        <v>None</v>
      </c>
      <c r="BA184" s="465">
        <f t="shared" si="71"/>
        <v>0</v>
      </c>
      <c r="BB184" s="264" t="e" cm="1">
        <f t="array" ref="BB184">INDEX(BallastFactorTable[Commercial BPA Reference Number],MATCH(1,(BallastFactorTable[Fixture Class]=J184)*(BallastFactorTable[Fixture Category]=K184)*(BallastFactorTable[Fixture Sub-category]=L184),0))</f>
        <v>#N/A</v>
      </c>
      <c r="BC184" s="133" t="e" cm="1">
        <f t="array" ref="BC184">INDEX(BallastFactorTable[Industrial BPA Reference Number],MATCH(1,(BallastFactorTable[Fixture Class]=J184)*(BallastFactorTable[Fixture Category]=K184)*(BallastFactorTable[Fixture Sub-category]=L184),0))</f>
        <v>#N/A</v>
      </c>
      <c r="BD184" s="264" t="str">
        <f t="shared" si="72"/>
        <v>Sector is blank</v>
      </c>
      <c r="BE184" s="269" t="str">
        <f>IF(ISBLANK(SectorField),"Sector is blank",IF(AM184="Row Not Used","",IF(OR(R184="No Controls",ISBLANK(R184)),"",INDEX(ControlsBPARefNoTable[Reference Number],MATCH(SectorField,ControlsBPARefNoTable[Sector],0)))))</f>
        <v>Sector is blank</v>
      </c>
      <c r="BF184" s="530" t="str">
        <f t="shared" si="73"/>
        <v/>
      </c>
      <c r="BG184" s="132" t="str">
        <f t="shared" si="74"/>
        <v/>
      </c>
      <c r="BH184" s="531" t="str">
        <f t="shared" si="75"/>
        <v/>
      </c>
      <c r="BI184" s="532"/>
      <c r="BJ184" s="538" t="str">
        <f t="shared" si="81"/>
        <v/>
      </c>
      <c r="BK184" s="539" t="str">
        <f t="shared" si="82"/>
        <v/>
      </c>
      <c r="BL184" s="547" t="str">
        <f t="shared" si="83"/>
        <v/>
      </c>
    </row>
    <row r="185" spans="1:64" x14ac:dyDescent="0.3">
      <c r="A185" s="133">
        <v>178</v>
      </c>
      <c r="B185" s="294"/>
      <c r="C185" s="313"/>
      <c r="D185" s="292"/>
      <c r="E185" s="284"/>
      <c r="F185" s="284"/>
      <c r="G185" s="295"/>
      <c r="H185" s="296"/>
      <c r="I185" s="297"/>
      <c r="J185" s="292"/>
      <c r="K185" s="284"/>
      <c r="L185" s="284"/>
      <c r="M185" s="295"/>
      <c r="N185" s="296"/>
      <c r="O185" s="296"/>
      <c r="P185" s="284"/>
      <c r="Q185" s="298"/>
      <c r="R185" s="292"/>
      <c r="S185" s="299"/>
      <c r="T185" s="300"/>
      <c r="U185" s="317" t="str">
        <f t="shared" si="57"/>
        <v/>
      </c>
      <c r="V185" s="301"/>
      <c r="W185" s="136" t="str">
        <f t="shared" si="58"/>
        <v/>
      </c>
      <c r="X185" s="588" t="str">
        <f t="shared" si="76"/>
        <v/>
      </c>
      <c r="Y185" s="580"/>
      <c r="Z185" s="251" t="str">
        <f t="shared" si="59"/>
        <v/>
      </c>
      <c r="AA185" s="138" t="str">
        <f t="shared" si="84"/>
        <v/>
      </c>
      <c r="AB185" s="243" t="str">
        <f t="shared" si="77"/>
        <v/>
      </c>
      <c r="AC185" s="141" t="str">
        <f t="shared" si="60"/>
        <v/>
      </c>
      <c r="AD185" s="138" t="str">
        <f t="shared" si="78"/>
        <v/>
      </c>
      <c r="AE185" s="243" t="str">
        <f t="shared" si="61"/>
        <v/>
      </c>
      <c r="AF185" s="342" t="str">
        <f>IF(AM185="Row Not Used","",INDEX(SpaceTable[Annual Hours],(MATCH(B185,SpaceTable[Space Name Concatenated Helper],0))))</f>
        <v/>
      </c>
      <c r="AG185" s="205" t="str">
        <f t="shared" si="62"/>
        <v/>
      </c>
      <c r="AH185" s="234" t="str">
        <f t="shared" si="63"/>
        <v/>
      </c>
      <c r="AI185" s="205" t="str">
        <f t="shared" si="64"/>
        <v/>
      </c>
      <c r="AJ185" s="234" t="str">
        <f t="shared" si="65"/>
        <v/>
      </c>
      <c r="AK185" s="144" t="str">
        <f>IF(AM185="Row Not Used","",INDEX(SpaceTable[Row],(MATCH(B185,SpaceTable[Space Name Concatenated Helper],0))))</f>
        <v/>
      </c>
      <c r="AL185" s="238" t="str">
        <f>IF(AM185="Row Not Used","",INDEX(SpaceTable[HVAC Factor],(MATCH(B185,SpaceTable[Space Name Concatenated Helper],0))))</f>
        <v/>
      </c>
      <c r="AM185" s="520" t="str">
        <f t="shared" si="66"/>
        <v>Row Not Used</v>
      </c>
      <c r="AN185" s="512" t="e" cm="1">
        <f t="array" ref="AN185">INDEX(BallastFactorTable[Ballast Factor],MATCH(1,(BallastFactorTable[Fixture Class]=D185)*(BallastFactorTable[Fixture Category]=E185)*(BallastFactorTable[Fixture Sub-category]=F185),0))</f>
        <v>#N/A</v>
      </c>
      <c r="AO185" s="143" t="str">
        <f t="shared" si="79"/>
        <v/>
      </c>
      <c r="AP185" s="501" t="e" cm="1">
        <f t="array" ref="AP185">INDEX(BallastFactorTable[Wattage Range Name],MATCH(1,(BallastFactorTable[Fixture Class]=D185)*(BallastFactorTable[Fixture Category]=E185)*(BallastFactorTable[Fixture Sub-category]=F185),0))</f>
        <v>#N/A</v>
      </c>
      <c r="AQ185" s="515" t="str">
        <f t="shared" ca="1" si="67"/>
        <v>Okay</v>
      </c>
      <c r="AR185" s="512">
        <f t="shared" si="68"/>
        <v>0</v>
      </c>
      <c r="AS185" s="511" t="str">
        <f>IF(OR(Measures!AM185="Row Not Used",Measures!C185="Controls Only",Measures!C185="Decommissioning"),"",_xlfn.CONCAT(P185," ",Q185))</f>
        <v/>
      </c>
      <c r="AT185" s="264" t="str">
        <f t="shared" si="69"/>
        <v>None</v>
      </c>
      <c r="AU185" s="229">
        <f>IF(OR(AM185="Row Not Used",AM185="Controls Only"),0,INDEX(IncentiveRateTable[Incentive Rate],MATCH(AT185,IncentiveRateTable[Incentive Name],0)))</f>
        <v>0</v>
      </c>
      <c r="AV185" s="133" t="str">
        <f>IF(OR(AM185="Row Not Used",AM185="Controls Only"),"None",INDEX(IncentiveRateTable[Incentive Unit],MATCH(AT185,IncentiveRateTable[Incentive Name],0)))</f>
        <v>None</v>
      </c>
      <c r="AW185" s="578">
        <f t="shared" si="80"/>
        <v>0</v>
      </c>
      <c r="AX185" s="264" t="str">
        <f t="shared" si="70"/>
        <v>None</v>
      </c>
      <c r="AY185" s="229">
        <f>IF(OR(AM185="Row Not Used",AM185="Fixtures Only",AM185="Decommissioning"),0,INDEX(IncentiveRateTable[Incentive Rate],MATCH(AX185,IncentiveRateTable[Incentive Name],0)))</f>
        <v>0</v>
      </c>
      <c r="AZ185" s="133" t="str">
        <f>IF(OR(AM185="Row Not Used",AM185="Fixtures Only",AM185="Decommissioning"),"None",INDEX(IncentiveRateTable[Incentive Unit],MATCH(AX185,IncentiveRateTable[Incentive Name],0)))</f>
        <v>None</v>
      </c>
      <c r="BA185" s="465">
        <f t="shared" si="71"/>
        <v>0</v>
      </c>
      <c r="BB185" s="264" t="e" cm="1">
        <f t="array" ref="BB185">INDEX(BallastFactorTable[Commercial BPA Reference Number],MATCH(1,(BallastFactorTable[Fixture Class]=J185)*(BallastFactorTable[Fixture Category]=K185)*(BallastFactorTable[Fixture Sub-category]=L185),0))</f>
        <v>#N/A</v>
      </c>
      <c r="BC185" s="133" t="e" cm="1">
        <f t="array" ref="BC185">INDEX(BallastFactorTable[Industrial BPA Reference Number],MATCH(1,(BallastFactorTable[Fixture Class]=J185)*(BallastFactorTable[Fixture Category]=K185)*(BallastFactorTable[Fixture Sub-category]=L185),0))</f>
        <v>#N/A</v>
      </c>
      <c r="BD185" s="264" t="str">
        <f t="shared" si="72"/>
        <v>Sector is blank</v>
      </c>
      <c r="BE185" s="269" t="str">
        <f>IF(ISBLANK(SectorField),"Sector is blank",IF(AM185="Row Not Used","",IF(OR(R185="No Controls",ISBLANK(R185)),"",INDEX(ControlsBPARefNoTable[Reference Number],MATCH(SectorField,ControlsBPARefNoTable[Sector],0)))))</f>
        <v>Sector is blank</v>
      </c>
      <c r="BF185" s="530" t="str">
        <f t="shared" si="73"/>
        <v/>
      </c>
      <c r="BG185" s="132" t="str">
        <f t="shared" si="74"/>
        <v/>
      </c>
      <c r="BH185" s="531" t="str">
        <f t="shared" si="75"/>
        <v/>
      </c>
      <c r="BI185" s="532"/>
      <c r="BJ185" s="538" t="str">
        <f t="shared" si="81"/>
        <v/>
      </c>
      <c r="BK185" s="539" t="str">
        <f t="shared" si="82"/>
        <v/>
      </c>
      <c r="BL185" s="547" t="str">
        <f t="shared" si="83"/>
        <v/>
      </c>
    </row>
    <row r="186" spans="1:64" x14ac:dyDescent="0.3">
      <c r="A186" s="133">
        <v>179</v>
      </c>
      <c r="B186" s="294"/>
      <c r="C186" s="313"/>
      <c r="D186" s="292"/>
      <c r="E186" s="284"/>
      <c r="F186" s="284"/>
      <c r="G186" s="295"/>
      <c r="H186" s="296"/>
      <c r="I186" s="297"/>
      <c r="J186" s="292"/>
      <c r="K186" s="284"/>
      <c r="L186" s="284"/>
      <c r="M186" s="295"/>
      <c r="N186" s="296"/>
      <c r="O186" s="296"/>
      <c r="P186" s="284"/>
      <c r="Q186" s="298"/>
      <c r="R186" s="292"/>
      <c r="S186" s="299"/>
      <c r="T186" s="300"/>
      <c r="U186" s="317" t="str">
        <f t="shared" si="57"/>
        <v/>
      </c>
      <c r="V186" s="301"/>
      <c r="W186" s="137" t="str">
        <f t="shared" si="58"/>
        <v/>
      </c>
      <c r="X186" s="589" t="str">
        <f t="shared" si="76"/>
        <v/>
      </c>
      <c r="Y186" s="581"/>
      <c r="Z186" s="251" t="str">
        <f t="shared" si="59"/>
        <v/>
      </c>
      <c r="AA186" s="138" t="str">
        <f t="shared" si="84"/>
        <v/>
      </c>
      <c r="AB186" s="243" t="str">
        <f t="shared" si="77"/>
        <v/>
      </c>
      <c r="AC186" s="141" t="str">
        <f t="shared" si="60"/>
        <v/>
      </c>
      <c r="AD186" s="138" t="str">
        <f t="shared" si="78"/>
        <v/>
      </c>
      <c r="AE186" s="243" t="str">
        <f t="shared" si="61"/>
        <v/>
      </c>
      <c r="AF186" s="342" t="str">
        <f>IF(AM186="Row Not Used","",INDEX(SpaceTable[Annual Hours],(MATCH(B186,SpaceTable[Space Name Concatenated Helper],0))))</f>
        <v/>
      </c>
      <c r="AG186" s="205" t="str">
        <f t="shared" si="62"/>
        <v/>
      </c>
      <c r="AH186" s="234" t="str">
        <f t="shared" si="63"/>
        <v/>
      </c>
      <c r="AI186" s="205" t="str">
        <f t="shared" si="64"/>
        <v/>
      </c>
      <c r="AJ186" s="234" t="str">
        <f t="shared" si="65"/>
        <v/>
      </c>
      <c r="AK186" s="144" t="str">
        <f>IF(AM186="Row Not Used","",INDEX(SpaceTable[Row],(MATCH(B186,SpaceTable[Space Name Concatenated Helper],0))))</f>
        <v/>
      </c>
      <c r="AL186" s="238" t="str">
        <f>IF(AM186="Row Not Used","",INDEX(SpaceTable[HVAC Factor],(MATCH(B186,SpaceTable[Space Name Concatenated Helper],0))))</f>
        <v/>
      </c>
      <c r="AM186" s="520" t="str">
        <f t="shared" si="66"/>
        <v>Row Not Used</v>
      </c>
      <c r="AN186" s="512" t="e" cm="1">
        <f t="array" ref="AN186">INDEX(BallastFactorTable[Ballast Factor],MATCH(1,(BallastFactorTable[Fixture Class]=D186)*(BallastFactorTable[Fixture Category]=E186)*(BallastFactorTable[Fixture Sub-category]=F186),0))</f>
        <v>#N/A</v>
      </c>
      <c r="AO186" s="143" t="str">
        <f t="shared" si="79"/>
        <v/>
      </c>
      <c r="AP186" s="501" t="e" cm="1">
        <f t="array" ref="AP186">INDEX(BallastFactorTable[Wattage Range Name],MATCH(1,(BallastFactorTable[Fixture Class]=D186)*(BallastFactorTable[Fixture Category]=E186)*(BallastFactorTable[Fixture Sub-category]=F186),0))</f>
        <v>#N/A</v>
      </c>
      <c r="AQ186" s="515" t="str">
        <f t="shared" ca="1" si="67"/>
        <v>Okay</v>
      </c>
      <c r="AR186" s="512">
        <f t="shared" si="68"/>
        <v>0</v>
      </c>
      <c r="AS186" s="511" t="str">
        <f>IF(OR(Measures!AM186="Row Not Used",Measures!C186="Controls Only",Measures!C186="Decommissioning"),"",_xlfn.CONCAT(P186," ",Q186))</f>
        <v/>
      </c>
      <c r="AT186" s="264" t="str">
        <f t="shared" si="69"/>
        <v>None</v>
      </c>
      <c r="AU186" s="229">
        <f>IF(OR(AM186="Row Not Used",AM186="Controls Only"),0,INDEX(IncentiveRateTable[Incentive Rate],MATCH(AT186,IncentiveRateTable[Incentive Name],0)))</f>
        <v>0</v>
      </c>
      <c r="AV186" s="133" t="str">
        <f>IF(OR(AM186="Row Not Used",AM186="Controls Only"),"None",INDEX(IncentiveRateTable[Incentive Unit],MATCH(AT186,IncentiveRateTable[Incentive Name],0)))</f>
        <v>None</v>
      </c>
      <c r="AW186" s="578">
        <f t="shared" si="80"/>
        <v>0</v>
      </c>
      <c r="AX186" s="264" t="str">
        <f t="shared" si="70"/>
        <v>None</v>
      </c>
      <c r="AY186" s="229">
        <f>IF(OR(AM186="Row Not Used",AM186="Fixtures Only",AM186="Decommissioning"),0,INDEX(IncentiveRateTable[Incentive Rate],MATCH(AX186,IncentiveRateTable[Incentive Name],0)))</f>
        <v>0</v>
      </c>
      <c r="AZ186" s="133" t="str">
        <f>IF(OR(AM186="Row Not Used",AM186="Fixtures Only",AM186="Decommissioning"),"None",INDEX(IncentiveRateTable[Incentive Unit],MATCH(AX186,IncentiveRateTable[Incentive Name],0)))</f>
        <v>None</v>
      </c>
      <c r="BA186" s="465">
        <f t="shared" si="71"/>
        <v>0</v>
      </c>
      <c r="BB186" s="264" t="e" cm="1">
        <f t="array" ref="BB186">INDEX(BallastFactorTable[Commercial BPA Reference Number],MATCH(1,(BallastFactorTable[Fixture Class]=J186)*(BallastFactorTable[Fixture Category]=K186)*(BallastFactorTable[Fixture Sub-category]=L186),0))</f>
        <v>#N/A</v>
      </c>
      <c r="BC186" s="133" t="e" cm="1">
        <f t="array" ref="BC186">INDEX(BallastFactorTable[Industrial BPA Reference Number],MATCH(1,(BallastFactorTable[Fixture Class]=J186)*(BallastFactorTable[Fixture Category]=K186)*(BallastFactorTable[Fixture Sub-category]=L186),0))</f>
        <v>#N/A</v>
      </c>
      <c r="BD186" s="264" t="str">
        <f t="shared" si="72"/>
        <v>Sector is blank</v>
      </c>
      <c r="BE186" s="269" t="str">
        <f>IF(ISBLANK(SectorField),"Sector is blank",IF(AM186="Row Not Used","",IF(OR(R186="No Controls",ISBLANK(R186)),"",INDEX(ControlsBPARefNoTable[Reference Number],MATCH(SectorField,ControlsBPARefNoTable[Sector],0)))))</f>
        <v>Sector is blank</v>
      </c>
      <c r="BF186" s="530" t="str">
        <f t="shared" si="73"/>
        <v/>
      </c>
      <c r="BG186" s="132" t="str">
        <f t="shared" si="74"/>
        <v/>
      </c>
      <c r="BH186" s="531" t="str">
        <f t="shared" si="75"/>
        <v/>
      </c>
      <c r="BI186" s="532"/>
      <c r="BJ186" s="538" t="str">
        <f t="shared" si="81"/>
        <v/>
      </c>
      <c r="BK186" s="539" t="str">
        <f t="shared" si="82"/>
        <v/>
      </c>
      <c r="BL186" s="547" t="str">
        <f t="shared" si="83"/>
        <v/>
      </c>
    </row>
    <row r="187" spans="1:64" x14ac:dyDescent="0.3">
      <c r="A187" s="133">
        <v>180</v>
      </c>
      <c r="B187" s="294"/>
      <c r="C187" s="313"/>
      <c r="D187" s="292"/>
      <c r="E187" s="284"/>
      <c r="F187" s="284"/>
      <c r="G187" s="295"/>
      <c r="H187" s="296"/>
      <c r="I187" s="297"/>
      <c r="J187" s="292"/>
      <c r="K187" s="284"/>
      <c r="L187" s="284"/>
      <c r="M187" s="295"/>
      <c r="N187" s="296"/>
      <c r="O187" s="296"/>
      <c r="P187" s="284"/>
      <c r="Q187" s="298"/>
      <c r="R187" s="292"/>
      <c r="S187" s="299"/>
      <c r="T187" s="300"/>
      <c r="U187" s="317" t="str">
        <f t="shared" si="57"/>
        <v/>
      </c>
      <c r="V187" s="301"/>
      <c r="W187" s="136" t="str">
        <f t="shared" si="58"/>
        <v/>
      </c>
      <c r="X187" s="588" t="str">
        <f t="shared" si="76"/>
        <v/>
      </c>
      <c r="Y187" s="580"/>
      <c r="Z187" s="251" t="str">
        <f t="shared" si="59"/>
        <v/>
      </c>
      <c r="AA187" s="138" t="str">
        <f t="shared" si="84"/>
        <v/>
      </c>
      <c r="AB187" s="243" t="str">
        <f t="shared" si="77"/>
        <v/>
      </c>
      <c r="AC187" s="141" t="str">
        <f t="shared" si="60"/>
        <v/>
      </c>
      <c r="AD187" s="138" t="str">
        <f t="shared" si="78"/>
        <v/>
      </c>
      <c r="AE187" s="243" t="str">
        <f t="shared" si="61"/>
        <v/>
      </c>
      <c r="AF187" s="342" t="str">
        <f>IF(AM187="Row Not Used","",INDEX(SpaceTable[Annual Hours],(MATCH(B187,SpaceTable[Space Name Concatenated Helper],0))))</f>
        <v/>
      </c>
      <c r="AG187" s="205" t="str">
        <f t="shared" si="62"/>
        <v/>
      </c>
      <c r="AH187" s="234" t="str">
        <f t="shared" si="63"/>
        <v/>
      </c>
      <c r="AI187" s="205" t="str">
        <f t="shared" si="64"/>
        <v/>
      </c>
      <c r="AJ187" s="234" t="str">
        <f t="shared" si="65"/>
        <v/>
      </c>
      <c r="AK187" s="144" t="str">
        <f>IF(AM187="Row Not Used","",INDEX(SpaceTable[Row],(MATCH(B187,SpaceTable[Space Name Concatenated Helper],0))))</f>
        <v/>
      </c>
      <c r="AL187" s="238" t="str">
        <f>IF(AM187="Row Not Used","",INDEX(SpaceTable[HVAC Factor],(MATCH(B187,SpaceTable[Space Name Concatenated Helper],0))))</f>
        <v/>
      </c>
      <c r="AM187" s="520" t="str">
        <f t="shared" si="66"/>
        <v>Row Not Used</v>
      </c>
      <c r="AN187" s="512" t="e" cm="1">
        <f t="array" ref="AN187">INDEX(BallastFactorTable[Ballast Factor],MATCH(1,(BallastFactorTable[Fixture Class]=D187)*(BallastFactorTable[Fixture Category]=E187)*(BallastFactorTable[Fixture Sub-category]=F187),0))</f>
        <v>#N/A</v>
      </c>
      <c r="AO187" s="143" t="str">
        <f t="shared" si="79"/>
        <v/>
      </c>
      <c r="AP187" s="501" t="e" cm="1">
        <f t="array" ref="AP187">INDEX(BallastFactorTable[Wattage Range Name],MATCH(1,(BallastFactorTable[Fixture Class]=D187)*(BallastFactorTable[Fixture Category]=E187)*(BallastFactorTable[Fixture Sub-category]=F187),0))</f>
        <v>#N/A</v>
      </c>
      <c r="AQ187" s="515" t="str">
        <f t="shared" ca="1" si="67"/>
        <v>Okay</v>
      </c>
      <c r="AR187" s="512">
        <f t="shared" si="68"/>
        <v>0</v>
      </c>
      <c r="AS187" s="511" t="str">
        <f>IF(OR(Measures!AM187="Row Not Used",Measures!C187="Controls Only",Measures!C187="Decommissioning"),"",_xlfn.CONCAT(P187," ",Q187))</f>
        <v/>
      </c>
      <c r="AT187" s="264" t="str">
        <f t="shared" si="69"/>
        <v>None</v>
      </c>
      <c r="AU187" s="229">
        <f>IF(OR(AM187="Row Not Used",AM187="Controls Only"),0,INDEX(IncentiveRateTable[Incentive Rate],MATCH(AT187,IncentiveRateTable[Incentive Name],0)))</f>
        <v>0</v>
      </c>
      <c r="AV187" s="133" t="str">
        <f>IF(OR(AM187="Row Not Used",AM187="Controls Only"),"None",INDEX(IncentiveRateTable[Incentive Unit],MATCH(AT187,IncentiveRateTable[Incentive Name],0)))</f>
        <v>None</v>
      </c>
      <c r="AW187" s="578">
        <f t="shared" si="80"/>
        <v>0</v>
      </c>
      <c r="AX187" s="264" t="str">
        <f t="shared" si="70"/>
        <v>None</v>
      </c>
      <c r="AY187" s="229">
        <f>IF(OR(AM187="Row Not Used",AM187="Fixtures Only",AM187="Decommissioning"),0,INDEX(IncentiveRateTable[Incentive Rate],MATCH(AX187,IncentiveRateTable[Incentive Name],0)))</f>
        <v>0</v>
      </c>
      <c r="AZ187" s="133" t="str">
        <f>IF(OR(AM187="Row Not Used",AM187="Fixtures Only",AM187="Decommissioning"),"None",INDEX(IncentiveRateTable[Incentive Unit],MATCH(AX187,IncentiveRateTable[Incentive Name],0)))</f>
        <v>None</v>
      </c>
      <c r="BA187" s="465">
        <f t="shared" si="71"/>
        <v>0</v>
      </c>
      <c r="BB187" s="264" t="e" cm="1">
        <f t="array" ref="BB187">INDEX(BallastFactorTable[Commercial BPA Reference Number],MATCH(1,(BallastFactorTable[Fixture Class]=J187)*(BallastFactorTable[Fixture Category]=K187)*(BallastFactorTable[Fixture Sub-category]=L187),0))</f>
        <v>#N/A</v>
      </c>
      <c r="BC187" s="133" t="e" cm="1">
        <f t="array" ref="BC187">INDEX(BallastFactorTable[Industrial BPA Reference Number],MATCH(1,(BallastFactorTable[Fixture Class]=J187)*(BallastFactorTable[Fixture Category]=K187)*(BallastFactorTable[Fixture Sub-category]=L187),0))</f>
        <v>#N/A</v>
      </c>
      <c r="BD187" s="264" t="str">
        <f t="shared" si="72"/>
        <v>Sector is blank</v>
      </c>
      <c r="BE187" s="269" t="str">
        <f>IF(ISBLANK(SectorField),"Sector is blank",IF(AM187="Row Not Used","",IF(OR(R187="No Controls",ISBLANK(R187)),"",INDEX(ControlsBPARefNoTable[Reference Number],MATCH(SectorField,ControlsBPARefNoTable[Sector],0)))))</f>
        <v>Sector is blank</v>
      </c>
      <c r="BF187" s="530" t="str">
        <f t="shared" si="73"/>
        <v/>
      </c>
      <c r="BG187" s="132" t="str">
        <f t="shared" si="74"/>
        <v/>
      </c>
      <c r="BH187" s="531" t="str">
        <f t="shared" si="75"/>
        <v/>
      </c>
      <c r="BI187" s="532"/>
      <c r="BJ187" s="538" t="str">
        <f t="shared" si="81"/>
        <v/>
      </c>
      <c r="BK187" s="539" t="str">
        <f t="shared" si="82"/>
        <v/>
      </c>
      <c r="BL187" s="547" t="str">
        <f t="shared" si="83"/>
        <v/>
      </c>
    </row>
    <row r="188" spans="1:64" x14ac:dyDescent="0.3">
      <c r="A188" s="133">
        <v>181</v>
      </c>
      <c r="B188" s="294"/>
      <c r="C188" s="313"/>
      <c r="D188" s="292"/>
      <c r="E188" s="284"/>
      <c r="F188" s="284"/>
      <c r="G188" s="295"/>
      <c r="H188" s="296"/>
      <c r="I188" s="297"/>
      <c r="J188" s="292"/>
      <c r="K188" s="284"/>
      <c r="L188" s="284"/>
      <c r="M188" s="295"/>
      <c r="N188" s="296"/>
      <c r="O188" s="296"/>
      <c r="P188" s="284"/>
      <c r="Q188" s="298"/>
      <c r="R188" s="292"/>
      <c r="S188" s="299"/>
      <c r="T188" s="300"/>
      <c r="U188" s="317" t="str">
        <f t="shared" si="57"/>
        <v/>
      </c>
      <c r="V188" s="301"/>
      <c r="W188" s="137" t="str">
        <f t="shared" si="58"/>
        <v/>
      </c>
      <c r="X188" s="589" t="str">
        <f t="shared" si="76"/>
        <v/>
      </c>
      <c r="Y188" s="581"/>
      <c r="Z188" s="251" t="str">
        <f t="shared" si="59"/>
        <v/>
      </c>
      <c r="AA188" s="138" t="str">
        <f t="shared" si="84"/>
        <v/>
      </c>
      <c r="AB188" s="243" t="str">
        <f t="shared" si="77"/>
        <v/>
      </c>
      <c r="AC188" s="141" t="str">
        <f t="shared" si="60"/>
        <v/>
      </c>
      <c r="AD188" s="138" t="str">
        <f t="shared" si="78"/>
        <v/>
      </c>
      <c r="AE188" s="243" t="str">
        <f t="shared" si="61"/>
        <v/>
      </c>
      <c r="AF188" s="342" t="str">
        <f>IF(AM188="Row Not Used","",INDEX(SpaceTable[Annual Hours],(MATCH(B188,SpaceTable[Space Name Concatenated Helper],0))))</f>
        <v/>
      </c>
      <c r="AG188" s="205" t="str">
        <f t="shared" si="62"/>
        <v/>
      </c>
      <c r="AH188" s="234" t="str">
        <f t="shared" si="63"/>
        <v/>
      </c>
      <c r="AI188" s="205" t="str">
        <f t="shared" si="64"/>
        <v/>
      </c>
      <c r="AJ188" s="234" t="str">
        <f t="shared" si="65"/>
        <v/>
      </c>
      <c r="AK188" s="144" t="str">
        <f>IF(AM188="Row Not Used","",INDEX(SpaceTable[Row],(MATCH(B188,SpaceTable[Space Name Concatenated Helper],0))))</f>
        <v/>
      </c>
      <c r="AL188" s="238" t="str">
        <f>IF(AM188="Row Not Used","",INDEX(SpaceTable[HVAC Factor],(MATCH(B188,SpaceTable[Space Name Concatenated Helper],0))))</f>
        <v/>
      </c>
      <c r="AM188" s="520" t="str">
        <f t="shared" si="66"/>
        <v>Row Not Used</v>
      </c>
      <c r="AN188" s="512" t="e" cm="1">
        <f t="array" ref="AN188">INDEX(BallastFactorTable[Ballast Factor],MATCH(1,(BallastFactorTable[Fixture Class]=D188)*(BallastFactorTable[Fixture Category]=E188)*(BallastFactorTable[Fixture Sub-category]=F188),0))</f>
        <v>#N/A</v>
      </c>
      <c r="AO188" s="143" t="str">
        <f t="shared" si="79"/>
        <v/>
      </c>
      <c r="AP188" s="501" t="e" cm="1">
        <f t="array" ref="AP188">INDEX(BallastFactorTable[Wattage Range Name],MATCH(1,(BallastFactorTable[Fixture Class]=D188)*(BallastFactorTable[Fixture Category]=E188)*(BallastFactorTable[Fixture Sub-category]=F188),0))</f>
        <v>#N/A</v>
      </c>
      <c r="AQ188" s="515" t="str">
        <f t="shared" ca="1" si="67"/>
        <v>Okay</v>
      </c>
      <c r="AR188" s="512">
        <f t="shared" si="68"/>
        <v>0</v>
      </c>
      <c r="AS188" s="511" t="str">
        <f>IF(OR(Measures!AM188="Row Not Used",Measures!C188="Controls Only",Measures!C188="Decommissioning"),"",_xlfn.CONCAT(P188," ",Q188))</f>
        <v/>
      </c>
      <c r="AT188" s="264" t="str">
        <f t="shared" si="69"/>
        <v>None</v>
      </c>
      <c r="AU188" s="229">
        <f>IF(OR(AM188="Row Not Used",AM188="Controls Only"),0,INDEX(IncentiveRateTable[Incentive Rate],MATCH(AT188,IncentiveRateTable[Incentive Name],0)))</f>
        <v>0</v>
      </c>
      <c r="AV188" s="133" t="str">
        <f>IF(OR(AM188="Row Not Used",AM188="Controls Only"),"None",INDEX(IncentiveRateTable[Incentive Unit],MATCH(AT188,IncentiveRateTable[Incentive Name],0)))</f>
        <v>None</v>
      </c>
      <c r="AW188" s="578">
        <f t="shared" si="80"/>
        <v>0</v>
      </c>
      <c r="AX188" s="264" t="str">
        <f t="shared" si="70"/>
        <v>None</v>
      </c>
      <c r="AY188" s="229">
        <f>IF(OR(AM188="Row Not Used",AM188="Fixtures Only",AM188="Decommissioning"),0,INDEX(IncentiveRateTable[Incentive Rate],MATCH(AX188,IncentiveRateTable[Incentive Name],0)))</f>
        <v>0</v>
      </c>
      <c r="AZ188" s="133" t="str">
        <f>IF(OR(AM188="Row Not Used",AM188="Fixtures Only",AM188="Decommissioning"),"None",INDEX(IncentiveRateTable[Incentive Unit],MATCH(AX188,IncentiveRateTable[Incentive Name],0)))</f>
        <v>None</v>
      </c>
      <c r="BA188" s="465">
        <f t="shared" si="71"/>
        <v>0</v>
      </c>
      <c r="BB188" s="264" t="e" cm="1">
        <f t="array" ref="BB188">INDEX(BallastFactorTable[Commercial BPA Reference Number],MATCH(1,(BallastFactorTable[Fixture Class]=J188)*(BallastFactorTable[Fixture Category]=K188)*(BallastFactorTable[Fixture Sub-category]=L188),0))</f>
        <v>#N/A</v>
      </c>
      <c r="BC188" s="133" t="e" cm="1">
        <f t="array" ref="BC188">INDEX(BallastFactorTable[Industrial BPA Reference Number],MATCH(1,(BallastFactorTable[Fixture Class]=J188)*(BallastFactorTable[Fixture Category]=K188)*(BallastFactorTable[Fixture Sub-category]=L188),0))</f>
        <v>#N/A</v>
      </c>
      <c r="BD188" s="264" t="str">
        <f t="shared" si="72"/>
        <v>Sector is blank</v>
      </c>
      <c r="BE188" s="269" t="str">
        <f>IF(ISBLANK(SectorField),"Sector is blank",IF(AM188="Row Not Used","",IF(OR(R188="No Controls",ISBLANK(R188)),"",INDEX(ControlsBPARefNoTable[Reference Number],MATCH(SectorField,ControlsBPARefNoTable[Sector],0)))))</f>
        <v>Sector is blank</v>
      </c>
      <c r="BF188" s="530" t="str">
        <f t="shared" si="73"/>
        <v/>
      </c>
      <c r="BG188" s="132" t="str">
        <f t="shared" si="74"/>
        <v/>
      </c>
      <c r="BH188" s="531" t="str">
        <f t="shared" si="75"/>
        <v/>
      </c>
      <c r="BI188" s="532"/>
      <c r="BJ188" s="538" t="str">
        <f t="shared" si="81"/>
        <v/>
      </c>
      <c r="BK188" s="539" t="str">
        <f t="shared" si="82"/>
        <v/>
      </c>
      <c r="BL188" s="547" t="str">
        <f t="shared" si="83"/>
        <v/>
      </c>
    </row>
    <row r="189" spans="1:64" x14ac:dyDescent="0.3">
      <c r="A189" s="133">
        <v>182</v>
      </c>
      <c r="B189" s="294"/>
      <c r="C189" s="313"/>
      <c r="D189" s="292"/>
      <c r="E189" s="284"/>
      <c r="F189" s="284"/>
      <c r="G189" s="295"/>
      <c r="H189" s="296"/>
      <c r="I189" s="297"/>
      <c r="J189" s="292"/>
      <c r="K189" s="284"/>
      <c r="L189" s="284"/>
      <c r="M189" s="295"/>
      <c r="N189" s="296"/>
      <c r="O189" s="296"/>
      <c r="P189" s="284"/>
      <c r="Q189" s="298"/>
      <c r="R189" s="292"/>
      <c r="S189" s="299"/>
      <c r="T189" s="300"/>
      <c r="U189" s="317" t="str">
        <f t="shared" si="57"/>
        <v/>
      </c>
      <c r="V189" s="301"/>
      <c r="W189" s="136" t="str">
        <f t="shared" si="58"/>
        <v/>
      </c>
      <c r="X189" s="588" t="str">
        <f t="shared" si="76"/>
        <v/>
      </c>
      <c r="Y189" s="580"/>
      <c r="Z189" s="251" t="str">
        <f t="shared" si="59"/>
        <v/>
      </c>
      <c r="AA189" s="138" t="str">
        <f t="shared" si="84"/>
        <v/>
      </c>
      <c r="AB189" s="243" t="str">
        <f t="shared" si="77"/>
        <v/>
      </c>
      <c r="AC189" s="141" t="str">
        <f t="shared" si="60"/>
        <v/>
      </c>
      <c r="AD189" s="138" t="str">
        <f t="shared" si="78"/>
        <v/>
      </c>
      <c r="AE189" s="243" t="str">
        <f t="shared" si="61"/>
        <v/>
      </c>
      <c r="AF189" s="342" t="str">
        <f>IF(AM189="Row Not Used","",INDEX(SpaceTable[Annual Hours],(MATCH(B189,SpaceTable[Space Name Concatenated Helper],0))))</f>
        <v/>
      </c>
      <c r="AG189" s="205" t="str">
        <f t="shared" si="62"/>
        <v/>
      </c>
      <c r="AH189" s="234" t="str">
        <f t="shared" si="63"/>
        <v/>
      </c>
      <c r="AI189" s="205" t="str">
        <f t="shared" si="64"/>
        <v/>
      </c>
      <c r="AJ189" s="234" t="str">
        <f t="shared" si="65"/>
        <v/>
      </c>
      <c r="AK189" s="144" t="str">
        <f>IF(AM189="Row Not Used","",INDEX(SpaceTable[Row],(MATCH(B189,SpaceTable[Space Name Concatenated Helper],0))))</f>
        <v/>
      </c>
      <c r="AL189" s="238" t="str">
        <f>IF(AM189="Row Not Used","",INDEX(SpaceTable[HVAC Factor],(MATCH(B189,SpaceTable[Space Name Concatenated Helper],0))))</f>
        <v/>
      </c>
      <c r="AM189" s="520" t="str">
        <f t="shared" si="66"/>
        <v>Row Not Used</v>
      </c>
      <c r="AN189" s="512" t="e" cm="1">
        <f t="array" ref="AN189">INDEX(BallastFactorTable[Ballast Factor],MATCH(1,(BallastFactorTable[Fixture Class]=D189)*(BallastFactorTable[Fixture Category]=E189)*(BallastFactorTable[Fixture Sub-category]=F189),0))</f>
        <v>#N/A</v>
      </c>
      <c r="AO189" s="143" t="str">
        <f t="shared" si="79"/>
        <v/>
      </c>
      <c r="AP189" s="501" t="e" cm="1">
        <f t="array" ref="AP189">INDEX(BallastFactorTable[Wattage Range Name],MATCH(1,(BallastFactorTable[Fixture Class]=D189)*(BallastFactorTable[Fixture Category]=E189)*(BallastFactorTable[Fixture Sub-category]=F189),0))</f>
        <v>#N/A</v>
      </c>
      <c r="AQ189" s="515" t="str">
        <f t="shared" ca="1" si="67"/>
        <v>Okay</v>
      </c>
      <c r="AR189" s="512">
        <f t="shared" si="68"/>
        <v>0</v>
      </c>
      <c r="AS189" s="511" t="str">
        <f>IF(OR(Measures!AM189="Row Not Used",Measures!C189="Controls Only",Measures!C189="Decommissioning"),"",_xlfn.CONCAT(P189," ",Q189))</f>
        <v/>
      </c>
      <c r="AT189" s="264" t="str">
        <f t="shared" si="69"/>
        <v>None</v>
      </c>
      <c r="AU189" s="229">
        <f>IF(OR(AM189="Row Not Used",AM189="Controls Only"),0,INDEX(IncentiveRateTable[Incentive Rate],MATCH(AT189,IncentiveRateTable[Incentive Name],0)))</f>
        <v>0</v>
      </c>
      <c r="AV189" s="133" t="str">
        <f>IF(OR(AM189="Row Not Used",AM189="Controls Only"),"None",INDEX(IncentiveRateTable[Incentive Unit],MATCH(AT189,IncentiveRateTable[Incentive Name],0)))</f>
        <v>None</v>
      </c>
      <c r="AW189" s="578">
        <f t="shared" si="80"/>
        <v>0</v>
      </c>
      <c r="AX189" s="264" t="str">
        <f t="shared" si="70"/>
        <v>None</v>
      </c>
      <c r="AY189" s="229">
        <f>IF(OR(AM189="Row Not Used",AM189="Fixtures Only",AM189="Decommissioning"),0,INDEX(IncentiveRateTable[Incentive Rate],MATCH(AX189,IncentiveRateTable[Incentive Name],0)))</f>
        <v>0</v>
      </c>
      <c r="AZ189" s="133" t="str">
        <f>IF(OR(AM189="Row Not Used",AM189="Fixtures Only",AM189="Decommissioning"),"None",INDEX(IncentiveRateTable[Incentive Unit],MATCH(AX189,IncentiveRateTable[Incentive Name],0)))</f>
        <v>None</v>
      </c>
      <c r="BA189" s="465">
        <f t="shared" si="71"/>
        <v>0</v>
      </c>
      <c r="BB189" s="264" t="e" cm="1">
        <f t="array" ref="BB189">INDEX(BallastFactorTable[Commercial BPA Reference Number],MATCH(1,(BallastFactorTable[Fixture Class]=J189)*(BallastFactorTable[Fixture Category]=K189)*(BallastFactorTable[Fixture Sub-category]=L189),0))</f>
        <v>#N/A</v>
      </c>
      <c r="BC189" s="133" t="e" cm="1">
        <f t="array" ref="BC189">INDEX(BallastFactorTable[Industrial BPA Reference Number],MATCH(1,(BallastFactorTable[Fixture Class]=J189)*(BallastFactorTable[Fixture Category]=K189)*(BallastFactorTable[Fixture Sub-category]=L189),0))</f>
        <v>#N/A</v>
      </c>
      <c r="BD189" s="264" t="str">
        <f t="shared" si="72"/>
        <v>Sector is blank</v>
      </c>
      <c r="BE189" s="269" t="str">
        <f>IF(ISBLANK(SectorField),"Sector is blank",IF(AM189="Row Not Used","",IF(OR(R189="No Controls",ISBLANK(R189)),"",INDEX(ControlsBPARefNoTable[Reference Number],MATCH(SectorField,ControlsBPARefNoTable[Sector],0)))))</f>
        <v>Sector is blank</v>
      </c>
      <c r="BF189" s="530" t="str">
        <f t="shared" si="73"/>
        <v/>
      </c>
      <c r="BG189" s="132" t="str">
        <f t="shared" si="74"/>
        <v/>
      </c>
      <c r="BH189" s="531" t="str">
        <f t="shared" si="75"/>
        <v/>
      </c>
      <c r="BI189" s="532"/>
      <c r="BJ189" s="538" t="str">
        <f t="shared" si="81"/>
        <v/>
      </c>
      <c r="BK189" s="539" t="str">
        <f t="shared" si="82"/>
        <v/>
      </c>
      <c r="BL189" s="547" t="str">
        <f t="shared" si="83"/>
        <v/>
      </c>
    </row>
    <row r="190" spans="1:64" x14ac:dyDescent="0.3">
      <c r="A190" s="133">
        <v>183</v>
      </c>
      <c r="B190" s="294"/>
      <c r="C190" s="313"/>
      <c r="D190" s="292"/>
      <c r="E190" s="284"/>
      <c r="F190" s="284"/>
      <c r="G190" s="295"/>
      <c r="H190" s="296"/>
      <c r="I190" s="297"/>
      <c r="J190" s="292"/>
      <c r="K190" s="284"/>
      <c r="L190" s="284"/>
      <c r="M190" s="295"/>
      <c r="N190" s="296"/>
      <c r="O190" s="296"/>
      <c r="P190" s="284"/>
      <c r="Q190" s="298"/>
      <c r="R190" s="292"/>
      <c r="S190" s="299"/>
      <c r="T190" s="300"/>
      <c r="U190" s="317" t="str">
        <f t="shared" si="57"/>
        <v/>
      </c>
      <c r="V190" s="301"/>
      <c r="W190" s="137" t="str">
        <f t="shared" si="58"/>
        <v/>
      </c>
      <c r="X190" s="589" t="str">
        <f t="shared" si="76"/>
        <v/>
      </c>
      <c r="Y190" s="581"/>
      <c r="Z190" s="251" t="str">
        <f t="shared" si="59"/>
        <v/>
      </c>
      <c r="AA190" s="138" t="str">
        <f t="shared" si="84"/>
        <v/>
      </c>
      <c r="AB190" s="243" t="str">
        <f t="shared" si="77"/>
        <v/>
      </c>
      <c r="AC190" s="141" t="str">
        <f t="shared" si="60"/>
        <v/>
      </c>
      <c r="AD190" s="138" t="str">
        <f t="shared" si="78"/>
        <v/>
      </c>
      <c r="AE190" s="243" t="str">
        <f t="shared" si="61"/>
        <v/>
      </c>
      <c r="AF190" s="342" t="str">
        <f>IF(AM190="Row Not Used","",INDEX(SpaceTable[Annual Hours],(MATCH(B190,SpaceTable[Space Name Concatenated Helper],0))))</f>
        <v/>
      </c>
      <c r="AG190" s="205" t="str">
        <f t="shared" si="62"/>
        <v/>
      </c>
      <c r="AH190" s="234" t="str">
        <f t="shared" si="63"/>
        <v/>
      </c>
      <c r="AI190" s="205" t="str">
        <f t="shared" si="64"/>
        <v/>
      </c>
      <c r="AJ190" s="234" t="str">
        <f t="shared" si="65"/>
        <v/>
      </c>
      <c r="AK190" s="144" t="str">
        <f>IF(AM190="Row Not Used","",INDEX(SpaceTable[Row],(MATCH(B190,SpaceTable[Space Name Concatenated Helper],0))))</f>
        <v/>
      </c>
      <c r="AL190" s="238" t="str">
        <f>IF(AM190="Row Not Used","",INDEX(SpaceTable[HVAC Factor],(MATCH(B190,SpaceTable[Space Name Concatenated Helper],0))))</f>
        <v/>
      </c>
      <c r="AM190" s="520" t="str">
        <f t="shared" si="66"/>
        <v>Row Not Used</v>
      </c>
      <c r="AN190" s="512" t="e" cm="1">
        <f t="array" ref="AN190">INDEX(BallastFactorTable[Ballast Factor],MATCH(1,(BallastFactorTable[Fixture Class]=D190)*(BallastFactorTable[Fixture Category]=E190)*(BallastFactorTable[Fixture Sub-category]=F190),0))</f>
        <v>#N/A</v>
      </c>
      <c r="AO190" s="143" t="str">
        <f t="shared" si="79"/>
        <v/>
      </c>
      <c r="AP190" s="501" t="e" cm="1">
        <f t="array" ref="AP190">INDEX(BallastFactorTable[Wattage Range Name],MATCH(1,(BallastFactorTable[Fixture Class]=D190)*(BallastFactorTable[Fixture Category]=E190)*(BallastFactorTable[Fixture Sub-category]=F190),0))</f>
        <v>#N/A</v>
      </c>
      <c r="AQ190" s="515" t="str">
        <f t="shared" ca="1" si="67"/>
        <v>Okay</v>
      </c>
      <c r="AR190" s="512">
        <f t="shared" si="68"/>
        <v>0</v>
      </c>
      <c r="AS190" s="511" t="str">
        <f>IF(OR(Measures!AM190="Row Not Used",Measures!C190="Controls Only",Measures!C190="Decommissioning"),"",_xlfn.CONCAT(P190," ",Q190))</f>
        <v/>
      </c>
      <c r="AT190" s="264" t="str">
        <f t="shared" si="69"/>
        <v>None</v>
      </c>
      <c r="AU190" s="229">
        <f>IF(OR(AM190="Row Not Used",AM190="Controls Only"),0,INDEX(IncentiveRateTable[Incentive Rate],MATCH(AT190,IncentiveRateTable[Incentive Name],0)))</f>
        <v>0</v>
      </c>
      <c r="AV190" s="133" t="str">
        <f>IF(OR(AM190="Row Not Used",AM190="Controls Only"),"None",INDEX(IncentiveRateTable[Incentive Unit],MATCH(AT190,IncentiveRateTable[Incentive Name],0)))</f>
        <v>None</v>
      </c>
      <c r="AW190" s="578">
        <f t="shared" si="80"/>
        <v>0</v>
      </c>
      <c r="AX190" s="264" t="str">
        <f t="shared" si="70"/>
        <v>None</v>
      </c>
      <c r="AY190" s="229">
        <f>IF(OR(AM190="Row Not Used",AM190="Fixtures Only",AM190="Decommissioning"),0,INDEX(IncentiveRateTable[Incentive Rate],MATCH(AX190,IncentiveRateTable[Incentive Name],0)))</f>
        <v>0</v>
      </c>
      <c r="AZ190" s="133" t="str">
        <f>IF(OR(AM190="Row Not Used",AM190="Fixtures Only",AM190="Decommissioning"),"None",INDEX(IncentiveRateTable[Incentive Unit],MATCH(AX190,IncentiveRateTable[Incentive Name],0)))</f>
        <v>None</v>
      </c>
      <c r="BA190" s="465">
        <f t="shared" si="71"/>
        <v>0</v>
      </c>
      <c r="BB190" s="264" t="e" cm="1">
        <f t="array" ref="BB190">INDEX(BallastFactorTable[Commercial BPA Reference Number],MATCH(1,(BallastFactorTable[Fixture Class]=J190)*(BallastFactorTable[Fixture Category]=K190)*(BallastFactorTable[Fixture Sub-category]=L190),0))</f>
        <v>#N/A</v>
      </c>
      <c r="BC190" s="133" t="e" cm="1">
        <f t="array" ref="BC190">INDEX(BallastFactorTable[Industrial BPA Reference Number],MATCH(1,(BallastFactorTable[Fixture Class]=J190)*(BallastFactorTable[Fixture Category]=K190)*(BallastFactorTable[Fixture Sub-category]=L190),0))</f>
        <v>#N/A</v>
      </c>
      <c r="BD190" s="264" t="str">
        <f t="shared" si="72"/>
        <v>Sector is blank</v>
      </c>
      <c r="BE190" s="269" t="str">
        <f>IF(ISBLANK(SectorField),"Sector is blank",IF(AM190="Row Not Used","",IF(OR(R190="No Controls",ISBLANK(R190)),"",INDEX(ControlsBPARefNoTable[Reference Number],MATCH(SectorField,ControlsBPARefNoTable[Sector],0)))))</f>
        <v>Sector is blank</v>
      </c>
      <c r="BF190" s="530" t="str">
        <f t="shared" si="73"/>
        <v/>
      </c>
      <c r="BG190" s="132" t="str">
        <f t="shared" si="74"/>
        <v/>
      </c>
      <c r="BH190" s="531" t="str">
        <f t="shared" si="75"/>
        <v/>
      </c>
      <c r="BI190" s="532"/>
      <c r="BJ190" s="538" t="str">
        <f t="shared" si="81"/>
        <v/>
      </c>
      <c r="BK190" s="539" t="str">
        <f t="shared" si="82"/>
        <v/>
      </c>
      <c r="BL190" s="547" t="str">
        <f t="shared" si="83"/>
        <v/>
      </c>
    </row>
    <row r="191" spans="1:64" x14ac:dyDescent="0.3">
      <c r="A191" s="133">
        <v>184</v>
      </c>
      <c r="B191" s="294"/>
      <c r="C191" s="313"/>
      <c r="D191" s="292"/>
      <c r="E191" s="284"/>
      <c r="F191" s="284"/>
      <c r="G191" s="295"/>
      <c r="H191" s="296"/>
      <c r="I191" s="297"/>
      <c r="J191" s="292"/>
      <c r="K191" s="284"/>
      <c r="L191" s="284"/>
      <c r="M191" s="295"/>
      <c r="N191" s="296"/>
      <c r="O191" s="296"/>
      <c r="P191" s="284"/>
      <c r="Q191" s="298"/>
      <c r="R191" s="292"/>
      <c r="S191" s="299"/>
      <c r="T191" s="300"/>
      <c r="U191" s="317" t="str">
        <f t="shared" si="57"/>
        <v/>
      </c>
      <c r="V191" s="301"/>
      <c r="W191" s="136" t="str">
        <f t="shared" si="58"/>
        <v/>
      </c>
      <c r="X191" s="588" t="str">
        <f t="shared" si="76"/>
        <v/>
      </c>
      <c r="Y191" s="580"/>
      <c r="Z191" s="251" t="str">
        <f t="shared" si="59"/>
        <v/>
      </c>
      <c r="AA191" s="138" t="str">
        <f t="shared" si="84"/>
        <v/>
      </c>
      <c r="AB191" s="243" t="str">
        <f t="shared" si="77"/>
        <v/>
      </c>
      <c r="AC191" s="141" t="str">
        <f t="shared" si="60"/>
        <v/>
      </c>
      <c r="AD191" s="138" t="str">
        <f t="shared" si="78"/>
        <v/>
      </c>
      <c r="AE191" s="243" t="str">
        <f t="shared" si="61"/>
        <v/>
      </c>
      <c r="AF191" s="342" t="str">
        <f>IF(AM191="Row Not Used","",INDEX(SpaceTable[Annual Hours],(MATCH(B191,SpaceTable[Space Name Concatenated Helper],0))))</f>
        <v/>
      </c>
      <c r="AG191" s="205" t="str">
        <f t="shared" si="62"/>
        <v/>
      </c>
      <c r="AH191" s="234" t="str">
        <f t="shared" si="63"/>
        <v/>
      </c>
      <c r="AI191" s="205" t="str">
        <f t="shared" si="64"/>
        <v/>
      </c>
      <c r="AJ191" s="234" t="str">
        <f t="shared" si="65"/>
        <v/>
      </c>
      <c r="AK191" s="144" t="str">
        <f>IF(AM191="Row Not Used","",INDEX(SpaceTable[Row],(MATCH(B191,SpaceTable[Space Name Concatenated Helper],0))))</f>
        <v/>
      </c>
      <c r="AL191" s="238" t="str">
        <f>IF(AM191="Row Not Used","",INDEX(SpaceTable[HVAC Factor],(MATCH(B191,SpaceTable[Space Name Concatenated Helper],0))))</f>
        <v/>
      </c>
      <c r="AM191" s="520" t="str">
        <f t="shared" si="66"/>
        <v>Row Not Used</v>
      </c>
      <c r="AN191" s="512" t="e" cm="1">
        <f t="array" ref="AN191">INDEX(BallastFactorTable[Ballast Factor],MATCH(1,(BallastFactorTable[Fixture Class]=D191)*(BallastFactorTable[Fixture Category]=E191)*(BallastFactorTable[Fixture Sub-category]=F191),0))</f>
        <v>#N/A</v>
      </c>
      <c r="AO191" s="143" t="str">
        <f t="shared" si="79"/>
        <v/>
      </c>
      <c r="AP191" s="501" t="e" cm="1">
        <f t="array" ref="AP191">INDEX(BallastFactorTable[Wattage Range Name],MATCH(1,(BallastFactorTable[Fixture Class]=D191)*(BallastFactorTable[Fixture Category]=E191)*(BallastFactorTable[Fixture Sub-category]=F191),0))</f>
        <v>#N/A</v>
      </c>
      <c r="AQ191" s="515" t="str">
        <f t="shared" ca="1" si="67"/>
        <v>Okay</v>
      </c>
      <c r="AR191" s="512">
        <f t="shared" si="68"/>
        <v>0</v>
      </c>
      <c r="AS191" s="511" t="str">
        <f>IF(OR(Measures!AM191="Row Not Used",Measures!C191="Controls Only",Measures!C191="Decommissioning"),"",_xlfn.CONCAT(P191," ",Q191))</f>
        <v/>
      </c>
      <c r="AT191" s="264" t="str">
        <f t="shared" si="69"/>
        <v>None</v>
      </c>
      <c r="AU191" s="229">
        <f>IF(OR(AM191="Row Not Used",AM191="Controls Only"),0,INDEX(IncentiveRateTable[Incentive Rate],MATCH(AT191,IncentiveRateTable[Incentive Name],0)))</f>
        <v>0</v>
      </c>
      <c r="AV191" s="133" t="str">
        <f>IF(OR(AM191="Row Not Used",AM191="Controls Only"),"None",INDEX(IncentiveRateTable[Incentive Unit],MATCH(AT191,IncentiveRateTable[Incentive Name],0)))</f>
        <v>None</v>
      </c>
      <c r="AW191" s="578">
        <f t="shared" si="80"/>
        <v>0</v>
      </c>
      <c r="AX191" s="264" t="str">
        <f t="shared" si="70"/>
        <v>None</v>
      </c>
      <c r="AY191" s="229">
        <f>IF(OR(AM191="Row Not Used",AM191="Fixtures Only",AM191="Decommissioning"),0,INDEX(IncentiveRateTable[Incentive Rate],MATCH(AX191,IncentiveRateTable[Incentive Name],0)))</f>
        <v>0</v>
      </c>
      <c r="AZ191" s="133" t="str">
        <f>IF(OR(AM191="Row Not Used",AM191="Fixtures Only",AM191="Decommissioning"),"None",INDEX(IncentiveRateTable[Incentive Unit],MATCH(AX191,IncentiveRateTable[Incentive Name],0)))</f>
        <v>None</v>
      </c>
      <c r="BA191" s="465">
        <f t="shared" si="71"/>
        <v>0</v>
      </c>
      <c r="BB191" s="264" t="e" cm="1">
        <f t="array" ref="BB191">INDEX(BallastFactorTable[Commercial BPA Reference Number],MATCH(1,(BallastFactorTable[Fixture Class]=J191)*(BallastFactorTable[Fixture Category]=K191)*(BallastFactorTable[Fixture Sub-category]=L191),0))</f>
        <v>#N/A</v>
      </c>
      <c r="BC191" s="133" t="e" cm="1">
        <f t="array" ref="BC191">INDEX(BallastFactorTable[Industrial BPA Reference Number],MATCH(1,(BallastFactorTable[Fixture Class]=J191)*(BallastFactorTable[Fixture Category]=K191)*(BallastFactorTable[Fixture Sub-category]=L191),0))</f>
        <v>#N/A</v>
      </c>
      <c r="BD191" s="264" t="str">
        <f t="shared" si="72"/>
        <v>Sector is blank</v>
      </c>
      <c r="BE191" s="269" t="str">
        <f>IF(ISBLANK(SectorField),"Sector is blank",IF(AM191="Row Not Used","",IF(OR(R191="No Controls",ISBLANK(R191)),"",INDEX(ControlsBPARefNoTable[Reference Number],MATCH(SectorField,ControlsBPARefNoTable[Sector],0)))))</f>
        <v>Sector is blank</v>
      </c>
      <c r="BF191" s="530" t="str">
        <f t="shared" si="73"/>
        <v/>
      </c>
      <c r="BG191" s="132" t="str">
        <f t="shared" si="74"/>
        <v/>
      </c>
      <c r="BH191" s="531" t="str">
        <f t="shared" si="75"/>
        <v/>
      </c>
      <c r="BI191" s="532"/>
      <c r="BJ191" s="538" t="str">
        <f t="shared" si="81"/>
        <v/>
      </c>
      <c r="BK191" s="539" t="str">
        <f t="shared" si="82"/>
        <v/>
      </c>
      <c r="BL191" s="547" t="str">
        <f t="shared" si="83"/>
        <v/>
      </c>
    </row>
    <row r="192" spans="1:64" x14ac:dyDescent="0.3">
      <c r="A192" s="133">
        <v>185</v>
      </c>
      <c r="B192" s="294"/>
      <c r="C192" s="313"/>
      <c r="D192" s="292"/>
      <c r="E192" s="284"/>
      <c r="F192" s="284"/>
      <c r="G192" s="295"/>
      <c r="H192" s="296"/>
      <c r="I192" s="297"/>
      <c r="J192" s="292"/>
      <c r="K192" s="284"/>
      <c r="L192" s="284"/>
      <c r="M192" s="295"/>
      <c r="N192" s="296"/>
      <c r="O192" s="296"/>
      <c r="P192" s="284"/>
      <c r="Q192" s="298"/>
      <c r="R192" s="292"/>
      <c r="S192" s="299"/>
      <c r="T192" s="300"/>
      <c r="U192" s="317" t="str">
        <f t="shared" si="57"/>
        <v/>
      </c>
      <c r="V192" s="301"/>
      <c r="W192" s="137" t="str">
        <f t="shared" si="58"/>
        <v/>
      </c>
      <c r="X192" s="589" t="str">
        <f t="shared" si="76"/>
        <v/>
      </c>
      <c r="Y192" s="581"/>
      <c r="Z192" s="251" t="str">
        <f t="shared" si="59"/>
        <v/>
      </c>
      <c r="AA192" s="138" t="str">
        <f t="shared" si="84"/>
        <v/>
      </c>
      <c r="AB192" s="243" t="str">
        <f t="shared" si="77"/>
        <v/>
      </c>
      <c r="AC192" s="141" t="str">
        <f t="shared" si="60"/>
        <v/>
      </c>
      <c r="AD192" s="138" t="str">
        <f t="shared" si="78"/>
        <v/>
      </c>
      <c r="AE192" s="243" t="str">
        <f t="shared" si="61"/>
        <v/>
      </c>
      <c r="AF192" s="342" t="str">
        <f>IF(AM192="Row Not Used","",INDEX(SpaceTable[Annual Hours],(MATCH(B192,SpaceTable[Space Name Concatenated Helper],0))))</f>
        <v/>
      </c>
      <c r="AG192" s="205" t="str">
        <f t="shared" si="62"/>
        <v/>
      </c>
      <c r="AH192" s="234" t="str">
        <f t="shared" si="63"/>
        <v/>
      </c>
      <c r="AI192" s="205" t="str">
        <f t="shared" si="64"/>
        <v/>
      </c>
      <c r="AJ192" s="234" t="str">
        <f t="shared" si="65"/>
        <v/>
      </c>
      <c r="AK192" s="144" t="str">
        <f>IF(AM192="Row Not Used","",INDEX(SpaceTable[Row],(MATCH(B192,SpaceTable[Space Name Concatenated Helper],0))))</f>
        <v/>
      </c>
      <c r="AL192" s="238" t="str">
        <f>IF(AM192="Row Not Used","",INDEX(SpaceTable[HVAC Factor],(MATCH(B192,SpaceTable[Space Name Concatenated Helper],0))))</f>
        <v/>
      </c>
      <c r="AM192" s="520" t="str">
        <f t="shared" si="66"/>
        <v>Row Not Used</v>
      </c>
      <c r="AN192" s="512" t="e" cm="1">
        <f t="array" ref="AN192">INDEX(BallastFactorTable[Ballast Factor],MATCH(1,(BallastFactorTable[Fixture Class]=D192)*(BallastFactorTable[Fixture Category]=E192)*(BallastFactorTable[Fixture Sub-category]=F192),0))</f>
        <v>#N/A</v>
      </c>
      <c r="AO192" s="143" t="str">
        <f t="shared" si="79"/>
        <v/>
      </c>
      <c r="AP192" s="501" t="e" cm="1">
        <f t="array" ref="AP192">INDEX(BallastFactorTable[Wattage Range Name],MATCH(1,(BallastFactorTable[Fixture Class]=D192)*(BallastFactorTable[Fixture Category]=E192)*(BallastFactorTable[Fixture Sub-category]=F192),0))</f>
        <v>#N/A</v>
      </c>
      <c r="AQ192" s="515" t="str">
        <f t="shared" ca="1" si="67"/>
        <v>Okay</v>
      </c>
      <c r="AR192" s="512">
        <f t="shared" si="68"/>
        <v>0</v>
      </c>
      <c r="AS192" s="511" t="str">
        <f>IF(OR(Measures!AM192="Row Not Used",Measures!C192="Controls Only",Measures!C192="Decommissioning"),"",_xlfn.CONCAT(P192," ",Q192))</f>
        <v/>
      </c>
      <c r="AT192" s="264" t="str">
        <f t="shared" si="69"/>
        <v>None</v>
      </c>
      <c r="AU192" s="229">
        <f>IF(OR(AM192="Row Not Used",AM192="Controls Only"),0,INDEX(IncentiveRateTable[Incentive Rate],MATCH(AT192,IncentiveRateTable[Incentive Name],0)))</f>
        <v>0</v>
      </c>
      <c r="AV192" s="133" t="str">
        <f>IF(OR(AM192="Row Not Used",AM192="Controls Only"),"None",INDEX(IncentiveRateTable[Incentive Unit],MATCH(AT192,IncentiveRateTable[Incentive Name],0)))</f>
        <v>None</v>
      </c>
      <c r="AW192" s="578">
        <f t="shared" si="80"/>
        <v>0</v>
      </c>
      <c r="AX192" s="264" t="str">
        <f t="shared" si="70"/>
        <v>None</v>
      </c>
      <c r="AY192" s="229">
        <f>IF(OR(AM192="Row Not Used",AM192="Fixtures Only",AM192="Decommissioning"),0,INDEX(IncentiveRateTable[Incentive Rate],MATCH(AX192,IncentiveRateTable[Incentive Name],0)))</f>
        <v>0</v>
      </c>
      <c r="AZ192" s="133" t="str">
        <f>IF(OR(AM192="Row Not Used",AM192="Fixtures Only",AM192="Decommissioning"),"None",INDEX(IncentiveRateTable[Incentive Unit],MATCH(AX192,IncentiveRateTable[Incentive Name],0)))</f>
        <v>None</v>
      </c>
      <c r="BA192" s="465">
        <f t="shared" si="71"/>
        <v>0</v>
      </c>
      <c r="BB192" s="264" t="e" cm="1">
        <f t="array" ref="BB192">INDEX(BallastFactorTable[Commercial BPA Reference Number],MATCH(1,(BallastFactorTable[Fixture Class]=J192)*(BallastFactorTable[Fixture Category]=K192)*(BallastFactorTable[Fixture Sub-category]=L192),0))</f>
        <v>#N/A</v>
      </c>
      <c r="BC192" s="133" t="e" cm="1">
        <f t="array" ref="BC192">INDEX(BallastFactorTable[Industrial BPA Reference Number],MATCH(1,(BallastFactorTable[Fixture Class]=J192)*(BallastFactorTable[Fixture Category]=K192)*(BallastFactorTable[Fixture Sub-category]=L192),0))</f>
        <v>#N/A</v>
      </c>
      <c r="BD192" s="264" t="str">
        <f t="shared" si="72"/>
        <v>Sector is blank</v>
      </c>
      <c r="BE192" s="269" t="str">
        <f>IF(ISBLANK(SectorField),"Sector is blank",IF(AM192="Row Not Used","",IF(OR(R192="No Controls",ISBLANK(R192)),"",INDEX(ControlsBPARefNoTable[Reference Number],MATCH(SectorField,ControlsBPARefNoTable[Sector],0)))))</f>
        <v>Sector is blank</v>
      </c>
      <c r="BF192" s="530" t="str">
        <f t="shared" si="73"/>
        <v/>
      </c>
      <c r="BG192" s="132" t="str">
        <f t="shared" si="74"/>
        <v/>
      </c>
      <c r="BH192" s="531" t="str">
        <f t="shared" si="75"/>
        <v/>
      </c>
      <c r="BI192" s="532"/>
      <c r="BJ192" s="538" t="str">
        <f t="shared" si="81"/>
        <v/>
      </c>
      <c r="BK192" s="539" t="str">
        <f t="shared" si="82"/>
        <v/>
      </c>
      <c r="BL192" s="547" t="str">
        <f t="shared" si="83"/>
        <v/>
      </c>
    </row>
    <row r="193" spans="1:64" x14ac:dyDescent="0.3">
      <c r="A193" s="133">
        <v>186</v>
      </c>
      <c r="B193" s="294"/>
      <c r="C193" s="313"/>
      <c r="D193" s="292"/>
      <c r="E193" s="284"/>
      <c r="F193" s="284"/>
      <c r="G193" s="295"/>
      <c r="H193" s="296"/>
      <c r="I193" s="297"/>
      <c r="J193" s="292"/>
      <c r="K193" s="284"/>
      <c r="L193" s="284"/>
      <c r="M193" s="295"/>
      <c r="N193" s="296"/>
      <c r="O193" s="296"/>
      <c r="P193" s="284"/>
      <c r="Q193" s="298"/>
      <c r="R193" s="292"/>
      <c r="S193" s="299"/>
      <c r="T193" s="300"/>
      <c r="U193" s="317" t="str">
        <f t="shared" si="57"/>
        <v/>
      </c>
      <c r="V193" s="301"/>
      <c r="W193" s="136" t="str">
        <f t="shared" si="58"/>
        <v/>
      </c>
      <c r="X193" s="588" t="str">
        <f t="shared" si="76"/>
        <v/>
      </c>
      <c r="Y193" s="580"/>
      <c r="Z193" s="251" t="str">
        <f t="shared" si="59"/>
        <v/>
      </c>
      <c r="AA193" s="138" t="str">
        <f t="shared" si="84"/>
        <v/>
      </c>
      <c r="AB193" s="243" t="str">
        <f t="shared" si="77"/>
        <v/>
      </c>
      <c r="AC193" s="141" t="str">
        <f t="shared" si="60"/>
        <v/>
      </c>
      <c r="AD193" s="138" t="str">
        <f t="shared" si="78"/>
        <v/>
      </c>
      <c r="AE193" s="243" t="str">
        <f t="shared" si="61"/>
        <v/>
      </c>
      <c r="AF193" s="342" t="str">
        <f>IF(AM193="Row Not Used","",INDEX(SpaceTable[Annual Hours],(MATCH(B193,SpaceTable[Space Name Concatenated Helper],0))))</f>
        <v/>
      </c>
      <c r="AG193" s="205" t="str">
        <f t="shared" si="62"/>
        <v/>
      </c>
      <c r="AH193" s="234" t="str">
        <f t="shared" si="63"/>
        <v/>
      </c>
      <c r="AI193" s="205" t="str">
        <f t="shared" si="64"/>
        <v/>
      </c>
      <c r="AJ193" s="234" t="str">
        <f t="shared" si="65"/>
        <v/>
      </c>
      <c r="AK193" s="144" t="str">
        <f>IF(AM193="Row Not Used","",INDEX(SpaceTable[Row],(MATCH(B193,SpaceTable[Space Name Concatenated Helper],0))))</f>
        <v/>
      </c>
      <c r="AL193" s="238" t="str">
        <f>IF(AM193="Row Not Used","",INDEX(SpaceTable[HVAC Factor],(MATCH(B193,SpaceTable[Space Name Concatenated Helper],0))))</f>
        <v/>
      </c>
      <c r="AM193" s="520" t="str">
        <f t="shared" si="66"/>
        <v>Row Not Used</v>
      </c>
      <c r="AN193" s="512" t="e" cm="1">
        <f t="array" ref="AN193">INDEX(BallastFactorTable[Ballast Factor],MATCH(1,(BallastFactorTable[Fixture Class]=D193)*(BallastFactorTable[Fixture Category]=E193)*(BallastFactorTable[Fixture Sub-category]=F193),0))</f>
        <v>#N/A</v>
      </c>
      <c r="AO193" s="143" t="str">
        <f t="shared" si="79"/>
        <v/>
      </c>
      <c r="AP193" s="501" t="e" cm="1">
        <f t="array" ref="AP193">INDEX(BallastFactorTable[Wattage Range Name],MATCH(1,(BallastFactorTable[Fixture Class]=D193)*(BallastFactorTable[Fixture Category]=E193)*(BallastFactorTable[Fixture Sub-category]=F193),0))</f>
        <v>#N/A</v>
      </c>
      <c r="AQ193" s="515" t="str">
        <f t="shared" ca="1" si="67"/>
        <v>Okay</v>
      </c>
      <c r="AR193" s="512">
        <f t="shared" si="68"/>
        <v>0</v>
      </c>
      <c r="AS193" s="511" t="str">
        <f>IF(OR(Measures!AM193="Row Not Used",Measures!C193="Controls Only",Measures!C193="Decommissioning"),"",_xlfn.CONCAT(P193," ",Q193))</f>
        <v/>
      </c>
      <c r="AT193" s="264" t="str">
        <f t="shared" si="69"/>
        <v>None</v>
      </c>
      <c r="AU193" s="229">
        <f>IF(OR(AM193="Row Not Used",AM193="Controls Only"),0,INDEX(IncentiveRateTable[Incentive Rate],MATCH(AT193,IncentiveRateTable[Incentive Name],0)))</f>
        <v>0</v>
      </c>
      <c r="AV193" s="133" t="str">
        <f>IF(OR(AM193="Row Not Used",AM193="Controls Only"),"None",INDEX(IncentiveRateTable[Incentive Unit],MATCH(AT193,IncentiveRateTable[Incentive Name],0)))</f>
        <v>None</v>
      </c>
      <c r="AW193" s="578">
        <f t="shared" si="80"/>
        <v>0</v>
      </c>
      <c r="AX193" s="264" t="str">
        <f t="shared" si="70"/>
        <v>None</v>
      </c>
      <c r="AY193" s="229">
        <f>IF(OR(AM193="Row Not Used",AM193="Fixtures Only",AM193="Decommissioning"),0,INDEX(IncentiveRateTable[Incentive Rate],MATCH(AX193,IncentiveRateTable[Incentive Name],0)))</f>
        <v>0</v>
      </c>
      <c r="AZ193" s="133" t="str">
        <f>IF(OR(AM193="Row Not Used",AM193="Fixtures Only",AM193="Decommissioning"),"None",INDEX(IncentiveRateTable[Incentive Unit],MATCH(AX193,IncentiveRateTable[Incentive Name],0)))</f>
        <v>None</v>
      </c>
      <c r="BA193" s="465">
        <f t="shared" si="71"/>
        <v>0</v>
      </c>
      <c r="BB193" s="264" t="e" cm="1">
        <f t="array" ref="BB193">INDEX(BallastFactorTable[Commercial BPA Reference Number],MATCH(1,(BallastFactorTable[Fixture Class]=J193)*(BallastFactorTable[Fixture Category]=K193)*(BallastFactorTable[Fixture Sub-category]=L193),0))</f>
        <v>#N/A</v>
      </c>
      <c r="BC193" s="133" t="e" cm="1">
        <f t="array" ref="BC193">INDEX(BallastFactorTable[Industrial BPA Reference Number],MATCH(1,(BallastFactorTable[Fixture Class]=J193)*(BallastFactorTable[Fixture Category]=K193)*(BallastFactorTable[Fixture Sub-category]=L193),0))</f>
        <v>#N/A</v>
      </c>
      <c r="BD193" s="264" t="str">
        <f t="shared" si="72"/>
        <v>Sector is blank</v>
      </c>
      <c r="BE193" s="269" t="str">
        <f>IF(ISBLANK(SectorField),"Sector is blank",IF(AM193="Row Not Used","",IF(OR(R193="No Controls",ISBLANK(R193)),"",INDEX(ControlsBPARefNoTable[Reference Number],MATCH(SectorField,ControlsBPARefNoTable[Sector],0)))))</f>
        <v>Sector is blank</v>
      </c>
      <c r="BF193" s="530" t="str">
        <f t="shared" si="73"/>
        <v/>
      </c>
      <c r="BG193" s="132" t="str">
        <f t="shared" si="74"/>
        <v/>
      </c>
      <c r="BH193" s="531" t="str">
        <f t="shared" si="75"/>
        <v/>
      </c>
      <c r="BI193" s="532"/>
      <c r="BJ193" s="538" t="str">
        <f t="shared" si="81"/>
        <v/>
      </c>
      <c r="BK193" s="539" t="str">
        <f t="shared" si="82"/>
        <v/>
      </c>
      <c r="BL193" s="547" t="str">
        <f t="shared" si="83"/>
        <v/>
      </c>
    </row>
    <row r="194" spans="1:64" x14ac:dyDescent="0.3">
      <c r="A194" s="133">
        <v>187</v>
      </c>
      <c r="B194" s="294"/>
      <c r="C194" s="313"/>
      <c r="D194" s="292"/>
      <c r="E194" s="284"/>
      <c r="F194" s="284"/>
      <c r="G194" s="295"/>
      <c r="H194" s="296"/>
      <c r="I194" s="297"/>
      <c r="J194" s="292"/>
      <c r="K194" s="284"/>
      <c r="L194" s="284"/>
      <c r="M194" s="295"/>
      <c r="N194" s="296"/>
      <c r="O194" s="296"/>
      <c r="P194" s="284"/>
      <c r="Q194" s="298"/>
      <c r="R194" s="292"/>
      <c r="S194" s="299"/>
      <c r="T194" s="300"/>
      <c r="U194" s="317" t="str">
        <f t="shared" si="57"/>
        <v/>
      </c>
      <c r="V194" s="301"/>
      <c r="W194" s="137" t="str">
        <f t="shared" si="58"/>
        <v/>
      </c>
      <c r="X194" s="589" t="str">
        <f t="shared" si="76"/>
        <v/>
      </c>
      <c r="Y194" s="581"/>
      <c r="Z194" s="251" t="str">
        <f t="shared" si="59"/>
        <v/>
      </c>
      <c r="AA194" s="138" t="str">
        <f t="shared" si="84"/>
        <v/>
      </c>
      <c r="AB194" s="243" t="str">
        <f t="shared" si="77"/>
        <v/>
      </c>
      <c r="AC194" s="141" t="str">
        <f t="shared" si="60"/>
        <v/>
      </c>
      <c r="AD194" s="138" t="str">
        <f t="shared" si="78"/>
        <v/>
      </c>
      <c r="AE194" s="243" t="str">
        <f t="shared" si="61"/>
        <v/>
      </c>
      <c r="AF194" s="342" t="str">
        <f>IF(AM194="Row Not Used","",INDEX(SpaceTable[Annual Hours],(MATCH(B194,SpaceTable[Space Name Concatenated Helper],0))))</f>
        <v/>
      </c>
      <c r="AG194" s="205" t="str">
        <f t="shared" si="62"/>
        <v/>
      </c>
      <c r="AH194" s="234" t="str">
        <f t="shared" si="63"/>
        <v/>
      </c>
      <c r="AI194" s="205" t="str">
        <f t="shared" si="64"/>
        <v/>
      </c>
      <c r="AJ194" s="234" t="str">
        <f t="shared" si="65"/>
        <v/>
      </c>
      <c r="AK194" s="144" t="str">
        <f>IF(AM194="Row Not Used","",INDEX(SpaceTable[Row],(MATCH(B194,SpaceTable[Space Name Concatenated Helper],0))))</f>
        <v/>
      </c>
      <c r="AL194" s="238" t="str">
        <f>IF(AM194="Row Not Used","",INDEX(SpaceTable[HVAC Factor],(MATCH(B194,SpaceTable[Space Name Concatenated Helper],0))))</f>
        <v/>
      </c>
      <c r="AM194" s="520" t="str">
        <f t="shared" si="66"/>
        <v>Row Not Used</v>
      </c>
      <c r="AN194" s="512" t="e" cm="1">
        <f t="array" ref="AN194">INDEX(BallastFactorTable[Ballast Factor],MATCH(1,(BallastFactorTable[Fixture Class]=D194)*(BallastFactorTable[Fixture Category]=E194)*(BallastFactorTable[Fixture Sub-category]=F194),0))</f>
        <v>#N/A</v>
      </c>
      <c r="AO194" s="143" t="str">
        <f t="shared" si="79"/>
        <v/>
      </c>
      <c r="AP194" s="501" t="e" cm="1">
        <f t="array" ref="AP194">INDEX(BallastFactorTable[Wattage Range Name],MATCH(1,(BallastFactorTable[Fixture Class]=D194)*(BallastFactorTable[Fixture Category]=E194)*(BallastFactorTable[Fixture Sub-category]=F194),0))</f>
        <v>#N/A</v>
      </c>
      <c r="AQ194" s="515" t="str">
        <f t="shared" ca="1" si="67"/>
        <v>Okay</v>
      </c>
      <c r="AR194" s="512">
        <f t="shared" si="68"/>
        <v>0</v>
      </c>
      <c r="AS194" s="511" t="str">
        <f>IF(OR(Measures!AM194="Row Not Used",Measures!C194="Controls Only",Measures!C194="Decommissioning"),"",_xlfn.CONCAT(P194," ",Q194))</f>
        <v/>
      </c>
      <c r="AT194" s="264" t="str">
        <f t="shared" si="69"/>
        <v>None</v>
      </c>
      <c r="AU194" s="229">
        <f>IF(OR(AM194="Row Not Used",AM194="Controls Only"),0,INDEX(IncentiveRateTable[Incentive Rate],MATCH(AT194,IncentiveRateTable[Incentive Name],0)))</f>
        <v>0</v>
      </c>
      <c r="AV194" s="133" t="str">
        <f>IF(OR(AM194="Row Not Used",AM194="Controls Only"),"None",INDEX(IncentiveRateTable[Incentive Unit],MATCH(AT194,IncentiveRateTable[Incentive Name],0)))</f>
        <v>None</v>
      </c>
      <c r="AW194" s="578">
        <f t="shared" si="80"/>
        <v>0</v>
      </c>
      <c r="AX194" s="264" t="str">
        <f t="shared" si="70"/>
        <v>None</v>
      </c>
      <c r="AY194" s="229">
        <f>IF(OR(AM194="Row Not Used",AM194="Fixtures Only",AM194="Decommissioning"),0,INDEX(IncentiveRateTable[Incentive Rate],MATCH(AX194,IncentiveRateTable[Incentive Name],0)))</f>
        <v>0</v>
      </c>
      <c r="AZ194" s="133" t="str">
        <f>IF(OR(AM194="Row Not Used",AM194="Fixtures Only",AM194="Decommissioning"),"None",INDEX(IncentiveRateTable[Incentive Unit],MATCH(AX194,IncentiveRateTable[Incentive Name],0)))</f>
        <v>None</v>
      </c>
      <c r="BA194" s="465">
        <f t="shared" si="71"/>
        <v>0</v>
      </c>
      <c r="BB194" s="264" t="e" cm="1">
        <f t="array" ref="BB194">INDEX(BallastFactorTable[Commercial BPA Reference Number],MATCH(1,(BallastFactorTable[Fixture Class]=J194)*(BallastFactorTable[Fixture Category]=K194)*(BallastFactorTable[Fixture Sub-category]=L194),0))</f>
        <v>#N/A</v>
      </c>
      <c r="BC194" s="133" t="e" cm="1">
        <f t="array" ref="BC194">INDEX(BallastFactorTable[Industrial BPA Reference Number],MATCH(1,(BallastFactorTable[Fixture Class]=J194)*(BallastFactorTable[Fixture Category]=K194)*(BallastFactorTable[Fixture Sub-category]=L194),0))</f>
        <v>#N/A</v>
      </c>
      <c r="BD194" s="264" t="str">
        <f t="shared" si="72"/>
        <v>Sector is blank</v>
      </c>
      <c r="BE194" s="269" t="str">
        <f>IF(ISBLANK(SectorField),"Sector is blank",IF(AM194="Row Not Used","",IF(OR(R194="No Controls",ISBLANK(R194)),"",INDEX(ControlsBPARefNoTable[Reference Number],MATCH(SectorField,ControlsBPARefNoTable[Sector],0)))))</f>
        <v>Sector is blank</v>
      </c>
      <c r="BF194" s="530" t="str">
        <f t="shared" si="73"/>
        <v/>
      </c>
      <c r="BG194" s="132" t="str">
        <f t="shared" si="74"/>
        <v/>
      </c>
      <c r="BH194" s="531" t="str">
        <f t="shared" si="75"/>
        <v/>
      </c>
      <c r="BI194" s="532"/>
      <c r="BJ194" s="538" t="str">
        <f t="shared" si="81"/>
        <v/>
      </c>
      <c r="BK194" s="539" t="str">
        <f t="shared" si="82"/>
        <v/>
      </c>
      <c r="BL194" s="547" t="str">
        <f t="shared" si="83"/>
        <v/>
      </c>
    </row>
    <row r="195" spans="1:64" x14ac:dyDescent="0.3">
      <c r="A195" s="133">
        <v>188</v>
      </c>
      <c r="B195" s="294"/>
      <c r="C195" s="313"/>
      <c r="D195" s="292"/>
      <c r="E195" s="284"/>
      <c r="F195" s="284"/>
      <c r="G195" s="295"/>
      <c r="H195" s="296"/>
      <c r="I195" s="297"/>
      <c r="J195" s="292"/>
      <c r="K195" s="284"/>
      <c r="L195" s="284"/>
      <c r="M195" s="295"/>
      <c r="N195" s="296"/>
      <c r="O195" s="296"/>
      <c r="P195" s="284"/>
      <c r="Q195" s="298"/>
      <c r="R195" s="292"/>
      <c r="S195" s="299"/>
      <c r="T195" s="300"/>
      <c r="U195" s="317" t="str">
        <f t="shared" si="57"/>
        <v/>
      </c>
      <c r="V195" s="301"/>
      <c r="W195" s="136" t="str">
        <f t="shared" si="58"/>
        <v/>
      </c>
      <c r="X195" s="588" t="str">
        <f t="shared" si="76"/>
        <v/>
      </c>
      <c r="Y195" s="580"/>
      <c r="Z195" s="251" t="str">
        <f t="shared" si="59"/>
        <v/>
      </c>
      <c r="AA195" s="138" t="str">
        <f t="shared" si="84"/>
        <v/>
      </c>
      <c r="AB195" s="243" t="str">
        <f t="shared" si="77"/>
        <v/>
      </c>
      <c r="AC195" s="141" t="str">
        <f t="shared" si="60"/>
        <v/>
      </c>
      <c r="AD195" s="138" t="str">
        <f t="shared" si="78"/>
        <v/>
      </c>
      <c r="AE195" s="243" t="str">
        <f t="shared" si="61"/>
        <v/>
      </c>
      <c r="AF195" s="342" t="str">
        <f>IF(AM195="Row Not Used","",INDEX(SpaceTable[Annual Hours],(MATCH(B195,SpaceTable[Space Name Concatenated Helper],0))))</f>
        <v/>
      </c>
      <c r="AG195" s="205" t="str">
        <f t="shared" si="62"/>
        <v/>
      </c>
      <c r="AH195" s="234" t="str">
        <f t="shared" si="63"/>
        <v/>
      </c>
      <c r="AI195" s="205" t="str">
        <f t="shared" si="64"/>
        <v/>
      </c>
      <c r="AJ195" s="234" t="str">
        <f t="shared" si="65"/>
        <v/>
      </c>
      <c r="AK195" s="144" t="str">
        <f>IF(AM195="Row Not Used","",INDEX(SpaceTable[Row],(MATCH(B195,SpaceTable[Space Name Concatenated Helper],0))))</f>
        <v/>
      </c>
      <c r="AL195" s="238" t="str">
        <f>IF(AM195="Row Not Used","",INDEX(SpaceTable[HVAC Factor],(MATCH(B195,SpaceTable[Space Name Concatenated Helper],0))))</f>
        <v/>
      </c>
      <c r="AM195" s="520" t="str">
        <f t="shared" si="66"/>
        <v>Row Not Used</v>
      </c>
      <c r="AN195" s="512" t="e" cm="1">
        <f t="array" ref="AN195">INDEX(BallastFactorTable[Ballast Factor],MATCH(1,(BallastFactorTable[Fixture Class]=D195)*(BallastFactorTable[Fixture Category]=E195)*(BallastFactorTable[Fixture Sub-category]=F195),0))</f>
        <v>#N/A</v>
      </c>
      <c r="AO195" s="143" t="str">
        <f t="shared" si="79"/>
        <v/>
      </c>
      <c r="AP195" s="501" t="e" cm="1">
        <f t="array" ref="AP195">INDEX(BallastFactorTable[Wattage Range Name],MATCH(1,(BallastFactorTable[Fixture Class]=D195)*(BallastFactorTable[Fixture Category]=E195)*(BallastFactorTable[Fixture Sub-category]=F195),0))</f>
        <v>#N/A</v>
      </c>
      <c r="AQ195" s="515" t="str">
        <f t="shared" ca="1" si="67"/>
        <v>Okay</v>
      </c>
      <c r="AR195" s="512">
        <f t="shared" si="68"/>
        <v>0</v>
      </c>
      <c r="AS195" s="511" t="str">
        <f>IF(OR(Measures!AM195="Row Not Used",Measures!C195="Controls Only",Measures!C195="Decommissioning"),"",_xlfn.CONCAT(P195," ",Q195))</f>
        <v/>
      </c>
      <c r="AT195" s="264" t="str">
        <f t="shared" si="69"/>
        <v>None</v>
      </c>
      <c r="AU195" s="229">
        <f>IF(OR(AM195="Row Not Used",AM195="Controls Only"),0,INDEX(IncentiveRateTable[Incentive Rate],MATCH(AT195,IncentiveRateTable[Incentive Name],0)))</f>
        <v>0</v>
      </c>
      <c r="AV195" s="133" t="str">
        <f>IF(OR(AM195="Row Not Used",AM195="Controls Only"),"None",INDEX(IncentiveRateTable[Incentive Unit],MATCH(AT195,IncentiveRateTable[Incentive Name],0)))</f>
        <v>None</v>
      </c>
      <c r="AW195" s="578">
        <f t="shared" si="80"/>
        <v>0</v>
      </c>
      <c r="AX195" s="264" t="str">
        <f t="shared" si="70"/>
        <v>None</v>
      </c>
      <c r="AY195" s="229">
        <f>IF(OR(AM195="Row Not Used",AM195="Fixtures Only",AM195="Decommissioning"),0,INDEX(IncentiveRateTable[Incentive Rate],MATCH(AX195,IncentiveRateTable[Incentive Name],0)))</f>
        <v>0</v>
      </c>
      <c r="AZ195" s="133" t="str">
        <f>IF(OR(AM195="Row Not Used",AM195="Fixtures Only",AM195="Decommissioning"),"None",INDEX(IncentiveRateTable[Incentive Unit],MATCH(AX195,IncentiveRateTable[Incentive Name],0)))</f>
        <v>None</v>
      </c>
      <c r="BA195" s="465">
        <f t="shared" si="71"/>
        <v>0</v>
      </c>
      <c r="BB195" s="264" t="e" cm="1">
        <f t="array" ref="BB195">INDEX(BallastFactorTable[Commercial BPA Reference Number],MATCH(1,(BallastFactorTable[Fixture Class]=J195)*(BallastFactorTable[Fixture Category]=K195)*(BallastFactorTable[Fixture Sub-category]=L195),0))</f>
        <v>#N/A</v>
      </c>
      <c r="BC195" s="133" t="e" cm="1">
        <f t="array" ref="BC195">INDEX(BallastFactorTable[Industrial BPA Reference Number],MATCH(1,(BallastFactorTable[Fixture Class]=J195)*(BallastFactorTable[Fixture Category]=K195)*(BallastFactorTable[Fixture Sub-category]=L195),0))</f>
        <v>#N/A</v>
      </c>
      <c r="BD195" s="264" t="str">
        <f t="shared" si="72"/>
        <v>Sector is blank</v>
      </c>
      <c r="BE195" s="269" t="str">
        <f>IF(ISBLANK(SectorField),"Sector is blank",IF(AM195="Row Not Used","",IF(OR(R195="No Controls",ISBLANK(R195)),"",INDEX(ControlsBPARefNoTable[Reference Number],MATCH(SectorField,ControlsBPARefNoTable[Sector],0)))))</f>
        <v>Sector is blank</v>
      </c>
      <c r="BF195" s="530" t="str">
        <f t="shared" si="73"/>
        <v/>
      </c>
      <c r="BG195" s="132" t="str">
        <f t="shared" si="74"/>
        <v/>
      </c>
      <c r="BH195" s="531" t="str">
        <f t="shared" si="75"/>
        <v/>
      </c>
      <c r="BI195" s="532"/>
      <c r="BJ195" s="538" t="str">
        <f t="shared" si="81"/>
        <v/>
      </c>
      <c r="BK195" s="539" t="str">
        <f t="shared" si="82"/>
        <v/>
      </c>
      <c r="BL195" s="547" t="str">
        <f t="shared" si="83"/>
        <v/>
      </c>
    </row>
    <row r="196" spans="1:64" x14ac:dyDescent="0.3">
      <c r="A196" s="133">
        <v>189</v>
      </c>
      <c r="B196" s="294"/>
      <c r="C196" s="313"/>
      <c r="D196" s="292"/>
      <c r="E196" s="284"/>
      <c r="F196" s="284"/>
      <c r="G196" s="295"/>
      <c r="H196" s="296"/>
      <c r="I196" s="297"/>
      <c r="J196" s="292"/>
      <c r="K196" s="284"/>
      <c r="L196" s="284"/>
      <c r="M196" s="295"/>
      <c r="N196" s="296"/>
      <c r="O196" s="296"/>
      <c r="P196" s="284"/>
      <c r="Q196" s="298"/>
      <c r="R196" s="292"/>
      <c r="S196" s="299"/>
      <c r="T196" s="300"/>
      <c r="U196" s="317" t="str">
        <f t="shared" si="57"/>
        <v/>
      </c>
      <c r="V196" s="301"/>
      <c r="W196" s="137" t="str">
        <f t="shared" si="58"/>
        <v/>
      </c>
      <c r="X196" s="589" t="str">
        <f t="shared" si="76"/>
        <v/>
      </c>
      <c r="Y196" s="581"/>
      <c r="Z196" s="251" t="str">
        <f t="shared" si="59"/>
        <v/>
      </c>
      <c r="AA196" s="138" t="str">
        <f t="shared" si="84"/>
        <v/>
      </c>
      <c r="AB196" s="243" t="str">
        <f t="shared" si="77"/>
        <v/>
      </c>
      <c r="AC196" s="141" t="str">
        <f t="shared" si="60"/>
        <v/>
      </c>
      <c r="AD196" s="138" t="str">
        <f t="shared" si="78"/>
        <v/>
      </c>
      <c r="AE196" s="243" t="str">
        <f t="shared" si="61"/>
        <v/>
      </c>
      <c r="AF196" s="342" t="str">
        <f>IF(AM196="Row Not Used","",INDEX(SpaceTable[Annual Hours],(MATCH(B196,SpaceTable[Space Name Concatenated Helper],0))))</f>
        <v/>
      </c>
      <c r="AG196" s="205" t="str">
        <f t="shared" si="62"/>
        <v/>
      </c>
      <c r="AH196" s="234" t="str">
        <f t="shared" si="63"/>
        <v/>
      </c>
      <c r="AI196" s="205" t="str">
        <f t="shared" si="64"/>
        <v/>
      </c>
      <c r="AJ196" s="234" t="str">
        <f t="shared" si="65"/>
        <v/>
      </c>
      <c r="AK196" s="144" t="str">
        <f>IF(AM196="Row Not Used","",INDEX(SpaceTable[Row],(MATCH(B196,SpaceTable[Space Name Concatenated Helper],0))))</f>
        <v/>
      </c>
      <c r="AL196" s="238" t="str">
        <f>IF(AM196="Row Not Used","",INDEX(SpaceTable[HVAC Factor],(MATCH(B196,SpaceTable[Space Name Concatenated Helper],0))))</f>
        <v/>
      </c>
      <c r="AM196" s="520" t="str">
        <f t="shared" si="66"/>
        <v>Row Not Used</v>
      </c>
      <c r="AN196" s="512" t="e" cm="1">
        <f t="array" ref="AN196">INDEX(BallastFactorTable[Ballast Factor],MATCH(1,(BallastFactorTable[Fixture Class]=D196)*(BallastFactorTable[Fixture Category]=E196)*(BallastFactorTable[Fixture Sub-category]=F196),0))</f>
        <v>#N/A</v>
      </c>
      <c r="AO196" s="143" t="str">
        <f t="shared" si="79"/>
        <v/>
      </c>
      <c r="AP196" s="501" t="e" cm="1">
        <f t="array" ref="AP196">INDEX(BallastFactorTable[Wattage Range Name],MATCH(1,(BallastFactorTable[Fixture Class]=D196)*(BallastFactorTable[Fixture Category]=E196)*(BallastFactorTable[Fixture Sub-category]=F196),0))</f>
        <v>#N/A</v>
      </c>
      <c r="AQ196" s="515" t="str">
        <f t="shared" ca="1" si="67"/>
        <v>Okay</v>
      </c>
      <c r="AR196" s="512">
        <f t="shared" si="68"/>
        <v>0</v>
      </c>
      <c r="AS196" s="511" t="str">
        <f>IF(OR(Measures!AM196="Row Not Used",Measures!C196="Controls Only",Measures!C196="Decommissioning"),"",_xlfn.CONCAT(P196," ",Q196))</f>
        <v/>
      </c>
      <c r="AT196" s="264" t="str">
        <f t="shared" si="69"/>
        <v>None</v>
      </c>
      <c r="AU196" s="229">
        <f>IF(OR(AM196="Row Not Used",AM196="Controls Only"),0,INDEX(IncentiveRateTable[Incentive Rate],MATCH(AT196,IncentiveRateTable[Incentive Name],0)))</f>
        <v>0</v>
      </c>
      <c r="AV196" s="133" t="str">
        <f>IF(OR(AM196="Row Not Used",AM196="Controls Only"),"None",INDEX(IncentiveRateTable[Incentive Unit],MATCH(AT196,IncentiveRateTable[Incentive Name],0)))</f>
        <v>None</v>
      </c>
      <c r="AW196" s="578">
        <f t="shared" si="80"/>
        <v>0</v>
      </c>
      <c r="AX196" s="264" t="str">
        <f t="shared" si="70"/>
        <v>None</v>
      </c>
      <c r="AY196" s="229">
        <f>IF(OR(AM196="Row Not Used",AM196="Fixtures Only",AM196="Decommissioning"),0,INDEX(IncentiveRateTable[Incentive Rate],MATCH(AX196,IncentiveRateTable[Incentive Name],0)))</f>
        <v>0</v>
      </c>
      <c r="AZ196" s="133" t="str">
        <f>IF(OR(AM196="Row Not Used",AM196="Fixtures Only",AM196="Decommissioning"),"None",INDEX(IncentiveRateTable[Incentive Unit],MATCH(AX196,IncentiveRateTable[Incentive Name],0)))</f>
        <v>None</v>
      </c>
      <c r="BA196" s="465">
        <f t="shared" si="71"/>
        <v>0</v>
      </c>
      <c r="BB196" s="264" t="e" cm="1">
        <f t="array" ref="BB196">INDEX(BallastFactorTable[Commercial BPA Reference Number],MATCH(1,(BallastFactorTable[Fixture Class]=J196)*(BallastFactorTable[Fixture Category]=K196)*(BallastFactorTable[Fixture Sub-category]=L196),0))</f>
        <v>#N/A</v>
      </c>
      <c r="BC196" s="133" t="e" cm="1">
        <f t="array" ref="BC196">INDEX(BallastFactorTable[Industrial BPA Reference Number],MATCH(1,(BallastFactorTable[Fixture Class]=J196)*(BallastFactorTable[Fixture Category]=K196)*(BallastFactorTable[Fixture Sub-category]=L196),0))</f>
        <v>#N/A</v>
      </c>
      <c r="BD196" s="264" t="str">
        <f t="shared" si="72"/>
        <v>Sector is blank</v>
      </c>
      <c r="BE196" s="269" t="str">
        <f>IF(ISBLANK(SectorField),"Sector is blank",IF(AM196="Row Not Used","",IF(OR(R196="No Controls",ISBLANK(R196)),"",INDEX(ControlsBPARefNoTable[Reference Number],MATCH(SectorField,ControlsBPARefNoTable[Sector],0)))))</f>
        <v>Sector is blank</v>
      </c>
      <c r="BF196" s="530" t="str">
        <f t="shared" si="73"/>
        <v/>
      </c>
      <c r="BG196" s="132" t="str">
        <f t="shared" si="74"/>
        <v/>
      </c>
      <c r="BH196" s="531" t="str">
        <f t="shared" si="75"/>
        <v/>
      </c>
      <c r="BI196" s="532"/>
      <c r="BJ196" s="538" t="str">
        <f t="shared" si="81"/>
        <v/>
      </c>
      <c r="BK196" s="539" t="str">
        <f t="shared" si="82"/>
        <v/>
      </c>
      <c r="BL196" s="547" t="str">
        <f t="shared" si="83"/>
        <v/>
      </c>
    </row>
    <row r="197" spans="1:64" x14ac:dyDescent="0.3">
      <c r="A197" s="133">
        <v>190</v>
      </c>
      <c r="B197" s="294"/>
      <c r="C197" s="313"/>
      <c r="D197" s="292"/>
      <c r="E197" s="284"/>
      <c r="F197" s="284"/>
      <c r="G197" s="295"/>
      <c r="H197" s="296"/>
      <c r="I197" s="297"/>
      <c r="J197" s="292"/>
      <c r="K197" s="284"/>
      <c r="L197" s="284"/>
      <c r="M197" s="295"/>
      <c r="N197" s="296"/>
      <c r="O197" s="296"/>
      <c r="P197" s="284"/>
      <c r="Q197" s="298"/>
      <c r="R197" s="292"/>
      <c r="S197" s="299"/>
      <c r="T197" s="300"/>
      <c r="U197" s="317" t="str">
        <f t="shared" si="57"/>
        <v/>
      </c>
      <c r="V197" s="301"/>
      <c r="W197" s="136" t="str">
        <f t="shared" si="58"/>
        <v/>
      </c>
      <c r="X197" s="588" t="str">
        <f t="shared" si="76"/>
        <v/>
      </c>
      <c r="Y197" s="580"/>
      <c r="Z197" s="251" t="str">
        <f t="shared" si="59"/>
        <v/>
      </c>
      <c r="AA197" s="138" t="str">
        <f t="shared" si="84"/>
        <v/>
      </c>
      <c r="AB197" s="243" t="str">
        <f t="shared" si="77"/>
        <v/>
      </c>
      <c r="AC197" s="141" t="str">
        <f t="shared" si="60"/>
        <v/>
      </c>
      <c r="AD197" s="138" t="str">
        <f t="shared" si="78"/>
        <v/>
      </c>
      <c r="AE197" s="243" t="str">
        <f t="shared" si="61"/>
        <v/>
      </c>
      <c r="AF197" s="342" t="str">
        <f>IF(AM197="Row Not Used","",INDEX(SpaceTable[Annual Hours],(MATCH(B197,SpaceTable[Space Name Concatenated Helper],0))))</f>
        <v/>
      </c>
      <c r="AG197" s="205" t="str">
        <f t="shared" si="62"/>
        <v/>
      </c>
      <c r="AH197" s="234" t="str">
        <f t="shared" si="63"/>
        <v/>
      </c>
      <c r="AI197" s="205" t="str">
        <f t="shared" si="64"/>
        <v/>
      </c>
      <c r="AJ197" s="234" t="str">
        <f t="shared" si="65"/>
        <v/>
      </c>
      <c r="AK197" s="144" t="str">
        <f>IF(AM197="Row Not Used","",INDEX(SpaceTable[Row],(MATCH(B197,SpaceTable[Space Name Concatenated Helper],0))))</f>
        <v/>
      </c>
      <c r="AL197" s="238" t="str">
        <f>IF(AM197="Row Not Used","",INDEX(SpaceTable[HVAC Factor],(MATCH(B197,SpaceTable[Space Name Concatenated Helper],0))))</f>
        <v/>
      </c>
      <c r="AM197" s="520" t="str">
        <f t="shared" si="66"/>
        <v>Row Not Used</v>
      </c>
      <c r="AN197" s="512" t="e" cm="1">
        <f t="array" ref="AN197">INDEX(BallastFactorTable[Ballast Factor],MATCH(1,(BallastFactorTable[Fixture Class]=D197)*(BallastFactorTable[Fixture Category]=E197)*(BallastFactorTable[Fixture Sub-category]=F197),0))</f>
        <v>#N/A</v>
      </c>
      <c r="AO197" s="143" t="str">
        <f t="shared" si="79"/>
        <v/>
      </c>
      <c r="AP197" s="501" t="e" cm="1">
        <f t="array" ref="AP197">INDEX(BallastFactorTable[Wattage Range Name],MATCH(1,(BallastFactorTable[Fixture Class]=D197)*(BallastFactorTable[Fixture Category]=E197)*(BallastFactorTable[Fixture Sub-category]=F197),0))</f>
        <v>#N/A</v>
      </c>
      <c r="AQ197" s="515" t="str">
        <f t="shared" ca="1" si="67"/>
        <v>Okay</v>
      </c>
      <c r="AR197" s="512">
        <f t="shared" si="68"/>
        <v>0</v>
      </c>
      <c r="AS197" s="511" t="str">
        <f>IF(OR(Measures!AM197="Row Not Used",Measures!C197="Controls Only",Measures!C197="Decommissioning"),"",_xlfn.CONCAT(P197," ",Q197))</f>
        <v/>
      </c>
      <c r="AT197" s="264" t="str">
        <f t="shared" si="69"/>
        <v>None</v>
      </c>
      <c r="AU197" s="229">
        <f>IF(OR(AM197="Row Not Used",AM197="Controls Only"),0,INDEX(IncentiveRateTable[Incentive Rate],MATCH(AT197,IncentiveRateTable[Incentive Name],0)))</f>
        <v>0</v>
      </c>
      <c r="AV197" s="133" t="str">
        <f>IF(OR(AM197="Row Not Used",AM197="Controls Only"),"None",INDEX(IncentiveRateTable[Incentive Unit],MATCH(AT197,IncentiveRateTable[Incentive Name],0)))</f>
        <v>None</v>
      </c>
      <c r="AW197" s="578">
        <f t="shared" si="80"/>
        <v>0</v>
      </c>
      <c r="AX197" s="264" t="str">
        <f t="shared" si="70"/>
        <v>None</v>
      </c>
      <c r="AY197" s="229">
        <f>IF(OR(AM197="Row Not Used",AM197="Fixtures Only",AM197="Decommissioning"),0,INDEX(IncentiveRateTable[Incentive Rate],MATCH(AX197,IncentiveRateTable[Incentive Name],0)))</f>
        <v>0</v>
      </c>
      <c r="AZ197" s="133" t="str">
        <f>IF(OR(AM197="Row Not Used",AM197="Fixtures Only",AM197="Decommissioning"),"None",INDEX(IncentiveRateTable[Incentive Unit],MATCH(AX197,IncentiveRateTable[Incentive Name],0)))</f>
        <v>None</v>
      </c>
      <c r="BA197" s="465">
        <f t="shared" si="71"/>
        <v>0</v>
      </c>
      <c r="BB197" s="264" t="e" cm="1">
        <f t="array" ref="BB197">INDEX(BallastFactorTable[Commercial BPA Reference Number],MATCH(1,(BallastFactorTable[Fixture Class]=J197)*(BallastFactorTable[Fixture Category]=K197)*(BallastFactorTable[Fixture Sub-category]=L197),0))</f>
        <v>#N/A</v>
      </c>
      <c r="BC197" s="133" t="e" cm="1">
        <f t="array" ref="BC197">INDEX(BallastFactorTable[Industrial BPA Reference Number],MATCH(1,(BallastFactorTable[Fixture Class]=J197)*(BallastFactorTable[Fixture Category]=K197)*(BallastFactorTable[Fixture Sub-category]=L197),0))</f>
        <v>#N/A</v>
      </c>
      <c r="BD197" s="264" t="str">
        <f t="shared" si="72"/>
        <v>Sector is blank</v>
      </c>
      <c r="BE197" s="269" t="str">
        <f>IF(ISBLANK(SectorField),"Sector is blank",IF(AM197="Row Not Used","",IF(OR(R197="No Controls",ISBLANK(R197)),"",INDEX(ControlsBPARefNoTable[Reference Number],MATCH(SectorField,ControlsBPARefNoTable[Sector],0)))))</f>
        <v>Sector is blank</v>
      </c>
      <c r="BF197" s="530" t="str">
        <f t="shared" si="73"/>
        <v/>
      </c>
      <c r="BG197" s="132" t="str">
        <f t="shared" si="74"/>
        <v/>
      </c>
      <c r="BH197" s="531" t="str">
        <f t="shared" si="75"/>
        <v/>
      </c>
      <c r="BI197" s="532"/>
      <c r="BJ197" s="538" t="str">
        <f t="shared" si="81"/>
        <v/>
      </c>
      <c r="BK197" s="539" t="str">
        <f t="shared" si="82"/>
        <v/>
      </c>
      <c r="BL197" s="547" t="str">
        <f t="shared" si="83"/>
        <v/>
      </c>
    </row>
    <row r="198" spans="1:64" x14ac:dyDescent="0.3">
      <c r="A198" s="133">
        <v>191</v>
      </c>
      <c r="B198" s="294"/>
      <c r="C198" s="313"/>
      <c r="D198" s="292"/>
      <c r="E198" s="284"/>
      <c r="F198" s="284"/>
      <c r="G198" s="295"/>
      <c r="H198" s="296"/>
      <c r="I198" s="297"/>
      <c r="J198" s="292"/>
      <c r="K198" s="284"/>
      <c r="L198" s="284"/>
      <c r="M198" s="295"/>
      <c r="N198" s="296"/>
      <c r="O198" s="296"/>
      <c r="P198" s="284"/>
      <c r="Q198" s="298"/>
      <c r="R198" s="292"/>
      <c r="S198" s="299"/>
      <c r="T198" s="300"/>
      <c r="U198" s="317" t="str">
        <f t="shared" si="57"/>
        <v/>
      </c>
      <c r="V198" s="301"/>
      <c r="W198" s="137" t="str">
        <f t="shared" si="58"/>
        <v/>
      </c>
      <c r="X198" s="589" t="str">
        <f t="shared" si="76"/>
        <v/>
      </c>
      <c r="Y198" s="581"/>
      <c r="Z198" s="251" t="str">
        <f t="shared" si="59"/>
        <v/>
      </c>
      <c r="AA198" s="138" t="str">
        <f t="shared" si="84"/>
        <v/>
      </c>
      <c r="AB198" s="243" t="str">
        <f t="shared" si="77"/>
        <v/>
      </c>
      <c r="AC198" s="141" t="str">
        <f t="shared" si="60"/>
        <v/>
      </c>
      <c r="AD198" s="138" t="str">
        <f t="shared" si="78"/>
        <v/>
      </c>
      <c r="AE198" s="243" t="str">
        <f t="shared" si="61"/>
        <v/>
      </c>
      <c r="AF198" s="342" t="str">
        <f>IF(AM198="Row Not Used","",INDEX(SpaceTable[Annual Hours],(MATCH(B198,SpaceTable[Space Name Concatenated Helper],0))))</f>
        <v/>
      </c>
      <c r="AG198" s="205" t="str">
        <f t="shared" si="62"/>
        <v/>
      </c>
      <c r="AH198" s="234" t="str">
        <f t="shared" si="63"/>
        <v/>
      </c>
      <c r="AI198" s="205" t="str">
        <f t="shared" si="64"/>
        <v/>
      </c>
      <c r="AJ198" s="234" t="str">
        <f t="shared" si="65"/>
        <v/>
      </c>
      <c r="AK198" s="144" t="str">
        <f>IF(AM198="Row Not Used","",INDEX(SpaceTable[Row],(MATCH(B198,SpaceTable[Space Name Concatenated Helper],0))))</f>
        <v/>
      </c>
      <c r="AL198" s="238" t="str">
        <f>IF(AM198="Row Not Used","",INDEX(SpaceTable[HVAC Factor],(MATCH(B198,SpaceTable[Space Name Concatenated Helper],0))))</f>
        <v/>
      </c>
      <c r="AM198" s="520" t="str">
        <f t="shared" si="66"/>
        <v>Row Not Used</v>
      </c>
      <c r="AN198" s="512" t="e" cm="1">
        <f t="array" ref="AN198">INDEX(BallastFactorTable[Ballast Factor],MATCH(1,(BallastFactorTable[Fixture Class]=D198)*(BallastFactorTable[Fixture Category]=E198)*(BallastFactorTable[Fixture Sub-category]=F198),0))</f>
        <v>#N/A</v>
      </c>
      <c r="AO198" s="143" t="str">
        <f t="shared" si="79"/>
        <v/>
      </c>
      <c r="AP198" s="501" t="e" cm="1">
        <f t="array" ref="AP198">INDEX(BallastFactorTable[Wattage Range Name],MATCH(1,(BallastFactorTable[Fixture Class]=D198)*(BallastFactorTable[Fixture Category]=E198)*(BallastFactorTable[Fixture Sub-category]=F198),0))</f>
        <v>#N/A</v>
      </c>
      <c r="AQ198" s="515" t="str">
        <f t="shared" ca="1" si="67"/>
        <v>Okay</v>
      </c>
      <c r="AR198" s="512">
        <f t="shared" si="68"/>
        <v>0</v>
      </c>
      <c r="AS198" s="511" t="str">
        <f>IF(OR(Measures!AM198="Row Not Used",Measures!C198="Controls Only",Measures!C198="Decommissioning"),"",_xlfn.CONCAT(P198," ",Q198))</f>
        <v/>
      </c>
      <c r="AT198" s="264" t="str">
        <f t="shared" si="69"/>
        <v>None</v>
      </c>
      <c r="AU198" s="229">
        <f>IF(OR(AM198="Row Not Used",AM198="Controls Only"),0,INDEX(IncentiveRateTable[Incentive Rate],MATCH(AT198,IncentiveRateTable[Incentive Name],0)))</f>
        <v>0</v>
      </c>
      <c r="AV198" s="133" t="str">
        <f>IF(OR(AM198="Row Not Used",AM198="Controls Only"),"None",INDEX(IncentiveRateTable[Incentive Unit],MATCH(AT198,IncentiveRateTable[Incentive Name],0)))</f>
        <v>None</v>
      </c>
      <c r="AW198" s="578">
        <f t="shared" si="80"/>
        <v>0</v>
      </c>
      <c r="AX198" s="264" t="str">
        <f t="shared" si="70"/>
        <v>None</v>
      </c>
      <c r="AY198" s="229">
        <f>IF(OR(AM198="Row Not Used",AM198="Fixtures Only",AM198="Decommissioning"),0,INDEX(IncentiveRateTable[Incentive Rate],MATCH(AX198,IncentiveRateTable[Incentive Name],0)))</f>
        <v>0</v>
      </c>
      <c r="AZ198" s="133" t="str">
        <f>IF(OR(AM198="Row Not Used",AM198="Fixtures Only",AM198="Decommissioning"),"None",INDEX(IncentiveRateTable[Incentive Unit],MATCH(AX198,IncentiveRateTable[Incentive Name],0)))</f>
        <v>None</v>
      </c>
      <c r="BA198" s="465">
        <f t="shared" si="71"/>
        <v>0</v>
      </c>
      <c r="BB198" s="264" t="e" cm="1">
        <f t="array" ref="BB198">INDEX(BallastFactorTable[Commercial BPA Reference Number],MATCH(1,(BallastFactorTable[Fixture Class]=J198)*(BallastFactorTable[Fixture Category]=K198)*(BallastFactorTable[Fixture Sub-category]=L198),0))</f>
        <v>#N/A</v>
      </c>
      <c r="BC198" s="133" t="e" cm="1">
        <f t="array" ref="BC198">INDEX(BallastFactorTable[Industrial BPA Reference Number],MATCH(1,(BallastFactorTable[Fixture Class]=J198)*(BallastFactorTable[Fixture Category]=K198)*(BallastFactorTable[Fixture Sub-category]=L198),0))</f>
        <v>#N/A</v>
      </c>
      <c r="BD198" s="264" t="str">
        <f t="shared" si="72"/>
        <v>Sector is blank</v>
      </c>
      <c r="BE198" s="269" t="str">
        <f>IF(ISBLANK(SectorField),"Sector is blank",IF(AM198="Row Not Used","",IF(OR(R198="No Controls",ISBLANK(R198)),"",INDEX(ControlsBPARefNoTable[Reference Number],MATCH(SectorField,ControlsBPARefNoTable[Sector],0)))))</f>
        <v>Sector is blank</v>
      </c>
      <c r="BF198" s="530" t="str">
        <f t="shared" si="73"/>
        <v/>
      </c>
      <c r="BG198" s="132" t="str">
        <f t="shared" si="74"/>
        <v/>
      </c>
      <c r="BH198" s="531" t="str">
        <f t="shared" si="75"/>
        <v/>
      </c>
      <c r="BI198" s="532"/>
      <c r="BJ198" s="538" t="str">
        <f t="shared" si="81"/>
        <v/>
      </c>
      <c r="BK198" s="539" t="str">
        <f t="shared" si="82"/>
        <v/>
      </c>
      <c r="BL198" s="547" t="str">
        <f t="shared" si="83"/>
        <v/>
      </c>
    </row>
    <row r="199" spans="1:64" x14ac:dyDescent="0.3">
      <c r="A199" s="133">
        <v>192</v>
      </c>
      <c r="B199" s="294"/>
      <c r="C199" s="313"/>
      <c r="D199" s="292"/>
      <c r="E199" s="284"/>
      <c r="F199" s="284"/>
      <c r="G199" s="295"/>
      <c r="H199" s="296"/>
      <c r="I199" s="297"/>
      <c r="J199" s="292"/>
      <c r="K199" s="284"/>
      <c r="L199" s="284"/>
      <c r="M199" s="295"/>
      <c r="N199" s="296"/>
      <c r="O199" s="296"/>
      <c r="P199" s="284"/>
      <c r="Q199" s="298"/>
      <c r="R199" s="292"/>
      <c r="S199" s="299"/>
      <c r="T199" s="300"/>
      <c r="U199" s="317" t="str">
        <f t="shared" si="57"/>
        <v/>
      </c>
      <c r="V199" s="301"/>
      <c r="W199" s="136" t="str">
        <f t="shared" si="58"/>
        <v/>
      </c>
      <c r="X199" s="588" t="str">
        <f t="shared" si="76"/>
        <v/>
      </c>
      <c r="Y199" s="580"/>
      <c r="Z199" s="251" t="str">
        <f t="shared" si="59"/>
        <v/>
      </c>
      <c r="AA199" s="138" t="str">
        <f t="shared" si="84"/>
        <v/>
      </c>
      <c r="AB199" s="243" t="str">
        <f t="shared" si="77"/>
        <v/>
      </c>
      <c r="AC199" s="141" t="str">
        <f t="shared" si="60"/>
        <v/>
      </c>
      <c r="AD199" s="138" t="str">
        <f t="shared" si="78"/>
        <v/>
      </c>
      <c r="AE199" s="243" t="str">
        <f t="shared" si="61"/>
        <v/>
      </c>
      <c r="AF199" s="342" t="str">
        <f>IF(AM199="Row Not Used","",INDEX(SpaceTable[Annual Hours],(MATCH(B199,SpaceTable[Space Name Concatenated Helper],0))))</f>
        <v/>
      </c>
      <c r="AG199" s="205" t="str">
        <f t="shared" si="62"/>
        <v/>
      </c>
      <c r="AH199" s="234" t="str">
        <f t="shared" si="63"/>
        <v/>
      </c>
      <c r="AI199" s="205" t="str">
        <f t="shared" si="64"/>
        <v/>
      </c>
      <c r="AJ199" s="234" t="str">
        <f t="shared" si="65"/>
        <v/>
      </c>
      <c r="AK199" s="144" t="str">
        <f>IF(AM199="Row Not Used","",INDEX(SpaceTable[Row],(MATCH(B199,SpaceTable[Space Name Concatenated Helper],0))))</f>
        <v/>
      </c>
      <c r="AL199" s="238" t="str">
        <f>IF(AM199="Row Not Used","",INDEX(SpaceTable[HVAC Factor],(MATCH(B199,SpaceTable[Space Name Concatenated Helper],0))))</f>
        <v/>
      </c>
      <c r="AM199" s="520" t="str">
        <f t="shared" si="66"/>
        <v>Row Not Used</v>
      </c>
      <c r="AN199" s="512" t="e" cm="1">
        <f t="array" ref="AN199">INDEX(BallastFactorTable[Ballast Factor],MATCH(1,(BallastFactorTable[Fixture Class]=D199)*(BallastFactorTable[Fixture Category]=E199)*(BallastFactorTable[Fixture Sub-category]=F199),0))</f>
        <v>#N/A</v>
      </c>
      <c r="AO199" s="143" t="str">
        <f t="shared" si="79"/>
        <v/>
      </c>
      <c r="AP199" s="501" t="e" cm="1">
        <f t="array" ref="AP199">INDEX(BallastFactorTable[Wattage Range Name],MATCH(1,(BallastFactorTable[Fixture Class]=D199)*(BallastFactorTable[Fixture Category]=E199)*(BallastFactorTable[Fixture Sub-category]=F199),0))</f>
        <v>#N/A</v>
      </c>
      <c r="AQ199" s="515" t="str">
        <f t="shared" ca="1" si="67"/>
        <v>Okay</v>
      </c>
      <c r="AR199" s="512">
        <f t="shared" si="68"/>
        <v>0</v>
      </c>
      <c r="AS199" s="511" t="str">
        <f>IF(OR(Measures!AM199="Row Not Used",Measures!C199="Controls Only",Measures!C199="Decommissioning"),"",_xlfn.CONCAT(P199," ",Q199))</f>
        <v/>
      </c>
      <c r="AT199" s="264" t="str">
        <f t="shared" si="69"/>
        <v>None</v>
      </c>
      <c r="AU199" s="229">
        <f>IF(OR(AM199="Row Not Used",AM199="Controls Only"),0,INDEX(IncentiveRateTable[Incentive Rate],MATCH(AT199,IncentiveRateTable[Incentive Name],0)))</f>
        <v>0</v>
      </c>
      <c r="AV199" s="133" t="str">
        <f>IF(OR(AM199="Row Not Used",AM199="Controls Only"),"None",INDEX(IncentiveRateTable[Incentive Unit],MATCH(AT199,IncentiveRateTable[Incentive Name],0)))</f>
        <v>None</v>
      </c>
      <c r="AW199" s="578">
        <f t="shared" si="80"/>
        <v>0</v>
      </c>
      <c r="AX199" s="264" t="str">
        <f t="shared" si="70"/>
        <v>None</v>
      </c>
      <c r="AY199" s="229">
        <f>IF(OR(AM199="Row Not Used",AM199="Fixtures Only",AM199="Decommissioning"),0,INDEX(IncentiveRateTable[Incentive Rate],MATCH(AX199,IncentiveRateTable[Incentive Name],0)))</f>
        <v>0</v>
      </c>
      <c r="AZ199" s="133" t="str">
        <f>IF(OR(AM199="Row Not Used",AM199="Fixtures Only",AM199="Decommissioning"),"None",INDEX(IncentiveRateTable[Incentive Unit],MATCH(AX199,IncentiveRateTable[Incentive Name],0)))</f>
        <v>None</v>
      </c>
      <c r="BA199" s="465">
        <f t="shared" si="71"/>
        <v>0</v>
      </c>
      <c r="BB199" s="264" t="e" cm="1">
        <f t="array" ref="BB199">INDEX(BallastFactorTable[Commercial BPA Reference Number],MATCH(1,(BallastFactorTable[Fixture Class]=J199)*(BallastFactorTable[Fixture Category]=K199)*(BallastFactorTable[Fixture Sub-category]=L199),0))</f>
        <v>#N/A</v>
      </c>
      <c r="BC199" s="133" t="e" cm="1">
        <f t="array" ref="BC199">INDEX(BallastFactorTable[Industrial BPA Reference Number],MATCH(1,(BallastFactorTable[Fixture Class]=J199)*(BallastFactorTable[Fixture Category]=K199)*(BallastFactorTable[Fixture Sub-category]=L199),0))</f>
        <v>#N/A</v>
      </c>
      <c r="BD199" s="264" t="str">
        <f t="shared" si="72"/>
        <v>Sector is blank</v>
      </c>
      <c r="BE199" s="269" t="str">
        <f>IF(ISBLANK(SectorField),"Sector is blank",IF(AM199="Row Not Used","",IF(OR(R199="No Controls",ISBLANK(R199)),"",INDEX(ControlsBPARefNoTable[Reference Number],MATCH(SectorField,ControlsBPARefNoTable[Sector],0)))))</f>
        <v>Sector is blank</v>
      </c>
      <c r="BF199" s="530" t="str">
        <f t="shared" si="73"/>
        <v/>
      </c>
      <c r="BG199" s="132" t="str">
        <f t="shared" si="74"/>
        <v/>
      </c>
      <c r="BH199" s="531" t="str">
        <f t="shared" si="75"/>
        <v/>
      </c>
      <c r="BI199" s="532"/>
      <c r="BJ199" s="538" t="str">
        <f t="shared" si="81"/>
        <v/>
      </c>
      <c r="BK199" s="539" t="str">
        <f t="shared" si="82"/>
        <v/>
      </c>
      <c r="BL199" s="547" t="str">
        <f t="shared" si="83"/>
        <v/>
      </c>
    </row>
    <row r="200" spans="1:64" x14ac:dyDescent="0.3">
      <c r="A200" s="133">
        <v>193</v>
      </c>
      <c r="B200" s="294"/>
      <c r="C200" s="313"/>
      <c r="D200" s="292"/>
      <c r="E200" s="284"/>
      <c r="F200" s="284"/>
      <c r="G200" s="295"/>
      <c r="H200" s="296"/>
      <c r="I200" s="297"/>
      <c r="J200" s="292"/>
      <c r="K200" s="284"/>
      <c r="L200" s="284"/>
      <c r="M200" s="295"/>
      <c r="N200" s="296"/>
      <c r="O200" s="296"/>
      <c r="P200" s="284"/>
      <c r="Q200" s="298"/>
      <c r="R200" s="292"/>
      <c r="S200" s="299"/>
      <c r="T200" s="300"/>
      <c r="U200" s="317" t="str">
        <f t="shared" ref="U200:U263" si="85">IF(OR(ISBLANK(R200),R200="No Controls"),"",IF(R200="Networked Controls",CtrlPctHrsReductionNetworked,CtrlPctHrsReductionNonNetworked))</f>
        <v/>
      </c>
      <c r="V200" s="301"/>
      <c r="W200" s="137" t="str">
        <f t="shared" ref="W200:W263" si="86">IF(AM200="Row Not Used","",IF(OR(AM200="Fixtures Only",AM200="decommissioning"),Z200,IF(AM200="Controls Only",AC200,Z200+AC200)))</f>
        <v/>
      </c>
      <c r="X200" s="589" t="str">
        <f t="shared" si="76"/>
        <v/>
      </c>
      <c r="Y200" s="581"/>
      <c r="Z200" s="251" t="str">
        <f t="shared" ref="Z200:Z263" si="87">IF(OR(AM200="Row Not Used",AM200="Controls Only"),"",IF(AM200="Decommissioning",AH200,AH200-AJ200))</f>
        <v/>
      </c>
      <c r="AA200" s="138" t="str">
        <f t="shared" si="84"/>
        <v/>
      </c>
      <c r="AB200" s="243" t="str">
        <f t="shared" si="77"/>
        <v/>
      </c>
      <c r="AC200" s="141" t="str">
        <f t="shared" ref="AC200:AC263" si="88">IF(OR(AM200="Row Not Used",AM200="Fixtures Only",AM200="Decommissioning"),"",BA200)</f>
        <v/>
      </c>
      <c r="AD200" s="138" t="str">
        <f t="shared" si="78"/>
        <v/>
      </c>
      <c r="AE200" s="243" t="str">
        <f t="shared" ref="AE200:AE263" si="89">IF(AZ200="None","",IF(AC200&lt;0,0,ROUND(AY200*AC200,2)))</f>
        <v/>
      </c>
      <c r="AF200" s="342" t="str">
        <f>IF(AM200="Row Not Used","",INDEX(SpaceTable[Annual Hours],(MATCH(B200,SpaceTable[Space Name Concatenated Helper],0))))</f>
        <v/>
      </c>
      <c r="AG200" s="205" t="str">
        <f t="shared" ref="AG200:AG263" si="90">IF(AM200="Row Not Used","",G200*H200*AO200)</f>
        <v/>
      </c>
      <c r="AH200" s="234" t="str">
        <f t="shared" ref="AH200:AH263" si="91">IF(AM200="Row Not Used","",(AG200*I200*AF200*AL200)/kWhConversion)</f>
        <v/>
      </c>
      <c r="AI200" s="205" t="str">
        <f t="shared" ref="AI200:AI263" si="92">IF(OR(AM200="Row Not Used",AM200="Controls Only",AM200="Decommissioning"),"",M200*N200)</f>
        <v/>
      </c>
      <c r="AJ200" s="234" t="str">
        <f t="shared" ref="AJ200:AJ263" si="93">IF(OR(AM200="Row Not Used",AM200="Controls Only",AM200="Decommissioning"),"",(AI200*O200*AF200*AL200)/kWhConversion)</f>
        <v/>
      </c>
      <c r="AK200" s="144" t="str">
        <f>IF(AM200="Row Not Used","",INDEX(SpaceTable[Row],(MATCH(B200,SpaceTable[Space Name Concatenated Helper],0))))</f>
        <v/>
      </c>
      <c r="AL200" s="238" t="str">
        <f>IF(AM200="Row Not Used","",INDEX(SpaceTable[HVAC Factor],(MATCH(B200,SpaceTable[Space Name Concatenated Helper],0))))</f>
        <v/>
      </c>
      <c r="AM200" s="520" t="str">
        <f t="shared" ref="AM200:AM263" si="94">IF(OR(ISBLANK(C200),ISBLANK(B200)),"Row Not Used",IF(C200="Controls Only","Controls Only",IF(C200="Decommissioning","Decommissioning",IF(AND(C200="Fixtures",OR(R200="No Controls",ISBLANK(R200))),"Fixtures Only","Fixtures with Controls"))))</f>
        <v>Row Not Used</v>
      </c>
      <c r="AN200" s="512" t="e" cm="1">
        <f t="array" ref="AN200">INDEX(BallastFactorTable[Ballast Factor],MATCH(1,(BallastFactorTable[Fixture Class]=D200)*(BallastFactorTable[Fixture Category]=E200)*(BallastFactorTable[Fixture Sub-category]=F200),0))</f>
        <v>#N/A</v>
      </c>
      <c r="AO200" s="143" t="str">
        <f t="shared" si="79"/>
        <v/>
      </c>
      <c r="AP200" s="501" t="e" cm="1">
        <f t="array" ref="AP200">INDEX(BallastFactorTable[Wattage Range Name],MATCH(1,(BallastFactorTable[Fixture Class]=D200)*(BallastFactorTable[Fixture Category]=E200)*(BallastFactorTable[Fixture Sub-category]=F200),0))</f>
        <v>#N/A</v>
      </c>
      <c r="AQ200" s="515" t="str">
        <f t="shared" ref="AQ200:AQ263" ca="1" si="95">IF(G200="Type in the wattage.","Invalid",IF(OR(AM200="Row Not Used",D200="LED",ISBLANK(G200)),"Okay",IFERROR(_xlfn.XMATCH(G200,INDIRECT(AP200),0),"Invalid")))</f>
        <v>Okay</v>
      </c>
      <c r="AR200" s="512">
        <f t="shared" ref="AR200:AR263" si="96">IF(AM200="Row Not Used",0,IF(AM200="Decommissioning",I200,IF(AT200="LED Tube",N200*O200,O200)))</f>
        <v>0</v>
      </c>
      <c r="AS200" s="511" t="str">
        <f>IF(OR(Measures!AM200="Row Not Used",Measures!C200="Controls Only",Measures!C200="Decommissioning"),"",_xlfn.CONCAT(P200," ",Q200))</f>
        <v/>
      </c>
      <c r="AT200" s="264" t="str">
        <f t="shared" ref="AT200:AT263" si="97">IF(OR(AM200="Row Not Used",AM200="Controls Only"),"None",IF(K200="Tube","LED Tube",IF(K200="Exit Sign","LED Exit Sign",IF(RateClassField="Small General (B)","Standard B",IF(RateClassField="General (G)","Standard G",IF(RateClassField="High Voltage (HVG)","Standard HVG","Error"))))))</f>
        <v>None</v>
      </c>
      <c r="AU200" s="229">
        <f>IF(OR(AM200="Row Not Used",AM200="Controls Only"),0,INDEX(IncentiveRateTable[Incentive Rate],MATCH(AT200,IncentiveRateTable[Incentive Name],0)))</f>
        <v>0</v>
      </c>
      <c r="AV200" s="133" t="str">
        <f>IF(OR(AM200="Row Not Used",AM200="Controls Only"),"None",INDEX(IncentiveRateTable[Incentive Unit],MATCH(AT200,IncentiveRateTable[Incentive Name],0)))</f>
        <v>None</v>
      </c>
      <c r="AW200" s="578">
        <f t="shared" si="80"/>
        <v>0</v>
      </c>
      <c r="AX200" s="264" t="str">
        <f t="shared" ref="AX200:AX263" si="98">IF(OR(AM200="Row Not Used",AM200="Fixtures Only",AM200="Decommissioning"),"None",IF(RateClassField="Small General (B)","Standard B",IF(RateClassField="General (G)","Standard G",IF(RateClassField="High Voltage (HVG)","Standard HVG","Error"))))</f>
        <v>None</v>
      </c>
      <c r="AY200" s="229">
        <f>IF(OR(AM200="Row Not Used",AM200="Fixtures Only",AM200="Decommissioning"),0,INDEX(IncentiveRateTable[Incentive Rate],MATCH(AX200,IncentiveRateTable[Incentive Name],0)))</f>
        <v>0</v>
      </c>
      <c r="AZ200" s="133" t="str">
        <f>IF(OR(AM200="Row Not Used",AM200="Fixtures Only",AM200="Decommissioning"),"None",INDEX(IncentiveRateTable[Incentive Unit],MATCH(AX200,IncentiveRateTable[Incentive Name],0)))</f>
        <v>None</v>
      </c>
      <c r="BA200" s="465">
        <f t="shared" ref="BA200:BA263" si="99">IF(OR(AM200="Row Not Used",AM200="Decommissioning",AM200="Fixtures Only"),0,IF(AM200="Controls Only",IF(R200="Multi-function",AH200*U200*T200,AH200*U200),IF(R200="Multi-function",AJ200*U200*T200,AJ200*U200)))</f>
        <v>0</v>
      </c>
      <c r="BB200" s="264" t="e" cm="1">
        <f t="array" ref="BB200">INDEX(BallastFactorTable[Commercial BPA Reference Number],MATCH(1,(BallastFactorTable[Fixture Class]=J200)*(BallastFactorTable[Fixture Category]=K200)*(BallastFactorTable[Fixture Sub-category]=L200),0))</f>
        <v>#N/A</v>
      </c>
      <c r="BC200" s="133" t="e" cm="1">
        <f t="array" ref="BC200">INDEX(BallastFactorTable[Industrial BPA Reference Number],MATCH(1,(BallastFactorTable[Fixture Class]=J200)*(BallastFactorTable[Fixture Category]=K200)*(BallastFactorTable[Fixture Sub-category]=L200),0))</f>
        <v>#N/A</v>
      </c>
      <c r="BD200" s="264" t="str">
        <f t="shared" ref="BD200:BD263" si="100">IF(ISBLANK(SectorField),"Sector is blank",IF(OR(AM200="Row Not Used",AM200="Controls Only"),"",IF(AM200="Decommissioning","Not Reported to BPA",IF(SectorField="Commercial",BB200,IF(SectorField="Industrial",BC200,"Unknown")))))</f>
        <v>Sector is blank</v>
      </c>
      <c r="BE200" s="269" t="str">
        <f>IF(ISBLANK(SectorField),"Sector is blank",IF(AM200="Row Not Used","",IF(OR(R200="No Controls",ISBLANK(R200)),"",INDEX(ControlsBPARefNoTable[Reference Number],MATCH(SectorField,ControlsBPARefNoTable[Sector],0)))))</f>
        <v>Sector is blank</v>
      </c>
      <c r="BF200" s="530" t="str">
        <f t="shared" ref="BF200:BF263" si="101">IF(AM200="Row Not Used","",COUNTA(D200:I200)=$BF$6)</f>
        <v/>
      </c>
      <c r="BG200" s="132" t="str">
        <f t="shared" ref="BG200:BG263" si="102">IF(AM200="Row Not Used","",IF(OR(AM200="Controls Only",AM200="Decommissioning"),TRUE,COUNTA(J200:Q200)=$BG$6))</f>
        <v/>
      </c>
      <c r="BH200" s="531" t="str">
        <f t="shared" ref="BH200:BH263" si="103">IF(AM200="Row Not Used","",IF(OR(AM200="Fixtures Only",AM200="Decommissioning"),TRUE,IF(R200="Multi-function",COUNTA(R200:T200)=$BH$6,COUNTA(R200:T200)=$BH$6-1)))</f>
        <v/>
      </c>
      <c r="BI200" s="532"/>
      <c r="BJ200" s="538" t="str">
        <f t="shared" si="81"/>
        <v/>
      </c>
      <c r="BK200" s="539" t="str">
        <f t="shared" si="82"/>
        <v/>
      </c>
      <c r="BL200" s="547" t="str">
        <f t="shared" si="83"/>
        <v/>
      </c>
    </row>
    <row r="201" spans="1:64" x14ac:dyDescent="0.3">
      <c r="A201" s="133">
        <v>194</v>
      </c>
      <c r="B201" s="294"/>
      <c r="C201" s="313"/>
      <c r="D201" s="292"/>
      <c r="E201" s="284"/>
      <c r="F201" s="284"/>
      <c r="G201" s="295"/>
      <c r="H201" s="296"/>
      <c r="I201" s="297"/>
      <c r="J201" s="292"/>
      <c r="K201" s="284"/>
      <c r="L201" s="284"/>
      <c r="M201" s="295"/>
      <c r="N201" s="296"/>
      <c r="O201" s="296"/>
      <c r="P201" s="284"/>
      <c r="Q201" s="298"/>
      <c r="R201" s="292"/>
      <c r="S201" s="299"/>
      <c r="T201" s="300"/>
      <c r="U201" s="317" t="str">
        <f t="shared" si="85"/>
        <v/>
      </c>
      <c r="V201" s="301"/>
      <c r="W201" s="136" t="str">
        <f t="shared" si="86"/>
        <v/>
      </c>
      <c r="X201" s="588" t="str">
        <f t="shared" ref="X201:X264" si="104">IF(AM201="Row Not Used","",IFERROR(ROUND(W201/AH201,2),0))</f>
        <v/>
      </c>
      <c r="Y201" s="580"/>
      <c r="Z201" s="251" t="str">
        <f t="shared" si="87"/>
        <v/>
      </c>
      <c r="AA201" s="138" t="str">
        <f t="shared" si="84"/>
        <v/>
      </c>
      <c r="AB201" s="243" t="str">
        <f t="shared" ref="AB201:AB264" si="105">IF(AV201="None","",AW201)</f>
        <v/>
      </c>
      <c r="AC201" s="141" t="str">
        <f t="shared" si="88"/>
        <v/>
      </c>
      <c r="AD201" s="138" t="str">
        <f t="shared" ref="AD201:AD264" si="106">IF(OR(AM201="Row Not Used",AM201="Fixtures Only",AM201="Decommissioning"),"",IFERROR(ROUND(AC201/AH201,2),0))</f>
        <v/>
      </c>
      <c r="AE201" s="243" t="str">
        <f t="shared" si="89"/>
        <v/>
      </c>
      <c r="AF201" s="342" t="str">
        <f>IF(AM201="Row Not Used","",INDEX(SpaceTable[Annual Hours],(MATCH(B201,SpaceTable[Space Name Concatenated Helper],0))))</f>
        <v/>
      </c>
      <c r="AG201" s="205" t="str">
        <f t="shared" si="90"/>
        <v/>
      </c>
      <c r="AH201" s="234" t="str">
        <f t="shared" si="91"/>
        <v/>
      </c>
      <c r="AI201" s="205" t="str">
        <f t="shared" si="92"/>
        <v/>
      </c>
      <c r="AJ201" s="234" t="str">
        <f t="shared" si="93"/>
        <v/>
      </c>
      <c r="AK201" s="144" t="str">
        <f>IF(AM201="Row Not Used","",INDEX(SpaceTable[Row],(MATCH(B201,SpaceTable[Space Name Concatenated Helper],0))))</f>
        <v/>
      </c>
      <c r="AL201" s="238" t="str">
        <f>IF(AM201="Row Not Used","",INDEX(SpaceTable[HVAC Factor],(MATCH(B201,SpaceTable[Space Name Concatenated Helper],0))))</f>
        <v/>
      </c>
      <c r="AM201" s="520" t="str">
        <f t="shared" si="94"/>
        <v>Row Not Used</v>
      </c>
      <c r="AN201" s="512" t="e" cm="1">
        <f t="array" ref="AN201">INDEX(BallastFactorTable[Ballast Factor],MATCH(1,(BallastFactorTable[Fixture Class]=D201)*(BallastFactorTable[Fixture Category]=E201)*(BallastFactorTable[Fixture Sub-category]=F201),0))</f>
        <v>#N/A</v>
      </c>
      <c r="AO201" s="143" t="str">
        <f t="shared" ref="AO201:AO264" si="107">IF(AM201="Row Not Used","",IFERROR(AN201,0))</f>
        <v/>
      </c>
      <c r="AP201" s="501" t="e" cm="1">
        <f t="array" ref="AP201">INDEX(BallastFactorTable[Wattage Range Name],MATCH(1,(BallastFactorTable[Fixture Class]=D201)*(BallastFactorTable[Fixture Category]=E201)*(BallastFactorTable[Fixture Sub-category]=F201),0))</f>
        <v>#N/A</v>
      </c>
      <c r="AQ201" s="515" t="str">
        <f t="shared" ca="1" si="95"/>
        <v>Okay</v>
      </c>
      <c r="AR201" s="512">
        <f t="shared" si="96"/>
        <v>0</v>
      </c>
      <c r="AS201" s="511" t="str">
        <f>IF(OR(Measures!AM201="Row Not Used",Measures!C201="Controls Only",Measures!C201="Decommissioning"),"",_xlfn.CONCAT(P201," ",Q201))</f>
        <v/>
      </c>
      <c r="AT201" s="264" t="str">
        <f t="shared" si="97"/>
        <v>None</v>
      </c>
      <c r="AU201" s="229">
        <f>IF(OR(AM201="Row Not Used",AM201="Controls Only"),0,INDEX(IncentiveRateTable[Incentive Rate],MATCH(AT201,IncentiveRateTable[Incentive Name],0)))</f>
        <v>0</v>
      </c>
      <c r="AV201" s="133" t="str">
        <f>IF(OR(AM201="Row Not Used",AM201="Controls Only"),"None",INDEX(IncentiveRateTable[Incentive Unit],MATCH(AT201,IncentiveRateTable[Incentive Name],0)))</f>
        <v>None</v>
      </c>
      <c r="AW201" s="578">
        <f t="shared" ref="AW201:AW264" si="108">IF(AV201="None",0,IF(AND(OR(AV201="Per Tube",AV201="Per Fixture"),Z201=0),0,IF(AV201="Per kWh Saved",ROUND(AU201*Z201,2),IF(AND(AV201="Per Tube",Z201&lt;0),-ROUND(AU201*N201*O201,2),IF(AV201="Per Tube",ROUND(AU201*N201*O201,2),IF(AND(AV201="Per Fixture",Z201&lt;0),-ROUND(AU201*O201,2),IF(AV201="Per Fixture",ROUND(AU201*O201,2),0)))))))</f>
        <v>0</v>
      </c>
      <c r="AX201" s="264" t="str">
        <f t="shared" si="98"/>
        <v>None</v>
      </c>
      <c r="AY201" s="229">
        <f>IF(OR(AM201="Row Not Used",AM201="Fixtures Only",AM201="Decommissioning"),0,INDEX(IncentiveRateTable[Incentive Rate],MATCH(AX201,IncentiveRateTable[Incentive Name],0)))</f>
        <v>0</v>
      </c>
      <c r="AZ201" s="133" t="str">
        <f>IF(OR(AM201="Row Not Used",AM201="Fixtures Only",AM201="Decommissioning"),"None",INDEX(IncentiveRateTable[Incentive Unit],MATCH(AX201,IncentiveRateTable[Incentive Name],0)))</f>
        <v>None</v>
      </c>
      <c r="BA201" s="465">
        <f t="shared" si="99"/>
        <v>0</v>
      </c>
      <c r="BB201" s="264" t="e" cm="1">
        <f t="array" ref="BB201">INDEX(BallastFactorTable[Commercial BPA Reference Number],MATCH(1,(BallastFactorTable[Fixture Class]=J201)*(BallastFactorTable[Fixture Category]=K201)*(BallastFactorTable[Fixture Sub-category]=L201),0))</f>
        <v>#N/A</v>
      </c>
      <c r="BC201" s="133" t="e" cm="1">
        <f t="array" ref="BC201">INDEX(BallastFactorTable[Industrial BPA Reference Number],MATCH(1,(BallastFactorTable[Fixture Class]=J201)*(BallastFactorTable[Fixture Category]=K201)*(BallastFactorTable[Fixture Sub-category]=L201),0))</f>
        <v>#N/A</v>
      </c>
      <c r="BD201" s="264" t="str">
        <f t="shared" si="100"/>
        <v>Sector is blank</v>
      </c>
      <c r="BE201" s="269" t="str">
        <f>IF(ISBLANK(SectorField),"Sector is blank",IF(AM201="Row Not Used","",IF(OR(R201="No Controls",ISBLANK(R201)),"",INDEX(ControlsBPARefNoTable[Reference Number],MATCH(SectorField,ControlsBPARefNoTable[Sector],0)))))</f>
        <v>Sector is blank</v>
      </c>
      <c r="BF201" s="530" t="str">
        <f t="shared" si="101"/>
        <v/>
      </c>
      <c r="BG201" s="132" t="str">
        <f t="shared" si="102"/>
        <v/>
      </c>
      <c r="BH201" s="531" t="str">
        <f t="shared" si="103"/>
        <v/>
      </c>
      <c r="BI201" s="532"/>
      <c r="BJ201" s="538" t="str">
        <f t="shared" ref="BJ201:BJ264" si="109">IF(LEN(BF201)=0,"",IF(BF201=FALSE,"Missing info","Okay"))</f>
        <v/>
      </c>
      <c r="BK201" s="539" t="str">
        <f t="shared" ref="BK201:BK264" si="110">IF(LEN(BG201)=0,"",IF(BG201=FALSE,"Missing info","Okay"))</f>
        <v/>
      </c>
      <c r="BL201" s="547" t="str">
        <f t="shared" ref="BL201:BL264" si="111">IF(LEN(BH201)=0,"",IF(BH201=FALSE,"Missing info","Okay"))</f>
        <v/>
      </c>
    </row>
    <row r="202" spans="1:64" x14ac:dyDescent="0.3">
      <c r="A202" s="133">
        <v>195</v>
      </c>
      <c r="B202" s="294"/>
      <c r="C202" s="313"/>
      <c r="D202" s="292"/>
      <c r="E202" s="284"/>
      <c r="F202" s="284"/>
      <c r="G202" s="295"/>
      <c r="H202" s="296"/>
      <c r="I202" s="297"/>
      <c r="J202" s="292"/>
      <c r="K202" s="284"/>
      <c r="L202" s="284"/>
      <c r="M202" s="295"/>
      <c r="N202" s="296"/>
      <c r="O202" s="296"/>
      <c r="P202" s="284"/>
      <c r="Q202" s="298"/>
      <c r="R202" s="292"/>
      <c r="S202" s="299"/>
      <c r="T202" s="300"/>
      <c r="U202" s="317" t="str">
        <f t="shared" si="85"/>
        <v/>
      </c>
      <c r="V202" s="301"/>
      <c r="W202" s="137" t="str">
        <f t="shared" si="86"/>
        <v/>
      </c>
      <c r="X202" s="589" t="str">
        <f t="shared" si="104"/>
        <v/>
      </c>
      <c r="Y202" s="581"/>
      <c r="Z202" s="251" t="str">
        <f t="shared" si="87"/>
        <v/>
      </c>
      <c r="AA202" s="138" t="str">
        <f t="shared" ref="AA202:AA265" si="112">IF(OR(AM202="Row Not Used",AM202="Controls Only"),"",IFERROR(ROUND(Z202/AH202,2),0))</f>
        <v/>
      </c>
      <c r="AB202" s="243" t="str">
        <f t="shared" si="105"/>
        <v/>
      </c>
      <c r="AC202" s="141" t="str">
        <f t="shared" si="88"/>
        <v/>
      </c>
      <c r="AD202" s="138" t="str">
        <f t="shared" si="106"/>
        <v/>
      </c>
      <c r="AE202" s="243" t="str">
        <f t="shared" si="89"/>
        <v/>
      </c>
      <c r="AF202" s="342" t="str">
        <f>IF(AM202="Row Not Used","",INDEX(SpaceTable[Annual Hours],(MATCH(B202,SpaceTable[Space Name Concatenated Helper],0))))</f>
        <v/>
      </c>
      <c r="AG202" s="205" t="str">
        <f t="shared" si="90"/>
        <v/>
      </c>
      <c r="AH202" s="234" t="str">
        <f t="shared" si="91"/>
        <v/>
      </c>
      <c r="AI202" s="205" t="str">
        <f t="shared" si="92"/>
        <v/>
      </c>
      <c r="AJ202" s="234" t="str">
        <f t="shared" si="93"/>
        <v/>
      </c>
      <c r="AK202" s="144" t="str">
        <f>IF(AM202="Row Not Used","",INDEX(SpaceTable[Row],(MATCH(B202,SpaceTable[Space Name Concatenated Helper],0))))</f>
        <v/>
      </c>
      <c r="AL202" s="238" t="str">
        <f>IF(AM202="Row Not Used","",INDEX(SpaceTable[HVAC Factor],(MATCH(B202,SpaceTable[Space Name Concatenated Helper],0))))</f>
        <v/>
      </c>
      <c r="AM202" s="520" t="str">
        <f t="shared" si="94"/>
        <v>Row Not Used</v>
      </c>
      <c r="AN202" s="512" t="e" cm="1">
        <f t="array" ref="AN202">INDEX(BallastFactorTable[Ballast Factor],MATCH(1,(BallastFactorTable[Fixture Class]=D202)*(BallastFactorTable[Fixture Category]=E202)*(BallastFactorTable[Fixture Sub-category]=F202),0))</f>
        <v>#N/A</v>
      </c>
      <c r="AO202" s="143" t="str">
        <f t="shared" si="107"/>
        <v/>
      </c>
      <c r="AP202" s="501" t="e" cm="1">
        <f t="array" ref="AP202">INDEX(BallastFactorTable[Wattage Range Name],MATCH(1,(BallastFactorTable[Fixture Class]=D202)*(BallastFactorTable[Fixture Category]=E202)*(BallastFactorTable[Fixture Sub-category]=F202),0))</f>
        <v>#N/A</v>
      </c>
      <c r="AQ202" s="515" t="str">
        <f t="shared" ca="1" si="95"/>
        <v>Okay</v>
      </c>
      <c r="AR202" s="512">
        <f t="shared" si="96"/>
        <v>0</v>
      </c>
      <c r="AS202" s="511" t="str">
        <f>IF(OR(Measures!AM202="Row Not Used",Measures!C202="Controls Only",Measures!C202="Decommissioning"),"",_xlfn.CONCAT(P202," ",Q202))</f>
        <v/>
      </c>
      <c r="AT202" s="264" t="str">
        <f t="shared" si="97"/>
        <v>None</v>
      </c>
      <c r="AU202" s="229">
        <f>IF(OR(AM202="Row Not Used",AM202="Controls Only"),0,INDEX(IncentiveRateTable[Incentive Rate],MATCH(AT202,IncentiveRateTable[Incentive Name],0)))</f>
        <v>0</v>
      </c>
      <c r="AV202" s="133" t="str">
        <f>IF(OR(AM202="Row Not Used",AM202="Controls Only"),"None",INDEX(IncentiveRateTable[Incentive Unit],MATCH(AT202,IncentiveRateTable[Incentive Name],0)))</f>
        <v>None</v>
      </c>
      <c r="AW202" s="578">
        <f t="shared" si="108"/>
        <v>0</v>
      </c>
      <c r="AX202" s="264" t="str">
        <f t="shared" si="98"/>
        <v>None</v>
      </c>
      <c r="AY202" s="229">
        <f>IF(OR(AM202="Row Not Used",AM202="Fixtures Only",AM202="Decommissioning"),0,INDEX(IncentiveRateTable[Incentive Rate],MATCH(AX202,IncentiveRateTable[Incentive Name],0)))</f>
        <v>0</v>
      </c>
      <c r="AZ202" s="133" t="str">
        <f>IF(OR(AM202="Row Not Used",AM202="Fixtures Only",AM202="Decommissioning"),"None",INDEX(IncentiveRateTable[Incentive Unit],MATCH(AX202,IncentiveRateTable[Incentive Name],0)))</f>
        <v>None</v>
      </c>
      <c r="BA202" s="465">
        <f t="shared" si="99"/>
        <v>0</v>
      </c>
      <c r="BB202" s="264" t="e" cm="1">
        <f t="array" ref="BB202">INDEX(BallastFactorTable[Commercial BPA Reference Number],MATCH(1,(BallastFactorTable[Fixture Class]=J202)*(BallastFactorTable[Fixture Category]=K202)*(BallastFactorTable[Fixture Sub-category]=L202),0))</f>
        <v>#N/A</v>
      </c>
      <c r="BC202" s="133" t="e" cm="1">
        <f t="array" ref="BC202">INDEX(BallastFactorTable[Industrial BPA Reference Number],MATCH(1,(BallastFactorTable[Fixture Class]=J202)*(BallastFactorTable[Fixture Category]=K202)*(BallastFactorTable[Fixture Sub-category]=L202),0))</f>
        <v>#N/A</v>
      </c>
      <c r="BD202" s="264" t="str">
        <f t="shared" si="100"/>
        <v>Sector is blank</v>
      </c>
      <c r="BE202" s="269" t="str">
        <f>IF(ISBLANK(SectorField),"Sector is blank",IF(AM202="Row Not Used","",IF(OR(R202="No Controls",ISBLANK(R202)),"",INDEX(ControlsBPARefNoTable[Reference Number],MATCH(SectorField,ControlsBPARefNoTable[Sector],0)))))</f>
        <v>Sector is blank</v>
      </c>
      <c r="BF202" s="530" t="str">
        <f t="shared" si="101"/>
        <v/>
      </c>
      <c r="BG202" s="132" t="str">
        <f t="shared" si="102"/>
        <v/>
      </c>
      <c r="BH202" s="531" t="str">
        <f t="shared" si="103"/>
        <v/>
      </c>
      <c r="BI202" s="532"/>
      <c r="BJ202" s="538" t="str">
        <f t="shared" si="109"/>
        <v/>
      </c>
      <c r="BK202" s="539" t="str">
        <f t="shared" si="110"/>
        <v/>
      </c>
      <c r="BL202" s="547" t="str">
        <f t="shared" si="111"/>
        <v/>
      </c>
    </row>
    <row r="203" spans="1:64" x14ac:dyDescent="0.3">
      <c r="A203" s="133">
        <v>196</v>
      </c>
      <c r="B203" s="294"/>
      <c r="C203" s="313"/>
      <c r="D203" s="292"/>
      <c r="E203" s="284"/>
      <c r="F203" s="284"/>
      <c r="G203" s="295"/>
      <c r="H203" s="296"/>
      <c r="I203" s="297"/>
      <c r="J203" s="292"/>
      <c r="K203" s="284"/>
      <c r="L203" s="284"/>
      <c r="M203" s="295"/>
      <c r="N203" s="296"/>
      <c r="O203" s="296"/>
      <c r="P203" s="284"/>
      <c r="Q203" s="298"/>
      <c r="R203" s="292"/>
      <c r="S203" s="299"/>
      <c r="T203" s="300"/>
      <c r="U203" s="317" t="str">
        <f t="shared" si="85"/>
        <v/>
      </c>
      <c r="V203" s="301"/>
      <c r="W203" s="136" t="str">
        <f t="shared" si="86"/>
        <v/>
      </c>
      <c r="X203" s="588" t="str">
        <f t="shared" si="104"/>
        <v/>
      </c>
      <c r="Y203" s="580"/>
      <c r="Z203" s="251" t="str">
        <f t="shared" si="87"/>
        <v/>
      </c>
      <c r="AA203" s="138" t="str">
        <f t="shared" si="112"/>
        <v/>
      </c>
      <c r="AB203" s="243" t="str">
        <f t="shared" si="105"/>
        <v/>
      </c>
      <c r="AC203" s="141" t="str">
        <f t="shared" si="88"/>
        <v/>
      </c>
      <c r="AD203" s="138" t="str">
        <f t="shared" si="106"/>
        <v/>
      </c>
      <c r="AE203" s="243" t="str">
        <f t="shared" si="89"/>
        <v/>
      </c>
      <c r="AF203" s="342" t="str">
        <f>IF(AM203="Row Not Used","",INDEX(SpaceTable[Annual Hours],(MATCH(B203,SpaceTable[Space Name Concatenated Helper],0))))</f>
        <v/>
      </c>
      <c r="AG203" s="205" t="str">
        <f t="shared" si="90"/>
        <v/>
      </c>
      <c r="AH203" s="234" t="str">
        <f t="shared" si="91"/>
        <v/>
      </c>
      <c r="AI203" s="205" t="str">
        <f t="shared" si="92"/>
        <v/>
      </c>
      <c r="AJ203" s="234" t="str">
        <f t="shared" si="93"/>
        <v/>
      </c>
      <c r="AK203" s="144" t="str">
        <f>IF(AM203="Row Not Used","",INDEX(SpaceTable[Row],(MATCH(B203,SpaceTable[Space Name Concatenated Helper],0))))</f>
        <v/>
      </c>
      <c r="AL203" s="238" t="str">
        <f>IF(AM203="Row Not Used","",INDEX(SpaceTable[HVAC Factor],(MATCH(B203,SpaceTable[Space Name Concatenated Helper],0))))</f>
        <v/>
      </c>
      <c r="AM203" s="520" t="str">
        <f t="shared" si="94"/>
        <v>Row Not Used</v>
      </c>
      <c r="AN203" s="512" t="e" cm="1">
        <f t="array" ref="AN203">INDEX(BallastFactorTable[Ballast Factor],MATCH(1,(BallastFactorTable[Fixture Class]=D203)*(BallastFactorTable[Fixture Category]=E203)*(BallastFactorTable[Fixture Sub-category]=F203),0))</f>
        <v>#N/A</v>
      </c>
      <c r="AO203" s="143" t="str">
        <f t="shared" si="107"/>
        <v/>
      </c>
      <c r="AP203" s="501" t="e" cm="1">
        <f t="array" ref="AP203">INDEX(BallastFactorTable[Wattage Range Name],MATCH(1,(BallastFactorTable[Fixture Class]=D203)*(BallastFactorTable[Fixture Category]=E203)*(BallastFactorTable[Fixture Sub-category]=F203),0))</f>
        <v>#N/A</v>
      </c>
      <c r="AQ203" s="515" t="str">
        <f t="shared" ca="1" si="95"/>
        <v>Okay</v>
      </c>
      <c r="AR203" s="512">
        <f t="shared" si="96"/>
        <v>0</v>
      </c>
      <c r="AS203" s="511" t="str">
        <f>IF(OR(Measures!AM203="Row Not Used",Measures!C203="Controls Only",Measures!C203="Decommissioning"),"",_xlfn.CONCAT(P203," ",Q203))</f>
        <v/>
      </c>
      <c r="AT203" s="264" t="str">
        <f t="shared" si="97"/>
        <v>None</v>
      </c>
      <c r="AU203" s="229">
        <f>IF(OR(AM203="Row Not Used",AM203="Controls Only"),0,INDEX(IncentiveRateTable[Incentive Rate],MATCH(AT203,IncentiveRateTable[Incentive Name],0)))</f>
        <v>0</v>
      </c>
      <c r="AV203" s="133" t="str">
        <f>IF(OR(AM203="Row Not Used",AM203="Controls Only"),"None",INDEX(IncentiveRateTable[Incentive Unit],MATCH(AT203,IncentiveRateTable[Incentive Name],0)))</f>
        <v>None</v>
      </c>
      <c r="AW203" s="578">
        <f t="shared" si="108"/>
        <v>0</v>
      </c>
      <c r="AX203" s="264" t="str">
        <f t="shared" si="98"/>
        <v>None</v>
      </c>
      <c r="AY203" s="229">
        <f>IF(OR(AM203="Row Not Used",AM203="Fixtures Only",AM203="Decommissioning"),0,INDEX(IncentiveRateTable[Incentive Rate],MATCH(AX203,IncentiveRateTable[Incentive Name],0)))</f>
        <v>0</v>
      </c>
      <c r="AZ203" s="133" t="str">
        <f>IF(OR(AM203="Row Not Used",AM203="Fixtures Only",AM203="Decommissioning"),"None",INDEX(IncentiveRateTable[Incentive Unit],MATCH(AX203,IncentiveRateTable[Incentive Name],0)))</f>
        <v>None</v>
      </c>
      <c r="BA203" s="465">
        <f t="shared" si="99"/>
        <v>0</v>
      </c>
      <c r="BB203" s="264" t="e" cm="1">
        <f t="array" ref="BB203">INDEX(BallastFactorTable[Commercial BPA Reference Number],MATCH(1,(BallastFactorTable[Fixture Class]=J203)*(BallastFactorTable[Fixture Category]=K203)*(BallastFactorTable[Fixture Sub-category]=L203),0))</f>
        <v>#N/A</v>
      </c>
      <c r="BC203" s="133" t="e" cm="1">
        <f t="array" ref="BC203">INDEX(BallastFactorTable[Industrial BPA Reference Number],MATCH(1,(BallastFactorTable[Fixture Class]=J203)*(BallastFactorTable[Fixture Category]=K203)*(BallastFactorTable[Fixture Sub-category]=L203),0))</f>
        <v>#N/A</v>
      </c>
      <c r="BD203" s="264" t="str">
        <f t="shared" si="100"/>
        <v>Sector is blank</v>
      </c>
      <c r="BE203" s="269" t="str">
        <f>IF(ISBLANK(SectorField),"Sector is blank",IF(AM203="Row Not Used","",IF(OR(R203="No Controls",ISBLANK(R203)),"",INDEX(ControlsBPARefNoTable[Reference Number],MATCH(SectorField,ControlsBPARefNoTable[Sector],0)))))</f>
        <v>Sector is blank</v>
      </c>
      <c r="BF203" s="530" t="str">
        <f t="shared" si="101"/>
        <v/>
      </c>
      <c r="BG203" s="132" t="str">
        <f t="shared" si="102"/>
        <v/>
      </c>
      <c r="BH203" s="531" t="str">
        <f t="shared" si="103"/>
        <v/>
      </c>
      <c r="BI203" s="532"/>
      <c r="BJ203" s="538" t="str">
        <f t="shared" si="109"/>
        <v/>
      </c>
      <c r="BK203" s="539" t="str">
        <f t="shared" si="110"/>
        <v/>
      </c>
      <c r="BL203" s="547" t="str">
        <f t="shared" si="111"/>
        <v/>
      </c>
    </row>
    <row r="204" spans="1:64" x14ac:dyDescent="0.3">
      <c r="A204" s="133">
        <v>197</v>
      </c>
      <c r="B204" s="294"/>
      <c r="C204" s="313"/>
      <c r="D204" s="292"/>
      <c r="E204" s="284"/>
      <c r="F204" s="284"/>
      <c r="G204" s="295"/>
      <c r="H204" s="296"/>
      <c r="I204" s="297"/>
      <c r="J204" s="292"/>
      <c r="K204" s="284"/>
      <c r="L204" s="284"/>
      <c r="M204" s="295"/>
      <c r="N204" s="296"/>
      <c r="O204" s="296"/>
      <c r="P204" s="284"/>
      <c r="Q204" s="298"/>
      <c r="R204" s="292"/>
      <c r="S204" s="299"/>
      <c r="T204" s="300"/>
      <c r="U204" s="317" t="str">
        <f t="shared" si="85"/>
        <v/>
      </c>
      <c r="V204" s="301"/>
      <c r="W204" s="137" t="str">
        <f t="shared" si="86"/>
        <v/>
      </c>
      <c r="X204" s="589" t="str">
        <f t="shared" si="104"/>
        <v/>
      </c>
      <c r="Y204" s="581"/>
      <c r="Z204" s="251" t="str">
        <f t="shared" si="87"/>
        <v/>
      </c>
      <c r="AA204" s="138" t="str">
        <f t="shared" si="112"/>
        <v/>
      </c>
      <c r="AB204" s="243" t="str">
        <f t="shared" si="105"/>
        <v/>
      </c>
      <c r="AC204" s="141" t="str">
        <f t="shared" si="88"/>
        <v/>
      </c>
      <c r="AD204" s="138" t="str">
        <f t="shared" si="106"/>
        <v/>
      </c>
      <c r="AE204" s="243" t="str">
        <f t="shared" si="89"/>
        <v/>
      </c>
      <c r="AF204" s="342" t="str">
        <f>IF(AM204="Row Not Used","",INDEX(SpaceTable[Annual Hours],(MATCH(B204,SpaceTable[Space Name Concatenated Helper],0))))</f>
        <v/>
      </c>
      <c r="AG204" s="205" t="str">
        <f t="shared" si="90"/>
        <v/>
      </c>
      <c r="AH204" s="234" t="str">
        <f t="shared" si="91"/>
        <v/>
      </c>
      <c r="AI204" s="205" t="str">
        <f t="shared" si="92"/>
        <v/>
      </c>
      <c r="AJ204" s="234" t="str">
        <f t="shared" si="93"/>
        <v/>
      </c>
      <c r="AK204" s="144" t="str">
        <f>IF(AM204="Row Not Used","",INDEX(SpaceTable[Row],(MATCH(B204,SpaceTable[Space Name Concatenated Helper],0))))</f>
        <v/>
      </c>
      <c r="AL204" s="238" t="str">
        <f>IF(AM204="Row Not Used","",INDEX(SpaceTable[HVAC Factor],(MATCH(B204,SpaceTable[Space Name Concatenated Helper],0))))</f>
        <v/>
      </c>
      <c r="AM204" s="520" t="str">
        <f t="shared" si="94"/>
        <v>Row Not Used</v>
      </c>
      <c r="AN204" s="512" t="e" cm="1">
        <f t="array" ref="AN204">INDEX(BallastFactorTable[Ballast Factor],MATCH(1,(BallastFactorTable[Fixture Class]=D204)*(BallastFactorTable[Fixture Category]=E204)*(BallastFactorTable[Fixture Sub-category]=F204),0))</f>
        <v>#N/A</v>
      </c>
      <c r="AO204" s="143" t="str">
        <f t="shared" si="107"/>
        <v/>
      </c>
      <c r="AP204" s="501" t="e" cm="1">
        <f t="array" ref="AP204">INDEX(BallastFactorTable[Wattage Range Name],MATCH(1,(BallastFactorTable[Fixture Class]=D204)*(BallastFactorTable[Fixture Category]=E204)*(BallastFactorTable[Fixture Sub-category]=F204),0))</f>
        <v>#N/A</v>
      </c>
      <c r="AQ204" s="515" t="str">
        <f t="shared" ca="1" si="95"/>
        <v>Okay</v>
      </c>
      <c r="AR204" s="512">
        <f t="shared" si="96"/>
        <v>0</v>
      </c>
      <c r="AS204" s="511" t="str">
        <f>IF(OR(Measures!AM204="Row Not Used",Measures!C204="Controls Only",Measures!C204="Decommissioning"),"",_xlfn.CONCAT(P204," ",Q204))</f>
        <v/>
      </c>
      <c r="AT204" s="264" t="str">
        <f t="shared" si="97"/>
        <v>None</v>
      </c>
      <c r="AU204" s="229">
        <f>IF(OR(AM204="Row Not Used",AM204="Controls Only"),0,INDEX(IncentiveRateTable[Incentive Rate],MATCH(AT204,IncentiveRateTable[Incentive Name],0)))</f>
        <v>0</v>
      </c>
      <c r="AV204" s="133" t="str">
        <f>IF(OR(AM204="Row Not Used",AM204="Controls Only"),"None",INDEX(IncentiveRateTable[Incentive Unit],MATCH(AT204,IncentiveRateTable[Incentive Name],0)))</f>
        <v>None</v>
      </c>
      <c r="AW204" s="578">
        <f t="shared" si="108"/>
        <v>0</v>
      </c>
      <c r="AX204" s="264" t="str">
        <f t="shared" si="98"/>
        <v>None</v>
      </c>
      <c r="AY204" s="229">
        <f>IF(OR(AM204="Row Not Used",AM204="Fixtures Only",AM204="Decommissioning"),0,INDEX(IncentiveRateTable[Incentive Rate],MATCH(AX204,IncentiveRateTable[Incentive Name],0)))</f>
        <v>0</v>
      </c>
      <c r="AZ204" s="133" t="str">
        <f>IF(OR(AM204="Row Not Used",AM204="Fixtures Only",AM204="Decommissioning"),"None",INDEX(IncentiveRateTable[Incentive Unit],MATCH(AX204,IncentiveRateTable[Incentive Name],0)))</f>
        <v>None</v>
      </c>
      <c r="BA204" s="465">
        <f t="shared" si="99"/>
        <v>0</v>
      </c>
      <c r="BB204" s="264" t="e" cm="1">
        <f t="array" ref="BB204">INDEX(BallastFactorTable[Commercial BPA Reference Number],MATCH(1,(BallastFactorTable[Fixture Class]=J204)*(BallastFactorTable[Fixture Category]=K204)*(BallastFactorTable[Fixture Sub-category]=L204),0))</f>
        <v>#N/A</v>
      </c>
      <c r="BC204" s="133" t="e" cm="1">
        <f t="array" ref="BC204">INDEX(BallastFactorTable[Industrial BPA Reference Number],MATCH(1,(BallastFactorTable[Fixture Class]=J204)*(BallastFactorTable[Fixture Category]=K204)*(BallastFactorTable[Fixture Sub-category]=L204),0))</f>
        <v>#N/A</v>
      </c>
      <c r="BD204" s="264" t="str">
        <f t="shared" si="100"/>
        <v>Sector is blank</v>
      </c>
      <c r="BE204" s="269" t="str">
        <f>IF(ISBLANK(SectorField),"Sector is blank",IF(AM204="Row Not Used","",IF(OR(R204="No Controls",ISBLANK(R204)),"",INDEX(ControlsBPARefNoTable[Reference Number],MATCH(SectorField,ControlsBPARefNoTable[Sector],0)))))</f>
        <v>Sector is blank</v>
      </c>
      <c r="BF204" s="530" t="str">
        <f t="shared" si="101"/>
        <v/>
      </c>
      <c r="BG204" s="132" t="str">
        <f t="shared" si="102"/>
        <v/>
      </c>
      <c r="BH204" s="531" t="str">
        <f t="shared" si="103"/>
        <v/>
      </c>
      <c r="BI204" s="532"/>
      <c r="BJ204" s="538" t="str">
        <f t="shared" si="109"/>
        <v/>
      </c>
      <c r="BK204" s="539" t="str">
        <f t="shared" si="110"/>
        <v/>
      </c>
      <c r="BL204" s="547" t="str">
        <f t="shared" si="111"/>
        <v/>
      </c>
    </row>
    <row r="205" spans="1:64" x14ac:dyDescent="0.3">
      <c r="A205" s="133">
        <v>198</v>
      </c>
      <c r="B205" s="294"/>
      <c r="C205" s="313"/>
      <c r="D205" s="292"/>
      <c r="E205" s="284"/>
      <c r="F205" s="284"/>
      <c r="G205" s="295"/>
      <c r="H205" s="296"/>
      <c r="I205" s="297"/>
      <c r="J205" s="292"/>
      <c r="K205" s="284"/>
      <c r="L205" s="284"/>
      <c r="M205" s="295"/>
      <c r="N205" s="296"/>
      <c r="O205" s="296"/>
      <c r="P205" s="284"/>
      <c r="Q205" s="298"/>
      <c r="R205" s="292"/>
      <c r="S205" s="299"/>
      <c r="T205" s="300"/>
      <c r="U205" s="317" t="str">
        <f t="shared" si="85"/>
        <v/>
      </c>
      <c r="V205" s="301"/>
      <c r="W205" s="136" t="str">
        <f t="shared" si="86"/>
        <v/>
      </c>
      <c r="X205" s="588" t="str">
        <f t="shared" si="104"/>
        <v/>
      </c>
      <c r="Y205" s="580"/>
      <c r="Z205" s="251" t="str">
        <f t="shared" si="87"/>
        <v/>
      </c>
      <c r="AA205" s="138" t="str">
        <f t="shared" si="112"/>
        <v/>
      </c>
      <c r="AB205" s="243" t="str">
        <f t="shared" si="105"/>
        <v/>
      </c>
      <c r="AC205" s="141" t="str">
        <f t="shared" si="88"/>
        <v/>
      </c>
      <c r="AD205" s="138" t="str">
        <f t="shared" si="106"/>
        <v/>
      </c>
      <c r="AE205" s="243" t="str">
        <f t="shared" si="89"/>
        <v/>
      </c>
      <c r="AF205" s="342" t="str">
        <f>IF(AM205="Row Not Used","",INDEX(SpaceTable[Annual Hours],(MATCH(B205,SpaceTable[Space Name Concatenated Helper],0))))</f>
        <v/>
      </c>
      <c r="AG205" s="205" t="str">
        <f t="shared" si="90"/>
        <v/>
      </c>
      <c r="AH205" s="234" t="str">
        <f t="shared" si="91"/>
        <v/>
      </c>
      <c r="AI205" s="205" t="str">
        <f t="shared" si="92"/>
        <v/>
      </c>
      <c r="AJ205" s="234" t="str">
        <f t="shared" si="93"/>
        <v/>
      </c>
      <c r="AK205" s="144" t="str">
        <f>IF(AM205="Row Not Used","",INDEX(SpaceTable[Row],(MATCH(B205,SpaceTable[Space Name Concatenated Helper],0))))</f>
        <v/>
      </c>
      <c r="AL205" s="238" t="str">
        <f>IF(AM205="Row Not Used","",INDEX(SpaceTable[HVAC Factor],(MATCH(B205,SpaceTable[Space Name Concatenated Helper],0))))</f>
        <v/>
      </c>
      <c r="AM205" s="520" t="str">
        <f t="shared" si="94"/>
        <v>Row Not Used</v>
      </c>
      <c r="AN205" s="512" t="e" cm="1">
        <f t="array" ref="AN205">INDEX(BallastFactorTable[Ballast Factor],MATCH(1,(BallastFactorTable[Fixture Class]=D205)*(BallastFactorTable[Fixture Category]=E205)*(BallastFactorTable[Fixture Sub-category]=F205),0))</f>
        <v>#N/A</v>
      </c>
      <c r="AO205" s="143" t="str">
        <f t="shared" si="107"/>
        <v/>
      </c>
      <c r="AP205" s="501" t="e" cm="1">
        <f t="array" ref="AP205">INDEX(BallastFactorTable[Wattage Range Name],MATCH(1,(BallastFactorTable[Fixture Class]=D205)*(BallastFactorTable[Fixture Category]=E205)*(BallastFactorTable[Fixture Sub-category]=F205),0))</f>
        <v>#N/A</v>
      </c>
      <c r="AQ205" s="515" t="str">
        <f t="shared" ca="1" si="95"/>
        <v>Okay</v>
      </c>
      <c r="AR205" s="512">
        <f t="shared" si="96"/>
        <v>0</v>
      </c>
      <c r="AS205" s="511" t="str">
        <f>IF(OR(Measures!AM205="Row Not Used",Measures!C205="Controls Only",Measures!C205="Decommissioning"),"",_xlfn.CONCAT(P205," ",Q205))</f>
        <v/>
      </c>
      <c r="AT205" s="264" t="str">
        <f t="shared" si="97"/>
        <v>None</v>
      </c>
      <c r="AU205" s="229">
        <f>IF(OR(AM205="Row Not Used",AM205="Controls Only"),0,INDEX(IncentiveRateTable[Incentive Rate],MATCH(AT205,IncentiveRateTable[Incentive Name],0)))</f>
        <v>0</v>
      </c>
      <c r="AV205" s="133" t="str">
        <f>IF(OR(AM205="Row Not Used",AM205="Controls Only"),"None",INDEX(IncentiveRateTable[Incentive Unit],MATCH(AT205,IncentiveRateTable[Incentive Name],0)))</f>
        <v>None</v>
      </c>
      <c r="AW205" s="578">
        <f t="shared" si="108"/>
        <v>0</v>
      </c>
      <c r="AX205" s="264" t="str">
        <f t="shared" si="98"/>
        <v>None</v>
      </c>
      <c r="AY205" s="229">
        <f>IF(OR(AM205="Row Not Used",AM205="Fixtures Only",AM205="Decommissioning"),0,INDEX(IncentiveRateTable[Incentive Rate],MATCH(AX205,IncentiveRateTable[Incentive Name],0)))</f>
        <v>0</v>
      </c>
      <c r="AZ205" s="133" t="str">
        <f>IF(OR(AM205="Row Not Used",AM205="Fixtures Only",AM205="Decommissioning"),"None",INDEX(IncentiveRateTable[Incentive Unit],MATCH(AX205,IncentiveRateTable[Incentive Name],0)))</f>
        <v>None</v>
      </c>
      <c r="BA205" s="465">
        <f t="shared" si="99"/>
        <v>0</v>
      </c>
      <c r="BB205" s="264" t="e" cm="1">
        <f t="array" ref="BB205">INDEX(BallastFactorTable[Commercial BPA Reference Number],MATCH(1,(BallastFactorTable[Fixture Class]=J205)*(BallastFactorTable[Fixture Category]=K205)*(BallastFactorTable[Fixture Sub-category]=L205),0))</f>
        <v>#N/A</v>
      </c>
      <c r="BC205" s="133" t="e" cm="1">
        <f t="array" ref="BC205">INDEX(BallastFactorTable[Industrial BPA Reference Number],MATCH(1,(BallastFactorTable[Fixture Class]=J205)*(BallastFactorTable[Fixture Category]=K205)*(BallastFactorTable[Fixture Sub-category]=L205),0))</f>
        <v>#N/A</v>
      </c>
      <c r="BD205" s="264" t="str">
        <f t="shared" si="100"/>
        <v>Sector is blank</v>
      </c>
      <c r="BE205" s="269" t="str">
        <f>IF(ISBLANK(SectorField),"Sector is blank",IF(AM205="Row Not Used","",IF(OR(R205="No Controls",ISBLANK(R205)),"",INDEX(ControlsBPARefNoTable[Reference Number],MATCH(SectorField,ControlsBPARefNoTable[Sector],0)))))</f>
        <v>Sector is blank</v>
      </c>
      <c r="BF205" s="530" t="str">
        <f t="shared" si="101"/>
        <v/>
      </c>
      <c r="BG205" s="132" t="str">
        <f t="shared" si="102"/>
        <v/>
      </c>
      <c r="BH205" s="531" t="str">
        <f t="shared" si="103"/>
        <v/>
      </c>
      <c r="BI205" s="532"/>
      <c r="BJ205" s="538" t="str">
        <f t="shared" si="109"/>
        <v/>
      </c>
      <c r="BK205" s="539" t="str">
        <f t="shared" si="110"/>
        <v/>
      </c>
      <c r="BL205" s="547" t="str">
        <f t="shared" si="111"/>
        <v/>
      </c>
    </row>
    <row r="206" spans="1:64" x14ac:dyDescent="0.3">
      <c r="A206" s="133">
        <v>199</v>
      </c>
      <c r="B206" s="294"/>
      <c r="C206" s="313"/>
      <c r="D206" s="292"/>
      <c r="E206" s="284"/>
      <c r="F206" s="284"/>
      <c r="G206" s="295"/>
      <c r="H206" s="296"/>
      <c r="I206" s="297"/>
      <c r="J206" s="292"/>
      <c r="K206" s="284"/>
      <c r="L206" s="284"/>
      <c r="M206" s="295"/>
      <c r="N206" s="296"/>
      <c r="O206" s="296"/>
      <c r="P206" s="284"/>
      <c r="Q206" s="298"/>
      <c r="R206" s="292"/>
      <c r="S206" s="299"/>
      <c r="T206" s="300"/>
      <c r="U206" s="317" t="str">
        <f t="shared" si="85"/>
        <v/>
      </c>
      <c r="V206" s="301"/>
      <c r="W206" s="137" t="str">
        <f t="shared" si="86"/>
        <v/>
      </c>
      <c r="X206" s="589" t="str">
        <f t="shared" si="104"/>
        <v/>
      </c>
      <c r="Y206" s="581"/>
      <c r="Z206" s="251" t="str">
        <f t="shared" si="87"/>
        <v/>
      </c>
      <c r="AA206" s="138" t="str">
        <f t="shared" si="112"/>
        <v/>
      </c>
      <c r="AB206" s="243" t="str">
        <f t="shared" si="105"/>
        <v/>
      </c>
      <c r="AC206" s="141" t="str">
        <f t="shared" si="88"/>
        <v/>
      </c>
      <c r="AD206" s="138" t="str">
        <f t="shared" si="106"/>
        <v/>
      </c>
      <c r="AE206" s="243" t="str">
        <f t="shared" si="89"/>
        <v/>
      </c>
      <c r="AF206" s="342" t="str">
        <f>IF(AM206="Row Not Used","",INDEX(SpaceTable[Annual Hours],(MATCH(B206,SpaceTable[Space Name Concatenated Helper],0))))</f>
        <v/>
      </c>
      <c r="AG206" s="205" t="str">
        <f t="shared" si="90"/>
        <v/>
      </c>
      <c r="AH206" s="234" t="str">
        <f t="shared" si="91"/>
        <v/>
      </c>
      <c r="AI206" s="205" t="str">
        <f t="shared" si="92"/>
        <v/>
      </c>
      <c r="AJ206" s="234" t="str">
        <f t="shared" si="93"/>
        <v/>
      </c>
      <c r="AK206" s="144" t="str">
        <f>IF(AM206="Row Not Used","",INDEX(SpaceTable[Row],(MATCH(B206,SpaceTable[Space Name Concatenated Helper],0))))</f>
        <v/>
      </c>
      <c r="AL206" s="238" t="str">
        <f>IF(AM206="Row Not Used","",INDEX(SpaceTable[HVAC Factor],(MATCH(B206,SpaceTable[Space Name Concatenated Helper],0))))</f>
        <v/>
      </c>
      <c r="AM206" s="520" t="str">
        <f t="shared" si="94"/>
        <v>Row Not Used</v>
      </c>
      <c r="AN206" s="512" t="e" cm="1">
        <f t="array" ref="AN206">INDEX(BallastFactorTable[Ballast Factor],MATCH(1,(BallastFactorTable[Fixture Class]=D206)*(BallastFactorTable[Fixture Category]=E206)*(BallastFactorTable[Fixture Sub-category]=F206),0))</f>
        <v>#N/A</v>
      </c>
      <c r="AO206" s="143" t="str">
        <f t="shared" si="107"/>
        <v/>
      </c>
      <c r="AP206" s="501" t="e" cm="1">
        <f t="array" ref="AP206">INDEX(BallastFactorTable[Wattage Range Name],MATCH(1,(BallastFactorTable[Fixture Class]=D206)*(BallastFactorTable[Fixture Category]=E206)*(BallastFactorTable[Fixture Sub-category]=F206),0))</f>
        <v>#N/A</v>
      </c>
      <c r="AQ206" s="515" t="str">
        <f t="shared" ca="1" si="95"/>
        <v>Okay</v>
      </c>
      <c r="AR206" s="512">
        <f t="shared" si="96"/>
        <v>0</v>
      </c>
      <c r="AS206" s="511" t="str">
        <f>IF(OR(Measures!AM206="Row Not Used",Measures!C206="Controls Only",Measures!C206="Decommissioning"),"",_xlfn.CONCAT(P206," ",Q206))</f>
        <v/>
      </c>
      <c r="AT206" s="264" t="str">
        <f t="shared" si="97"/>
        <v>None</v>
      </c>
      <c r="AU206" s="229">
        <f>IF(OR(AM206="Row Not Used",AM206="Controls Only"),0,INDEX(IncentiveRateTable[Incentive Rate],MATCH(AT206,IncentiveRateTable[Incentive Name],0)))</f>
        <v>0</v>
      </c>
      <c r="AV206" s="133" t="str">
        <f>IF(OR(AM206="Row Not Used",AM206="Controls Only"),"None",INDEX(IncentiveRateTable[Incentive Unit],MATCH(AT206,IncentiveRateTable[Incentive Name],0)))</f>
        <v>None</v>
      </c>
      <c r="AW206" s="578">
        <f t="shared" si="108"/>
        <v>0</v>
      </c>
      <c r="AX206" s="264" t="str">
        <f t="shared" si="98"/>
        <v>None</v>
      </c>
      <c r="AY206" s="229">
        <f>IF(OR(AM206="Row Not Used",AM206="Fixtures Only",AM206="Decommissioning"),0,INDEX(IncentiveRateTable[Incentive Rate],MATCH(AX206,IncentiveRateTable[Incentive Name],0)))</f>
        <v>0</v>
      </c>
      <c r="AZ206" s="133" t="str">
        <f>IF(OR(AM206="Row Not Used",AM206="Fixtures Only",AM206="Decommissioning"),"None",INDEX(IncentiveRateTable[Incentive Unit],MATCH(AX206,IncentiveRateTable[Incentive Name],0)))</f>
        <v>None</v>
      </c>
      <c r="BA206" s="465">
        <f t="shared" si="99"/>
        <v>0</v>
      </c>
      <c r="BB206" s="264" t="e" cm="1">
        <f t="array" ref="BB206">INDEX(BallastFactorTable[Commercial BPA Reference Number],MATCH(1,(BallastFactorTable[Fixture Class]=J206)*(BallastFactorTable[Fixture Category]=K206)*(BallastFactorTable[Fixture Sub-category]=L206),0))</f>
        <v>#N/A</v>
      </c>
      <c r="BC206" s="133" t="e" cm="1">
        <f t="array" ref="BC206">INDEX(BallastFactorTable[Industrial BPA Reference Number],MATCH(1,(BallastFactorTable[Fixture Class]=J206)*(BallastFactorTable[Fixture Category]=K206)*(BallastFactorTable[Fixture Sub-category]=L206),0))</f>
        <v>#N/A</v>
      </c>
      <c r="BD206" s="264" t="str">
        <f t="shared" si="100"/>
        <v>Sector is blank</v>
      </c>
      <c r="BE206" s="269" t="str">
        <f>IF(ISBLANK(SectorField),"Sector is blank",IF(AM206="Row Not Used","",IF(OR(R206="No Controls",ISBLANK(R206)),"",INDEX(ControlsBPARefNoTable[Reference Number],MATCH(SectorField,ControlsBPARefNoTable[Sector],0)))))</f>
        <v>Sector is blank</v>
      </c>
      <c r="BF206" s="530" t="str">
        <f t="shared" si="101"/>
        <v/>
      </c>
      <c r="BG206" s="132" t="str">
        <f t="shared" si="102"/>
        <v/>
      </c>
      <c r="BH206" s="531" t="str">
        <f t="shared" si="103"/>
        <v/>
      </c>
      <c r="BI206" s="532"/>
      <c r="BJ206" s="538" t="str">
        <f t="shared" si="109"/>
        <v/>
      </c>
      <c r="BK206" s="539" t="str">
        <f t="shared" si="110"/>
        <v/>
      </c>
      <c r="BL206" s="547" t="str">
        <f t="shared" si="111"/>
        <v/>
      </c>
    </row>
    <row r="207" spans="1:64" x14ac:dyDescent="0.3">
      <c r="A207" s="133">
        <v>200</v>
      </c>
      <c r="B207" s="294"/>
      <c r="C207" s="313"/>
      <c r="D207" s="292"/>
      <c r="E207" s="284"/>
      <c r="F207" s="284"/>
      <c r="G207" s="295"/>
      <c r="H207" s="296"/>
      <c r="I207" s="297"/>
      <c r="J207" s="292"/>
      <c r="K207" s="284"/>
      <c r="L207" s="284"/>
      <c r="M207" s="295"/>
      <c r="N207" s="296"/>
      <c r="O207" s="296"/>
      <c r="P207" s="284"/>
      <c r="Q207" s="298"/>
      <c r="R207" s="292"/>
      <c r="S207" s="299"/>
      <c r="T207" s="300"/>
      <c r="U207" s="317" t="str">
        <f t="shared" si="85"/>
        <v/>
      </c>
      <c r="V207" s="301"/>
      <c r="W207" s="136" t="str">
        <f t="shared" si="86"/>
        <v/>
      </c>
      <c r="X207" s="588" t="str">
        <f t="shared" si="104"/>
        <v/>
      </c>
      <c r="Y207" s="580"/>
      <c r="Z207" s="251" t="str">
        <f t="shared" si="87"/>
        <v/>
      </c>
      <c r="AA207" s="138" t="str">
        <f t="shared" si="112"/>
        <v/>
      </c>
      <c r="AB207" s="243" t="str">
        <f t="shared" si="105"/>
        <v/>
      </c>
      <c r="AC207" s="141" t="str">
        <f t="shared" si="88"/>
        <v/>
      </c>
      <c r="AD207" s="138" t="str">
        <f t="shared" si="106"/>
        <v/>
      </c>
      <c r="AE207" s="243" t="str">
        <f t="shared" si="89"/>
        <v/>
      </c>
      <c r="AF207" s="342" t="str">
        <f>IF(AM207="Row Not Used","",INDEX(SpaceTable[Annual Hours],(MATCH(B207,SpaceTable[Space Name Concatenated Helper],0))))</f>
        <v/>
      </c>
      <c r="AG207" s="205" t="str">
        <f t="shared" si="90"/>
        <v/>
      </c>
      <c r="AH207" s="234" t="str">
        <f t="shared" si="91"/>
        <v/>
      </c>
      <c r="AI207" s="205" t="str">
        <f t="shared" si="92"/>
        <v/>
      </c>
      <c r="AJ207" s="234" t="str">
        <f t="shared" si="93"/>
        <v/>
      </c>
      <c r="AK207" s="144" t="str">
        <f>IF(AM207="Row Not Used","",INDEX(SpaceTable[Row],(MATCH(B207,SpaceTable[Space Name Concatenated Helper],0))))</f>
        <v/>
      </c>
      <c r="AL207" s="238" t="str">
        <f>IF(AM207="Row Not Used","",INDEX(SpaceTable[HVAC Factor],(MATCH(B207,SpaceTable[Space Name Concatenated Helper],0))))</f>
        <v/>
      </c>
      <c r="AM207" s="520" t="str">
        <f t="shared" si="94"/>
        <v>Row Not Used</v>
      </c>
      <c r="AN207" s="512" t="e" cm="1">
        <f t="array" ref="AN207">INDEX(BallastFactorTable[Ballast Factor],MATCH(1,(BallastFactorTable[Fixture Class]=D207)*(BallastFactorTable[Fixture Category]=E207)*(BallastFactorTable[Fixture Sub-category]=F207),0))</f>
        <v>#N/A</v>
      </c>
      <c r="AO207" s="143" t="str">
        <f t="shared" si="107"/>
        <v/>
      </c>
      <c r="AP207" s="501" t="e" cm="1">
        <f t="array" ref="AP207">INDEX(BallastFactorTable[Wattage Range Name],MATCH(1,(BallastFactorTable[Fixture Class]=D207)*(BallastFactorTable[Fixture Category]=E207)*(BallastFactorTable[Fixture Sub-category]=F207),0))</f>
        <v>#N/A</v>
      </c>
      <c r="AQ207" s="515" t="str">
        <f t="shared" ca="1" si="95"/>
        <v>Okay</v>
      </c>
      <c r="AR207" s="512">
        <f t="shared" si="96"/>
        <v>0</v>
      </c>
      <c r="AS207" s="511" t="str">
        <f>IF(OR(Measures!AM207="Row Not Used",Measures!C207="Controls Only",Measures!C207="Decommissioning"),"",_xlfn.CONCAT(P207," ",Q207))</f>
        <v/>
      </c>
      <c r="AT207" s="264" t="str">
        <f t="shared" si="97"/>
        <v>None</v>
      </c>
      <c r="AU207" s="229">
        <f>IF(OR(AM207="Row Not Used",AM207="Controls Only"),0,INDEX(IncentiveRateTable[Incentive Rate],MATCH(AT207,IncentiveRateTable[Incentive Name],0)))</f>
        <v>0</v>
      </c>
      <c r="AV207" s="133" t="str">
        <f>IF(OR(AM207="Row Not Used",AM207="Controls Only"),"None",INDEX(IncentiveRateTable[Incentive Unit],MATCH(AT207,IncentiveRateTable[Incentive Name],0)))</f>
        <v>None</v>
      </c>
      <c r="AW207" s="578">
        <f t="shared" si="108"/>
        <v>0</v>
      </c>
      <c r="AX207" s="264" t="str">
        <f t="shared" si="98"/>
        <v>None</v>
      </c>
      <c r="AY207" s="229">
        <f>IF(OR(AM207="Row Not Used",AM207="Fixtures Only",AM207="Decommissioning"),0,INDEX(IncentiveRateTable[Incentive Rate],MATCH(AX207,IncentiveRateTable[Incentive Name],0)))</f>
        <v>0</v>
      </c>
      <c r="AZ207" s="133" t="str">
        <f>IF(OR(AM207="Row Not Used",AM207="Fixtures Only",AM207="Decommissioning"),"None",INDEX(IncentiveRateTable[Incentive Unit],MATCH(AX207,IncentiveRateTable[Incentive Name],0)))</f>
        <v>None</v>
      </c>
      <c r="BA207" s="465">
        <f t="shared" si="99"/>
        <v>0</v>
      </c>
      <c r="BB207" s="264" t="e" cm="1">
        <f t="array" ref="BB207">INDEX(BallastFactorTable[Commercial BPA Reference Number],MATCH(1,(BallastFactorTable[Fixture Class]=J207)*(BallastFactorTable[Fixture Category]=K207)*(BallastFactorTable[Fixture Sub-category]=L207),0))</f>
        <v>#N/A</v>
      </c>
      <c r="BC207" s="133" t="e" cm="1">
        <f t="array" ref="BC207">INDEX(BallastFactorTable[Industrial BPA Reference Number],MATCH(1,(BallastFactorTable[Fixture Class]=J207)*(BallastFactorTable[Fixture Category]=K207)*(BallastFactorTable[Fixture Sub-category]=L207),0))</f>
        <v>#N/A</v>
      </c>
      <c r="BD207" s="264" t="str">
        <f t="shared" si="100"/>
        <v>Sector is blank</v>
      </c>
      <c r="BE207" s="269" t="str">
        <f>IF(ISBLANK(SectorField),"Sector is blank",IF(AM207="Row Not Used","",IF(OR(R207="No Controls",ISBLANK(R207)),"",INDEX(ControlsBPARefNoTable[Reference Number],MATCH(SectorField,ControlsBPARefNoTable[Sector],0)))))</f>
        <v>Sector is blank</v>
      </c>
      <c r="BF207" s="530" t="str">
        <f t="shared" si="101"/>
        <v/>
      </c>
      <c r="BG207" s="132" t="str">
        <f t="shared" si="102"/>
        <v/>
      </c>
      <c r="BH207" s="531" t="str">
        <f t="shared" si="103"/>
        <v/>
      </c>
      <c r="BI207" s="532"/>
      <c r="BJ207" s="538" t="str">
        <f t="shared" si="109"/>
        <v/>
      </c>
      <c r="BK207" s="539" t="str">
        <f t="shared" si="110"/>
        <v/>
      </c>
      <c r="BL207" s="547" t="str">
        <f t="shared" si="111"/>
        <v/>
      </c>
    </row>
    <row r="208" spans="1:64" x14ac:dyDescent="0.3">
      <c r="A208" s="133">
        <v>201</v>
      </c>
      <c r="B208" s="294"/>
      <c r="C208" s="313"/>
      <c r="D208" s="292"/>
      <c r="E208" s="284"/>
      <c r="F208" s="284"/>
      <c r="G208" s="295"/>
      <c r="H208" s="296"/>
      <c r="I208" s="297"/>
      <c r="J208" s="292"/>
      <c r="K208" s="284"/>
      <c r="L208" s="284"/>
      <c r="M208" s="295"/>
      <c r="N208" s="296"/>
      <c r="O208" s="296"/>
      <c r="P208" s="284"/>
      <c r="Q208" s="298"/>
      <c r="R208" s="292"/>
      <c r="S208" s="299"/>
      <c r="T208" s="300"/>
      <c r="U208" s="317" t="str">
        <f t="shared" si="85"/>
        <v/>
      </c>
      <c r="V208" s="301"/>
      <c r="W208" s="137" t="str">
        <f t="shared" si="86"/>
        <v/>
      </c>
      <c r="X208" s="589" t="str">
        <f t="shared" si="104"/>
        <v/>
      </c>
      <c r="Y208" s="581"/>
      <c r="Z208" s="251" t="str">
        <f t="shared" si="87"/>
        <v/>
      </c>
      <c r="AA208" s="138" t="str">
        <f t="shared" si="112"/>
        <v/>
      </c>
      <c r="AB208" s="243" t="str">
        <f t="shared" si="105"/>
        <v/>
      </c>
      <c r="AC208" s="141" t="str">
        <f t="shared" si="88"/>
        <v/>
      </c>
      <c r="AD208" s="138" t="str">
        <f t="shared" si="106"/>
        <v/>
      </c>
      <c r="AE208" s="243" t="str">
        <f t="shared" si="89"/>
        <v/>
      </c>
      <c r="AF208" s="342" t="str">
        <f>IF(AM208="Row Not Used","",INDEX(SpaceTable[Annual Hours],(MATCH(B208,SpaceTable[Space Name Concatenated Helper],0))))</f>
        <v/>
      </c>
      <c r="AG208" s="205" t="str">
        <f t="shared" si="90"/>
        <v/>
      </c>
      <c r="AH208" s="234" t="str">
        <f t="shared" si="91"/>
        <v/>
      </c>
      <c r="AI208" s="205" t="str">
        <f t="shared" si="92"/>
        <v/>
      </c>
      <c r="AJ208" s="234" t="str">
        <f t="shared" si="93"/>
        <v/>
      </c>
      <c r="AK208" s="144" t="str">
        <f>IF(AM208="Row Not Used","",INDEX(SpaceTable[Row],(MATCH(B208,SpaceTable[Space Name Concatenated Helper],0))))</f>
        <v/>
      </c>
      <c r="AL208" s="238" t="str">
        <f>IF(AM208="Row Not Used","",INDEX(SpaceTable[HVAC Factor],(MATCH(B208,SpaceTable[Space Name Concatenated Helper],0))))</f>
        <v/>
      </c>
      <c r="AM208" s="520" t="str">
        <f t="shared" si="94"/>
        <v>Row Not Used</v>
      </c>
      <c r="AN208" s="512" t="e" cm="1">
        <f t="array" ref="AN208">INDEX(BallastFactorTable[Ballast Factor],MATCH(1,(BallastFactorTable[Fixture Class]=D208)*(BallastFactorTable[Fixture Category]=E208)*(BallastFactorTable[Fixture Sub-category]=F208),0))</f>
        <v>#N/A</v>
      </c>
      <c r="AO208" s="143" t="str">
        <f t="shared" si="107"/>
        <v/>
      </c>
      <c r="AP208" s="501" t="e" cm="1">
        <f t="array" ref="AP208">INDEX(BallastFactorTable[Wattage Range Name],MATCH(1,(BallastFactorTable[Fixture Class]=D208)*(BallastFactorTable[Fixture Category]=E208)*(BallastFactorTable[Fixture Sub-category]=F208),0))</f>
        <v>#N/A</v>
      </c>
      <c r="AQ208" s="515" t="str">
        <f t="shared" ca="1" si="95"/>
        <v>Okay</v>
      </c>
      <c r="AR208" s="512">
        <f t="shared" si="96"/>
        <v>0</v>
      </c>
      <c r="AS208" s="511" t="str">
        <f>IF(OR(Measures!AM208="Row Not Used",Measures!C208="Controls Only",Measures!C208="Decommissioning"),"",_xlfn.CONCAT(P208," ",Q208))</f>
        <v/>
      </c>
      <c r="AT208" s="264" t="str">
        <f t="shared" si="97"/>
        <v>None</v>
      </c>
      <c r="AU208" s="229">
        <f>IF(OR(AM208="Row Not Used",AM208="Controls Only"),0,INDEX(IncentiveRateTable[Incentive Rate],MATCH(AT208,IncentiveRateTable[Incentive Name],0)))</f>
        <v>0</v>
      </c>
      <c r="AV208" s="133" t="str">
        <f>IF(OR(AM208="Row Not Used",AM208="Controls Only"),"None",INDEX(IncentiveRateTable[Incentive Unit],MATCH(AT208,IncentiveRateTable[Incentive Name],0)))</f>
        <v>None</v>
      </c>
      <c r="AW208" s="578">
        <f t="shared" si="108"/>
        <v>0</v>
      </c>
      <c r="AX208" s="264" t="str">
        <f t="shared" si="98"/>
        <v>None</v>
      </c>
      <c r="AY208" s="229">
        <f>IF(OR(AM208="Row Not Used",AM208="Fixtures Only",AM208="Decommissioning"),0,INDEX(IncentiveRateTable[Incentive Rate],MATCH(AX208,IncentiveRateTable[Incentive Name],0)))</f>
        <v>0</v>
      </c>
      <c r="AZ208" s="133" t="str">
        <f>IF(OR(AM208="Row Not Used",AM208="Fixtures Only",AM208="Decommissioning"),"None",INDEX(IncentiveRateTable[Incentive Unit],MATCH(AX208,IncentiveRateTable[Incentive Name],0)))</f>
        <v>None</v>
      </c>
      <c r="BA208" s="465">
        <f t="shared" si="99"/>
        <v>0</v>
      </c>
      <c r="BB208" s="264" t="e" cm="1">
        <f t="array" ref="BB208">INDEX(BallastFactorTable[Commercial BPA Reference Number],MATCH(1,(BallastFactorTable[Fixture Class]=J208)*(BallastFactorTable[Fixture Category]=K208)*(BallastFactorTable[Fixture Sub-category]=L208),0))</f>
        <v>#N/A</v>
      </c>
      <c r="BC208" s="133" t="e" cm="1">
        <f t="array" ref="BC208">INDEX(BallastFactorTable[Industrial BPA Reference Number],MATCH(1,(BallastFactorTable[Fixture Class]=J208)*(BallastFactorTable[Fixture Category]=K208)*(BallastFactorTable[Fixture Sub-category]=L208),0))</f>
        <v>#N/A</v>
      </c>
      <c r="BD208" s="264" t="str">
        <f t="shared" si="100"/>
        <v>Sector is blank</v>
      </c>
      <c r="BE208" s="269" t="str">
        <f>IF(ISBLANK(SectorField),"Sector is blank",IF(AM208="Row Not Used","",IF(OR(R208="No Controls",ISBLANK(R208)),"",INDEX(ControlsBPARefNoTable[Reference Number],MATCH(SectorField,ControlsBPARefNoTable[Sector],0)))))</f>
        <v>Sector is blank</v>
      </c>
      <c r="BF208" s="530" t="str">
        <f t="shared" si="101"/>
        <v/>
      </c>
      <c r="BG208" s="132" t="str">
        <f t="shared" si="102"/>
        <v/>
      </c>
      <c r="BH208" s="531" t="str">
        <f t="shared" si="103"/>
        <v/>
      </c>
      <c r="BI208" s="532"/>
      <c r="BJ208" s="538" t="str">
        <f t="shared" si="109"/>
        <v/>
      </c>
      <c r="BK208" s="539" t="str">
        <f t="shared" si="110"/>
        <v/>
      </c>
      <c r="BL208" s="547" t="str">
        <f t="shared" si="111"/>
        <v/>
      </c>
    </row>
    <row r="209" spans="1:64" x14ac:dyDescent="0.3">
      <c r="A209" s="133">
        <v>202</v>
      </c>
      <c r="B209" s="294"/>
      <c r="C209" s="313"/>
      <c r="D209" s="292"/>
      <c r="E209" s="284"/>
      <c r="F209" s="284"/>
      <c r="G209" s="295"/>
      <c r="H209" s="296"/>
      <c r="I209" s="297"/>
      <c r="J209" s="292"/>
      <c r="K209" s="284"/>
      <c r="L209" s="284"/>
      <c r="M209" s="295"/>
      <c r="N209" s="296"/>
      <c r="O209" s="296"/>
      <c r="P209" s="284"/>
      <c r="Q209" s="298"/>
      <c r="R209" s="292"/>
      <c r="S209" s="299"/>
      <c r="T209" s="300"/>
      <c r="U209" s="317" t="str">
        <f t="shared" si="85"/>
        <v/>
      </c>
      <c r="V209" s="301"/>
      <c r="W209" s="136" t="str">
        <f t="shared" si="86"/>
        <v/>
      </c>
      <c r="X209" s="588" t="str">
        <f t="shared" si="104"/>
        <v/>
      </c>
      <c r="Y209" s="580"/>
      <c r="Z209" s="251" t="str">
        <f t="shared" si="87"/>
        <v/>
      </c>
      <c r="AA209" s="138" t="str">
        <f t="shared" si="112"/>
        <v/>
      </c>
      <c r="AB209" s="243" t="str">
        <f t="shared" si="105"/>
        <v/>
      </c>
      <c r="AC209" s="141" t="str">
        <f t="shared" si="88"/>
        <v/>
      </c>
      <c r="AD209" s="138" t="str">
        <f t="shared" si="106"/>
        <v/>
      </c>
      <c r="AE209" s="243" t="str">
        <f t="shared" si="89"/>
        <v/>
      </c>
      <c r="AF209" s="342" t="str">
        <f>IF(AM209="Row Not Used","",INDEX(SpaceTable[Annual Hours],(MATCH(B209,SpaceTable[Space Name Concatenated Helper],0))))</f>
        <v/>
      </c>
      <c r="AG209" s="205" t="str">
        <f t="shared" si="90"/>
        <v/>
      </c>
      <c r="AH209" s="234" t="str">
        <f t="shared" si="91"/>
        <v/>
      </c>
      <c r="AI209" s="205" t="str">
        <f t="shared" si="92"/>
        <v/>
      </c>
      <c r="AJ209" s="234" t="str">
        <f t="shared" si="93"/>
        <v/>
      </c>
      <c r="AK209" s="144" t="str">
        <f>IF(AM209="Row Not Used","",INDEX(SpaceTable[Row],(MATCH(B209,SpaceTable[Space Name Concatenated Helper],0))))</f>
        <v/>
      </c>
      <c r="AL209" s="238" t="str">
        <f>IF(AM209="Row Not Used","",INDEX(SpaceTable[HVAC Factor],(MATCH(B209,SpaceTable[Space Name Concatenated Helper],0))))</f>
        <v/>
      </c>
      <c r="AM209" s="520" t="str">
        <f t="shared" si="94"/>
        <v>Row Not Used</v>
      </c>
      <c r="AN209" s="512" t="e" cm="1">
        <f t="array" ref="AN209">INDEX(BallastFactorTable[Ballast Factor],MATCH(1,(BallastFactorTable[Fixture Class]=D209)*(BallastFactorTable[Fixture Category]=E209)*(BallastFactorTable[Fixture Sub-category]=F209),0))</f>
        <v>#N/A</v>
      </c>
      <c r="AO209" s="143" t="str">
        <f t="shared" si="107"/>
        <v/>
      </c>
      <c r="AP209" s="501" t="e" cm="1">
        <f t="array" ref="AP209">INDEX(BallastFactorTable[Wattage Range Name],MATCH(1,(BallastFactorTable[Fixture Class]=D209)*(BallastFactorTable[Fixture Category]=E209)*(BallastFactorTable[Fixture Sub-category]=F209),0))</f>
        <v>#N/A</v>
      </c>
      <c r="AQ209" s="515" t="str">
        <f t="shared" ca="1" si="95"/>
        <v>Okay</v>
      </c>
      <c r="AR209" s="512">
        <f t="shared" si="96"/>
        <v>0</v>
      </c>
      <c r="AS209" s="511" t="str">
        <f>IF(OR(Measures!AM209="Row Not Used",Measures!C209="Controls Only",Measures!C209="Decommissioning"),"",_xlfn.CONCAT(P209," ",Q209))</f>
        <v/>
      </c>
      <c r="AT209" s="264" t="str">
        <f t="shared" si="97"/>
        <v>None</v>
      </c>
      <c r="AU209" s="229">
        <f>IF(OR(AM209="Row Not Used",AM209="Controls Only"),0,INDEX(IncentiveRateTable[Incentive Rate],MATCH(AT209,IncentiveRateTable[Incentive Name],0)))</f>
        <v>0</v>
      </c>
      <c r="AV209" s="133" t="str">
        <f>IF(OR(AM209="Row Not Used",AM209="Controls Only"),"None",INDEX(IncentiveRateTable[Incentive Unit],MATCH(AT209,IncentiveRateTable[Incentive Name],0)))</f>
        <v>None</v>
      </c>
      <c r="AW209" s="578">
        <f t="shared" si="108"/>
        <v>0</v>
      </c>
      <c r="AX209" s="264" t="str">
        <f t="shared" si="98"/>
        <v>None</v>
      </c>
      <c r="AY209" s="229">
        <f>IF(OR(AM209="Row Not Used",AM209="Fixtures Only",AM209="Decommissioning"),0,INDEX(IncentiveRateTable[Incentive Rate],MATCH(AX209,IncentiveRateTable[Incentive Name],0)))</f>
        <v>0</v>
      </c>
      <c r="AZ209" s="133" t="str">
        <f>IF(OR(AM209="Row Not Used",AM209="Fixtures Only",AM209="Decommissioning"),"None",INDEX(IncentiveRateTable[Incentive Unit],MATCH(AX209,IncentiveRateTable[Incentive Name],0)))</f>
        <v>None</v>
      </c>
      <c r="BA209" s="465">
        <f t="shared" si="99"/>
        <v>0</v>
      </c>
      <c r="BB209" s="264" t="e" cm="1">
        <f t="array" ref="BB209">INDEX(BallastFactorTable[Commercial BPA Reference Number],MATCH(1,(BallastFactorTable[Fixture Class]=J209)*(BallastFactorTable[Fixture Category]=K209)*(BallastFactorTable[Fixture Sub-category]=L209),0))</f>
        <v>#N/A</v>
      </c>
      <c r="BC209" s="133" t="e" cm="1">
        <f t="array" ref="BC209">INDEX(BallastFactorTable[Industrial BPA Reference Number],MATCH(1,(BallastFactorTable[Fixture Class]=J209)*(BallastFactorTable[Fixture Category]=K209)*(BallastFactorTable[Fixture Sub-category]=L209),0))</f>
        <v>#N/A</v>
      </c>
      <c r="BD209" s="264" t="str">
        <f t="shared" si="100"/>
        <v>Sector is blank</v>
      </c>
      <c r="BE209" s="269" t="str">
        <f>IF(ISBLANK(SectorField),"Sector is blank",IF(AM209="Row Not Used","",IF(OR(R209="No Controls",ISBLANK(R209)),"",INDEX(ControlsBPARefNoTable[Reference Number],MATCH(SectorField,ControlsBPARefNoTable[Sector],0)))))</f>
        <v>Sector is blank</v>
      </c>
      <c r="BF209" s="530" t="str">
        <f t="shared" si="101"/>
        <v/>
      </c>
      <c r="BG209" s="132" t="str">
        <f t="shared" si="102"/>
        <v/>
      </c>
      <c r="BH209" s="531" t="str">
        <f t="shared" si="103"/>
        <v/>
      </c>
      <c r="BI209" s="532"/>
      <c r="BJ209" s="538" t="str">
        <f t="shared" si="109"/>
        <v/>
      </c>
      <c r="BK209" s="539" t="str">
        <f t="shared" si="110"/>
        <v/>
      </c>
      <c r="BL209" s="547" t="str">
        <f t="shared" si="111"/>
        <v/>
      </c>
    </row>
    <row r="210" spans="1:64" x14ac:dyDescent="0.3">
      <c r="A210" s="133">
        <v>203</v>
      </c>
      <c r="B210" s="294"/>
      <c r="C210" s="313"/>
      <c r="D210" s="292"/>
      <c r="E210" s="284"/>
      <c r="F210" s="284"/>
      <c r="G210" s="295"/>
      <c r="H210" s="296"/>
      <c r="I210" s="297"/>
      <c r="J210" s="292"/>
      <c r="K210" s="284"/>
      <c r="L210" s="284"/>
      <c r="M210" s="295"/>
      <c r="N210" s="296"/>
      <c r="O210" s="296"/>
      <c r="P210" s="284"/>
      <c r="Q210" s="298"/>
      <c r="R210" s="292"/>
      <c r="S210" s="299"/>
      <c r="T210" s="300"/>
      <c r="U210" s="317" t="str">
        <f t="shared" si="85"/>
        <v/>
      </c>
      <c r="V210" s="301"/>
      <c r="W210" s="137" t="str">
        <f t="shared" si="86"/>
        <v/>
      </c>
      <c r="X210" s="589" t="str">
        <f t="shared" si="104"/>
        <v/>
      </c>
      <c r="Y210" s="581"/>
      <c r="Z210" s="251" t="str">
        <f t="shared" si="87"/>
        <v/>
      </c>
      <c r="AA210" s="138" t="str">
        <f t="shared" si="112"/>
        <v/>
      </c>
      <c r="AB210" s="243" t="str">
        <f t="shared" si="105"/>
        <v/>
      </c>
      <c r="AC210" s="141" t="str">
        <f t="shared" si="88"/>
        <v/>
      </c>
      <c r="AD210" s="138" t="str">
        <f t="shared" si="106"/>
        <v/>
      </c>
      <c r="AE210" s="243" t="str">
        <f t="shared" si="89"/>
        <v/>
      </c>
      <c r="AF210" s="342" t="str">
        <f>IF(AM210="Row Not Used","",INDEX(SpaceTable[Annual Hours],(MATCH(B210,SpaceTable[Space Name Concatenated Helper],0))))</f>
        <v/>
      </c>
      <c r="AG210" s="205" t="str">
        <f t="shared" si="90"/>
        <v/>
      </c>
      <c r="AH210" s="234" t="str">
        <f t="shared" si="91"/>
        <v/>
      </c>
      <c r="AI210" s="205" t="str">
        <f t="shared" si="92"/>
        <v/>
      </c>
      <c r="AJ210" s="234" t="str">
        <f t="shared" si="93"/>
        <v/>
      </c>
      <c r="AK210" s="144" t="str">
        <f>IF(AM210="Row Not Used","",INDEX(SpaceTable[Row],(MATCH(B210,SpaceTable[Space Name Concatenated Helper],0))))</f>
        <v/>
      </c>
      <c r="AL210" s="238" t="str">
        <f>IF(AM210="Row Not Used","",INDEX(SpaceTable[HVAC Factor],(MATCH(B210,SpaceTable[Space Name Concatenated Helper],0))))</f>
        <v/>
      </c>
      <c r="AM210" s="520" t="str">
        <f t="shared" si="94"/>
        <v>Row Not Used</v>
      </c>
      <c r="AN210" s="512" t="e" cm="1">
        <f t="array" ref="AN210">INDEX(BallastFactorTable[Ballast Factor],MATCH(1,(BallastFactorTable[Fixture Class]=D210)*(BallastFactorTable[Fixture Category]=E210)*(BallastFactorTable[Fixture Sub-category]=F210),0))</f>
        <v>#N/A</v>
      </c>
      <c r="AO210" s="143" t="str">
        <f t="shared" si="107"/>
        <v/>
      </c>
      <c r="AP210" s="501" t="e" cm="1">
        <f t="array" ref="AP210">INDEX(BallastFactorTable[Wattage Range Name],MATCH(1,(BallastFactorTable[Fixture Class]=D210)*(BallastFactorTable[Fixture Category]=E210)*(BallastFactorTable[Fixture Sub-category]=F210),0))</f>
        <v>#N/A</v>
      </c>
      <c r="AQ210" s="515" t="str">
        <f t="shared" ca="1" si="95"/>
        <v>Okay</v>
      </c>
      <c r="AR210" s="512">
        <f t="shared" si="96"/>
        <v>0</v>
      </c>
      <c r="AS210" s="511" t="str">
        <f>IF(OR(Measures!AM210="Row Not Used",Measures!C210="Controls Only",Measures!C210="Decommissioning"),"",_xlfn.CONCAT(P210," ",Q210))</f>
        <v/>
      </c>
      <c r="AT210" s="264" t="str">
        <f t="shared" si="97"/>
        <v>None</v>
      </c>
      <c r="AU210" s="229">
        <f>IF(OR(AM210="Row Not Used",AM210="Controls Only"),0,INDEX(IncentiveRateTable[Incentive Rate],MATCH(AT210,IncentiveRateTable[Incentive Name],0)))</f>
        <v>0</v>
      </c>
      <c r="AV210" s="133" t="str">
        <f>IF(OR(AM210="Row Not Used",AM210="Controls Only"),"None",INDEX(IncentiveRateTable[Incentive Unit],MATCH(AT210,IncentiveRateTable[Incentive Name],0)))</f>
        <v>None</v>
      </c>
      <c r="AW210" s="578">
        <f t="shared" si="108"/>
        <v>0</v>
      </c>
      <c r="AX210" s="264" t="str">
        <f t="shared" si="98"/>
        <v>None</v>
      </c>
      <c r="AY210" s="229">
        <f>IF(OR(AM210="Row Not Used",AM210="Fixtures Only",AM210="Decommissioning"),0,INDEX(IncentiveRateTable[Incentive Rate],MATCH(AX210,IncentiveRateTable[Incentive Name],0)))</f>
        <v>0</v>
      </c>
      <c r="AZ210" s="133" t="str">
        <f>IF(OR(AM210="Row Not Used",AM210="Fixtures Only",AM210="Decommissioning"),"None",INDEX(IncentiveRateTable[Incentive Unit],MATCH(AX210,IncentiveRateTable[Incentive Name],0)))</f>
        <v>None</v>
      </c>
      <c r="BA210" s="465">
        <f t="shared" si="99"/>
        <v>0</v>
      </c>
      <c r="BB210" s="264" t="e" cm="1">
        <f t="array" ref="BB210">INDEX(BallastFactorTable[Commercial BPA Reference Number],MATCH(1,(BallastFactorTable[Fixture Class]=J210)*(BallastFactorTable[Fixture Category]=K210)*(BallastFactorTable[Fixture Sub-category]=L210),0))</f>
        <v>#N/A</v>
      </c>
      <c r="BC210" s="133" t="e" cm="1">
        <f t="array" ref="BC210">INDEX(BallastFactorTable[Industrial BPA Reference Number],MATCH(1,(BallastFactorTable[Fixture Class]=J210)*(BallastFactorTable[Fixture Category]=K210)*(BallastFactorTable[Fixture Sub-category]=L210),0))</f>
        <v>#N/A</v>
      </c>
      <c r="BD210" s="264" t="str">
        <f t="shared" si="100"/>
        <v>Sector is blank</v>
      </c>
      <c r="BE210" s="269" t="str">
        <f>IF(ISBLANK(SectorField),"Sector is blank",IF(AM210="Row Not Used","",IF(OR(R210="No Controls",ISBLANK(R210)),"",INDEX(ControlsBPARefNoTable[Reference Number],MATCH(SectorField,ControlsBPARefNoTable[Sector],0)))))</f>
        <v>Sector is blank</v>
      </c>
      <c r="BF210" s="530" t="str">
        <f t="shared" si="101"/>
        <v/>
      </c>
      <c r="BG210" s="132" t="str">
        <f t="shared" si="102"/>
        <v/>
      </c>
      <c r="BH210" s="531" t="str">
        <f t="shared" si="103"/>
        <v/>
      </c>
      <c r="BI210" s="532"/>
      <c r="BJ210" s="538" t="str">
        <f t="shared" si="109"/>
        <v/>
      </c>
      <c r="BK210" s="539" t="str">
        <f t="shared" si="110"/>
        <v/>
      </c>
      <c r="BL210" s="547" t="str">
        <f t="shared" si="111"/>
        <v/>
      </c>
    </row>
    <row r="211" spans="1:64" x14ac:dyDescent="0.3">
      <c r="A211" s="133">
        <v>204</v>
      </c>
      <c r="B211" s="294"/>
      <c r="C211" s="313"/>
      <c r="D211" s="292"/>
      <c r="E211" s="284"/>
      <c r="F211" s="284"/>
      <c r="G211" s="295"/>
      <c r="H211" s="296"/>
      <c r="I211" s="297"/>
      <c r="J211" s="292"/>
      <c r="K211" s="284"/>
      <c r="L211" s="284"/>
      <c r="M211" s="295"/>
      <c r="N211" s="296"/>
      <c r="O211" s="296"/>
      <c r="P211" s="284"/>
      <c r="Q211" s="298"/>
      <c r="R211" s="292"/>
      <c r="S211" s="299"/>
      <c r="T211" s="300"/>
      <c r="U211" s="317" t="str">
        <f t="shared" si="85"/>
        <v/>
      </c>
      <c r="V211" s="301"/>
      <c r="W211" s="136" t="str">
        <f t="shared" si="86"/>
        <v/>
      </c>
      <c r="X211" s="588" t="str">
        <f t="shared" si="104"/>
        <v/>
      </c>
      <c r="Y211" s="580"/>
      <c r="Z211" s="251" t="str">
        <f t="shared" si="87"/>
        <v/>
      </c>
      <c r="AA211" s="138" t="str">
        <f t="shared" si="112"/>
        <v/>
      </c>
      <c r="AB211" s="243" t="str">
        <f t="shared" si="105"/>
        <v/>
      </c>
      <c r="AC211" s="141" t="str">
        <f t="shared" si="88"/>
        <v/>
      </c>
      <c r="AD211" s="138" t="str">
        <f t="shared" si="106"/>
        <v/>
      </c>
      <c r="AE211" s="243" t="str">
        <f t="shared" si="89"/>
        <v/>
      </c>
      <c r="AF211" s="342" t="str">
        <f>IF(AM211="Row Not Used","",INDEX(SpaceTable[Annual Hours],(MATCH(B211,SpaceTable[Space Name Concatenated Helper],0))))</f>
        <v/>
      </c>
      <c r="AG211" s="205" t="str">
        <f t="shared" si="90"/>
        <v/>
      </c>
      <c r="AH211" s="234" t="str">
        <f t="shared" si="91"/>
        <v/>
      </c>
      <c r="AI211" s="205" t="str">
        <f t="shared" si="92"/>
        <v/>
      </c>
      <c r="AJ211" s="234" t="str">
        <f t="shared" si="93"/>
        <v/>
      </c>
      <c r="AK211" s="144" t="str">
        <f>IF(AM211="Row Not Used","",INDEX(SpaceTable[Row],(MATCH(B211,SpaceTable[Space Name Concatenated Helper],0))))</f>
        <v/>
      </c>
      <c r="AL211" s="238" t="str">
        <f>IF(AM211="Row Not Used","",INDEX(SpaceTable[HVAC Factor],(MATCH(B211,SpaceTable[Space Name Concatenated Helper],0))))</f>
        <v/>
      </c>
      <c r="AM211" s="520" t="str">
        <f t="shared" si="94"/>
        <v>Row Not Used</v>
      </c>
      <c r="AN211" s="512" t="e" cm="1">
        <f t="array" ref="AN211">INDEX(BallastFactorTable[Ballast Factor],MATCH(1,(BallastFactorTable[Fixture Class]=D211)*(BallastFactorTable[Fixture Category]=E211)*(BallastFactorTable[Fixture Sub-category]=F211),0))</f>
        <v>#N/A</v>
      </c>
      <c r="AO211" s="143" t="str">
        <f t="shared" si="107"/>
        <v/>
      </c>
      <c r="AP211" s="501" t="e" cm="1">
        <f t="array" ref="AP211">INDEX(BallastFactorTable[Wattage Range Name],MATCH(1,(BallastFactorTable[Fixture Class]=D211)*(BallastFactorTable[Fixture Category]=E211)*(BallastFactorTable[Fixture Sub-category]=F211),0))</f>
        <v>#N/A</v>
      </c>
      <c r="AQ211" s="515" t="str">
        <f t="shared" ca="1" si="95"/>
        <v>Okay</v>
      </c>
      <c r="AR211" s="512">
        <f t="shared" si="96"/>
        <v>0</v>
      </c>
      <c r="AS211" s="511" t="str">
        <f>IF(OR(Measures!AM211="Row Not Used",Measures!C211="Controls Only",Measures!C211="Decommissioning"),"",_xlfn.CONCAT(P211," ",Q211))</f>
        <v/>
      </c>
      <c r="AT211" s="264" t="str">
        <f t="shared" si="97"/>
        <v>None</v>
      </c>
      <c r="AU211" s="229">
        <f>IF(OR(AM211="Row Not Used",AM211="Controls Only"),0,INDEX(IncentiveRateTable[Incentive Rate],MATCH(AT211,IncentiveRateTable[Incentive Name],0)))</f>
        <v>0</v>
      </c>
      <c r="AV211" s="133" t="str">
        <f>IF(OR(AM211="Row Not Used",AM211="Controls Only"),"None",INDEX(IncentiveRateTable[Incentive Unit],MATCH(AT211,IncentiveRateTable[Incentive Name],0)))</f>
        <v>None</v>
      </c>
      <c r="AW211" s="578">
        <f t="shared" si="108"/>
        <v>0</v>
      </c>
      <c r="AX211" s="264" t="str">
        <f t="shared" si="98"/>
        <v>None</v>
      </c>
      <c r="AY211" s="229">
        <f>IF(OR(AM211="Row Not Used",AM211="Fixtures Only",AM211="Decommissioning"),0,INDEX(IncentiveRateTable[Incentive Rate],MATCH(AX211,IncentiveRateTable[Incentive Name],0)))</f>
        <v>0</v>
      </c>
      <c r="AZ211" s="133" t="str">
        <f>IF(OR(AM211="Row Not Used",AM211="Fixtures Only",AM211="Decommissioning"),"None",INDEX(IncentiveRateTable[Incentive Unit],MATCH(AX211,IncentiveRateTable[Incentive Name],0)))</f>
        <v>None</v>
      </c>
      <c r="BA211" s="465">
        <f t="shared" si="99"/>
        <v>0</v>
      </c>
      <c r="BB211" s="264" t="e" cm="1">
        <f t="array" ref="BB211">INDEX(BallastFactorTable[Commercial BPA Reference Number],MATCH(1,(BallastFactorTable[Fixture Class]=J211)*(BallastFactorTable[Fixture Category]=K211)*(BallastFactorTable[Fixture Sub-category]=L211),0))</f>
        <v>#N/A</v>
      </c>
      <c r="BC211" s="133" t="e" cm="1">
        <f t="array" ref="BC211">INDEX(BallastFactorTable[Industrial BPA Reference Number],MATCH(1,(BallastFactorTable[Fixture Class]=J211)*(BallastFactorTable[Fixture Category]=K211)*(BallastFactorTable[Fixture Sub-category]=L211),0))</f>
        <v>#N/A</v>
      </c>
      <c r="BD211" s="264" t="str">
        <f t="shared" si="100"/>
        <v>Sector is blank</v>
      </c>
      <c r="BE211" s="269" t="str">
        <f>IF(ISBLANK(SectorField),"Sector is blank",IF(AM211="Row Not Used","",IF(OR(R211="No Controls",ISBLANK(R211)),"",INDEX(ControlsBPARefNoTable[Reference Number],MATCH(SectorField,ControlsBPARefNoTable[Sector],0)))))</f>
        <v>Sector is blank</v>
      </c>
      <c r="BF211" s="530" t="str">
        <f t="shared" si="101"/>
        <v/>
      </c>
      <c r="BG211" s="132" t="str">
        <f t="shared" si="102"/>
        <v/>
      </c>
      <c r="BH211" s="531" t="str">
        <f t="shared" si="103"/>
        <v/>
      </c>
      <c r="BI211" s="532"/>
      <c r="BJ211" s="538" t="str">
        <f t="shared" si="109"/>
        <v/>
      </c>
      <c r="BK211" s="539" t="str">
        <f t="shared" si="110"/>
        <v/>
      </c>
      <c r="BL211" s="547" t="str">
        <f t="shared" si="111"/>
        <v/>
      </c>
    </row>
    <row r="212" spans="1:64" x14ac:dyDescent="0.3">
      <c r="A212" s="133">
        <v>205</v>
      </c>
      <c r="B212" s="294"/>
      <c r="C212" s="313"/>
      <c r="D212" s="292"/>
      <c r="E212" s="284"/>
      <c r="F212" s="284"/>
      <c r="G212" s="295"/>
      <c r="H212" s="296"/>
      <c r="I212" s="297"/>
      <c r="J212" s="292"/>
      <c r="K212" s="284"/>
      <c r="L212" s="284"/>
      <c r="M212" s="295"/>
      <c r="N212" s="296"/>
      <c r="O212" s="296"/>
      <c r="P212" s="284"/>
      <c r="Q212" s="298"/>
      <c r="R212" s="292"/>
      <c r="S212" s="299"/>
      <c r="T212" s="300"/>
      <c r="U212" s="317" t="str">
        <f t="shared" si="85"/>
        <v/>
      </c>
      <c r="V212" s="301"/>
      <c r="W212" s="137" t="str">
        <f t="shared" si="86"/>
        <v/>
      </c>
      <c r="X212" s="589" t="str">
        <f t="shared" si="104"/>
        <v/>
      </c>
      <c r="Y212" s="581"/>
      <c r="Z212" s="251" t="str">
        <f t="shared" si="87"/>
        <v/>
      </c>
      <c r="AA212" s="138" t="str">
        <f t="shared" si="112"/>
        <v/>
      </c>
      <c r="AB212" s="243" t="str">
        <f t="shared" si="105"/>
        <v/>
      </c>
      <c r="AC212" s="141" t="str">
        <f t="shared" si="88"/>
        <v/>
      </c>
      <c r="AD212" s="138" t="str">
        <f t="shared" si="106"/>
        <v/>
      </c>
      <c r="AE212" s="243" t="str">
        <f t="shared" si="89"/>
        <v/>
      </c>
      <c r="AF212" s="342" t="str">
        <f>IF(AM212="Row Not Used","",INDEX(SpaceTable[Annual Hours],(MATCH(B212,SpaceTable[Space Name Concatenated Helper],0))))</f>
        <v/>
      </c>
      <c r="AG212" s="205" t="str">
        <f t="shared" si="90"/>
        <v/>
      </c>
      <c r="AH212" s="234" t="str">
        <f t="shared" si="91"/>
        <v/>
      </c>
      <c r="AI212" s="205" t="str">
        <f t="shared" si="92"/>
        <v/>
      </c>
      <c r="AJ212" s="234" t="str">
        <f t="shared" si="93"/>
        <v/>
      </c>
      <c r="AK212" s="144" t="str">
        <f>IF(AM212="Row Not Used","",INDEX(SpaceTable[Row],(MATCH(B212,SpaceTable[Space Name Concatenated Helper],0))))</f>
        <v/>
      </c>
      <c r="AL212" s="238" t="str">
        <f>IF(AM212="Row Not Used","",INDEX(SpaceTable[HVAC Factor],(MATCH(B212,SpaceTable[Space Name Concatenated Helper],0))))</f>
        <v/>
      </c>
      <c r="AM212" s="520" t="str">
        <f t="shared" si="94"/>
        <v>Row Not Used</v>
      </c>
      <c r="AN212" s="512" t="e" cm="1">
        <f t="array" ref="AN212">INDEX(BallastFactorTable[Ballast Factor],MATCH(1,(BallastFactorTable[Fixture Class]=D212)*(BallastFactorTable[Fixture Category]=E212)*(BallastFactorTable[Fixture Sub-category]=F212),0))</f>
        <v>#N/A</v>
      </c>
      <c r="AO212" s="143" t="str">
        <f t="shared" si="107"/>
        <v/>
      </c>
      <c r="AP212" s="501" t="e" cm="1">
        <f t="array" ref="AP212">INDEX(BallastFactorTable[Wattage Range Name],MATCH(1,(BallastFactorTable[Fixture Class]=D212)*(BallastFactorTable[Fixture Category]=E212)*(BallastFactorTable[Fixture Sub-category]=F212),0))</f>
        <v>#N/A</v>
      </c>
      <c r="AQ212" s="515" t="str">
        <f t="shared" ca="1" si="95"/>
        <v>Okay</v>
      </c>
      <c r="AR212" s="512">
        <f t="shared" si="96"/>
        <v>0</v>
      </c>
      <c r="AS212" s="511" t="str">
        <f>IF(OR(Measures!AM212="Row Not Used",Measures!C212="Controls Only",Measures!C212="Decommissioning"),"",_xlfn.CONCAT(P212," ",Q212))</f>
        <v/>
      </c>
      <c r="AT212" s="264" t="str">
        <f t="shared" si="97"/>
        <v>None</v>
      </c>
      <c r="AU212" s="229">
        <f>IF(OR(AM212="Row Not Used",AM212="Controls Only"),0,INDEX(IncentiveRateTable[Incentive Rate],MATCH(AT212,IncentiveRateTable[Incentive Name],0)))</f>
        <v>0</v>
      </c>
      <c r="AV212" s="133" t="str">
        <f>IF(OR(AM212="Row Not Used",AM212="Controls Only"),"None",INDEX(IncentiveRateTable[Incentive Unit],MATCH(AT212,IncentiveRateTable[Incentive Name],0)))</f>
        <v>None</v>
      </c>
      <c r="AW212" s="578">
        <f t="shared" si="108"/>
        <v>0</v>
      </c>
      <c r="AX212" s="264" t="str">
        <f t="shared" si="98"/>
        <v>None</v>
      </c>
      <c r="AY212" s="229">
        <f>IF(OR(AM212="Row Not Used",AM212="Fixtures Only",AM212="Decommissioning"),0,INDEX(IncentiveRateTable[Incentive Rate],MATCH(AX212,IncentiveRateTable[Incentive Name],0)))</f>
        <v>0</v>
      </c>
      <c r="AZ212" s="133" t="str">
        <f>IF(OR(AM212="Row Not Used",AM212="Fixtures Only",AM212="Decommissioning"),"None",INDEX(IncentiveRateTable[Incentive Unit],MATCH(AX212,IncentiveRateTable[Incentive Name],0)))</f>
        <v>None</v>
      </c>
      <c r="BA212" s="465">
        <f t="shared" si="99"/>
        <v>0</v>
      </c>
      <c r="BB212" s="264" t="e" cm="1">
        <f t="array" ref="BB212">INDEX(BallastFactorTable[Commercial BPA Reference Number],MATCH(1,(BallastFactorTable[Fixture Class]=J212)*(BallastFactorTable[Fixture Category]=K212)*(BallastFactorTable[Fixture Sub-category]=L212),0))</f>
        <v>#N/A</v>
      </c>
      <c r="BC212" s="133" t="e" cm="1">
        <f t="array" ref="BC212">INDEX(BallastFactorTable[Industrial BPA Reference Number],MATCH(1,(BallastFactorTable[Fixture Class]=J212)*(BallastFactorTable[Fixture Category]=K212)*(BallastFactorTable[Fixture Sub-category]=L212),0))</f>
        <v>#N/A</v>
      </c>
      <c r="BD212" s="264" t="str">
        <f t="shared" si="100"/>
        <v>Sector is blank</v>
      </c>
      <c r="BE212" s="269" t="str">
        <f>IF(ISBLANK(SectorField),"Sector is blank",IF(AM212="Row Not Used","",IF(OR(R212="No Controls",ISBLANK(R212)),"",INDEX(ControlsBPARefNoTable[Reference Number],MATCH(SectorField,ControlsBPARefNoTable[Sector],0)))))</f>
        <v>Sector is blank</v>
      </c>
      <c r="BF212" s="530" t="str">
        <f t="shared" si="101"/>
        <v/>
      </c>
      <c r="BG212" s="132" t="str">
        <f t="shared" si="102"/>
        <v/>
      </c>
      <c r="BH212" s="531" t="str">
        <f t="shared" si="103"/>
        <v/>
      </c>
      <c r="BI212" s="532"/>
      <c r="BJ212" s="538" t="str">
        <f t="shared" si="109"/>
        <v/>
      </c>
      <c r="BK212" s="539" t="str">
        <f t="shared" si="110"/>
        <v/>
      </c>
      <c r="BL212" s="547" t="str">
        <f t="shared" si="111"/>
        <v/>
      </c>
    </row>
    <row r="213" spans="1:64" x14ac:dyDescent="0.3">
      <c r="A213" s="133">
        <v>206</v>
      </c>
      <c r="B213" s="294"/>
      <c r="C213" s="313"/>
      <c r="D213" s="292"/>
      <c r="E213" s="284"/>
      <c r="F213" s="284"/>
      <c r="G213" s="295"/>
      <c r="H213" s="296"/>
      <c r="I213" s="297"/>
      <c r="J213" s="292"/>
      <c r="K213" s="284"/>
      <c r="L213" s="284"/>
      <c r="M213" s="295"/>
      <c r="N213" s="296"/>
      <c r="O213" s="296"/>
      <c r="P213" s="284"/>
      <c r="Q213" s="298"/>
      <c r="R213" s="292"/>
      <c r="S213" s="299"/>
      <c r="T213" s="300"/>
      <c r="U213" s="317" t="str">
        <f t="shared" si="85"/>
        <v/>
      </c>
      <c r="V213" s="301"/>
      <c r="W213" s="136" t="str">
        <f t="shared" si="86"/>
        <v/>
      </c>
      <c r="X213" s="588" t="str">
        <f t="shared" si="104"/>
        <v/>
      </c>
      <c r="Y213" s="580"/>
      <c r="Z213" s="251" t="str">
        <f t="shared" si="87"/>
        <v/>
      </c>
      <c r="AA213" s="138" t="str">
        <f t="shared" si="112"/>
        <v/>
      </c>
      <c r="AB213" s="243" t="str">
        <f t="shared" si="105"/>
        <v/>
      </c>
      <c r="AC213" s="141" t="str">
        <f t="shared" si="88"/>
        <v/>
      </c>
      <c r="AD213" s="138" t="str">
        <f t="shared" si="106"/>
        <v/>
      </c>
      <c r="AE213" s="243" t="str">
        <f t="shared" si="89"/>
        <v/>
      </c>
      <c r="AF213" s="342" t="str">
        <f>IF(AM213="Row Not Used","",INDEX(SpaceTable[Annual Hours],(MATCH(B213,SpaceTable[Space Name Concatenated Helper],0))))</f>
        <v/>
      </c>
      <c r="AG213" s="205" t="str">
        <f t="shared" si="90"/>
        <v/>
      </c>
      <c r="AH213" s="234" t="str">
        <f t="shared" si="91"/>
        <v/>
      </c>
      <c r="AI213" s="205" t="str">
        <f t="shared" si="92"/>
        <v/>
      </c>
      <c r="AJ213" s="234" t="str">
        <f t="shared" si="93"/>
        <v/>
      </c>
      <c r="AK213" s="144" t="str">
        <f>IF(AM213="Row Not Used","",INDEX(SpaceTable[Row],(MATCH(B213,SpaceTable[Space Name Concatenated Helper],0))))</f>
        <v/>
      </c>
      <c r="AL213" s="238" t="str">
        <f>IF(AM213="Row Not Used","",INDEX(SpaceTable[HVAC Factor],(MATCH(B213,SpaceTable[Space Name Concatenated Helper],0))))</f>
        <v/>
      </c>
      <c r="AM213" s="520" t="str">
        <f t="shared" si="94"/>
        <v>Row Not Used</v>
      </c>
      <c r="AN213" s="512" t="e" cm="1">
        <f t="array" ref="AN213">INDEX(BallastFactorTable[Ballast Factor],MATCH(1,(BallastFactorTable[Fixture Class]=D213)*(BallastFactorTable[Fixture Category]=E213)*(BallastFactorTable[Fixture Sub-category]=F213),0))</f>
        <v>#N/A</v>
      </c>
      <c r="AO213" s="143" t="str">
        <f t="shared" si="107"/>
        <v/>
      </c>
      <c r="AP213" s="501" t="e" cm="1">
        <f t="array" ref="AP213">INDEX(BallastFactorTable[Wattage Range Name],MATCH(1,(BallastFactorTable[Fixture Class]=D213)*(BallastFactorTable[Fixture Category]=E213)*(BallastFactorTable[Fixture Sub-category]=F213),0))</f>
        <v>#N/A</v>
      </c>
      <c r="AQ213" s="515" t="str">
        <f t="shared" ca="1" si="95"/>
        <v>Okay</v>
      </c>
      <c r="AR213" s="512">
        <f t="shared" si="96"/>
        <v>0</v>
      </c>
      <c r="AS213" s="511" t="str">
        <f>IF(OR(Measures!AM213="Row Not Used",Measures!C213="Controls Only",Measures!C213="Decommissioning"),"",_xlfn.CONCAT(P213," ",Q213))</f>
        <v/>
      </c>
      <c r="AT213" s="264" t="str">
        <f t="shared" si="97"/>
        <v>None</v>
      </c>
      <c r="AU213" s="229">
        <f>IF(OR(AM213="Row Not Used",AM213="Controls Only"),0,INDEX(IncentiveRateTable[Incentive Rate],MATCH(AT213,IncentiveRateTable[Incentive Name],0)))</f>
        <v>0</v>
      </c>
      <c r="AV213" s="133" t="str">
        <f>IF(OR(AM213="Row Not Used",AM213="Controls Only"),"None",INDEX(IncentiveRateTable[Incentive Unit],MATCH(AT213,IncentiveRateTable[Incentive Name],0)))</f>
        <v>None</v>
      </c>
      <c r="AW213" s="578">
        <f t="shared" si="108"/>
        <v>0</v>
      </c>
      <c r="AX213" s="264" t="str">
        <f t="shared" si="98"/>
        <v>None</v>
      </c>
      <c r="AY213" s="229">
        <f>IF(OR(AM213="Row Not Used",AM213="Fixtures Only",AM213="Decommissioning"),0,INDEX(IncentiveRateTable[Incentive Rate],MATCH(AX213,IncentiveRateTable[Incentive Name],0)))</f>
        <v>0</v>
      </c>
      <c r="AZ213" s="133" t="str">
        <f>IF(OR(AM213="Row Not Used",AM213="Fixtures Only",AM213="Decommissioning"),"None",INDEX(IncentiveRateTable[Incentive Unit],MATCH(AX213,IncentiveRateTable[Incentive Name],0)))</f>
        <v>None</v>
      </c>
      <c r="BA213" s="465">
        <f t="shared" si="99"/>
        <v>0</v>
      </c>
      <c r="BB213" s="264" t="e" cm="1">
        <f t="array" ref="BB213">INDEX(BallastFactorTable[Commercial BPA Reference Number],MATCH(1,(BallastFactorTable[Fixture Class]=J213)*(BallastFactorTable[Fixture Category]=K213)*(BallastFactorTable[Fixture Sub-category]=L213),0))</f>
        <v>#N/A</v>
      </c>
      <c r="BC213" s="133" t="e" cm="1">
        <f t="array" ref="BC213">INDEX(BallastFactorTable[Industrial BPA Reference Number],MATCH(1,(BallastFactorTable[Fixture Class]=J213)*(BallastFactorTable[Fixture Category]=K213)*(BallastFactorTable[Fixture Sub-category]=L213),0))</f>
        <v>#N/A</v>
      </c>
      <c r="BD213" s="264" t="str">
        <f t="shared" si="100"/>
        <v>Sector is blank</v>
      </c>
      <c r="BE213" s="269" t="str">
        <f>IF(ISBLANK(SectorField),"Sector is blank",IF(AM213="Row Not Used","",IF(OR(R213="No Controls",ISBLANK(R213)),"",INDEX(ControlsBPARefNoTable[Reference Number],MATCH(SectorField,ControlsBPARefNoTable[Sector],0)))))</f>
        <v>Sector is blank</v>
      </c>
      <c r="BF213" s="530" t="str">
        <f t="shared" si="101"/>
        <v/>
      </c>
      <c r="BG213" s="132" t="str">
        <f t="shared" si="102"/>
        <v/>
      </c>
      <c r="BH213" s="531" t="str">
        <f t="shared" si="103"/>
        <v/>
      </c>
      <c r="BI213" s="532"/>
      <c r="BJ213" s="538" t="str">
        <f t="shared" si="109"/>
        <v/>
      </c>
      <c r="BK213" s="539" t="str">
        <f t="shared" si="110"/>
        <v/>
      </c>
      <c r="BL213" s="547" t="str">
        <f t="shared" si="111"/>
        <v/>
      </c>
    </row>
    <row r="214" spans="1:64" x14ac:dyDescent="0.3">
      <c r="A214" s="133">
        <v>207</v>
      </c>
      <c r="B214" s="294"/>
      <c r="C214" s="313"/>
      <c r="D214" s="292"/>
      <c r="E214" s="284"/>
      <c r="F214" s="284"/>
      <c r="G214" s="295"/>
      <c r="H214" s="296"/>
      <c r="I214" s="297"/>
      <c r="J214" s="292"/>
      <c r="K214" s="284"/>
      <c r="L214" s="284"/>
      <c r="M214" s="295"/>
      <c r="N214" s="296"/>
      <c r="O214" s="296"/>
      <c r="P214" s="284"/>
      <c r="Q214" s="298"/>
      <c r="R214" s="292"/>
      <c r="S214" s="299"/>
      <c r="T214" s="300"/>
      <c r="U214" s="317" t="str">
        <f t="shared" si="85"/>
        <v/>
      </c>
      <c r="V214" s="301"/>
      <c r="W214" s="137" t="str">
        <f t="shared" si="86"/>
        <v/>
      </c>
      <c r="X214" s="589" t="str">
        <f t="shared" si="104"/>
        <v/>
      </c>
      <c r="Y214" s="581"/>
      <c r="Z214" s="251" t="str">
        <f t="shared" si="87"/>
        <v/>
      </c>
      <c r="AA214" s="138" t="str">
        <f t="shared" si="112"/>
        <v/>
      </c>
      <c r="AB214" s="243" t="str">
        <f t="shared" si="105"/>
        <v/>
      </c>
      <c r="AC214" s="141" t="str">
        <f t="shared" si="88"/>
        <v/>
      </c>
      <c r="AD214" s="138" t="str">
        <f t="shared" si="106"/>
        <v/>
      </c>
      <c r="AE214" s="243" t="str">
        <f t="shared" si="89"/>
        <v/>
      </c>
      <c r="AF214" s="342" t="str">
        <f>IF(AM214="Row Not Used","",INDEX(SpaceTable[Annual Hours],(MATCH(B214,SpaceTable[Space Name Concatenated Helper],0))))</f>
        <v/>
      </c>
      <c r="AG214" s="205" t="str">
        <f t="shared" si="90"/>
        <v/>
      </c>
      <c r="AH214" s="234" t="str">
        <f t="shared" si="91"/>
        <v/>
      </c>
      <c r="AI214" s="205" t="str">
        <f t="shared" si="92"/>
        <v/>
      </c>
      <c r="AJ214" s="234" t="str">
        <f t="shared" si="93"/>
        <v/>
      </c>
      <c r="AK214" s="144" t="str">
        <f>IF(AM214="Row Not Used","",INDEX(SpaceTable[Row],(MATCH(B214,SpaceTable[Space Name Concatenated Helper],0))))</f>
        <v/>
      </c>
      <c r="AL214" s="238" t="str">
        <f>IF(AM214="Row Not Used","",INDEX(SpaceTable[HVAC Factor],(MATCH(B214,SpaceTable[Space Name Concatenated Helper],0))))</f>
        <v/>
      </c>
      <c r="AM214" s="520" t="str">
        <f t="shared" si="94"/>
        <v>Row Not Used</v>
      </c>
      <c r="AN214" s="512" t="e" cm="1">
        <f t="array" ref="AN214">INDEX(BallastFactorTable[Ballast Factor],MATCH(1,(BallastFactorTable[Fixture Class]=D214)*(BallastFactorTable[Fixture Category]=E214)*(BallastFactorTable[Fixture Sub-category]=F214),0))</f>
        <v>#N/A</v>
      </c>
      <c r="AO214" s="143" t="str">
        <f t="shared" si="107"/>
        <v/>
      </c>
      <c r="AP214" s="501" t="e" cm="1">
        <f t="array" ref="AP214">INDEX(BallastFactorTable[Wattage Range Name],MATCH(1,(BallastFactorTable[Fixture Class]=D214)*(BallastFactorTable[Fixture Category]=E214)*(BallastFactorTable[Fixture Sub-category]=F214),0))</f>
        <v>#N/A</v>
      </c>
      <c r="AQ214" s="515" t="str">
        <f t="shared" ca="1" si="95"/>
        <v>Okay</v>
      </c>
      <c r="AR214" s="512">
        <f t="shared" si="96"/>
        <v>0</v>
      </c>
      <c r="AS214" s="511" t="str">
        <f>IF(OR(Measures!AM214="Row Not Used",Measures!C214="Controls Only",Measures!C214="Decommissioning"),"",_xlfn.CONCAT(P214," ",Q214))</f>
        <v/>
      </c>
      <c r="AT214" s="264" t="str">
        <f t="shared" si="97"/>
        <v>None</v>
      </c>
      <c r="AU214" s="229">
        <f>IF(OR(AM214="Row Not Used",AM214="Controls Only"),0,INDEX(IncentiveRateTable[Incentive Rate],MATCH(AT214,IncentiveRateTable[Incentive Name],0)))</f>
        <v>0</v>
      </c>
      <c r="AV214" s="133" t="str">
        <f>IF(OR(AM214="Row Not Used",AM214="Controls Only"),"None",INDEX(IncentiveRateTable[Incentive Unit],MATCH(AT214,IncentiveRateTable[Incentive Name],0)))</f>
        <v>None</v>
      </c>
      <c r="AW214" s="578">
        <f t="shared" si="108"/>
        <v>0</v>
      </c>
      <c r="AX214" s="264" t="str">
        <f t="shared" si="98"/>
        <v>None</v>
      </c>
      <c r="AY214" s="229">
        <f>IF(OR(AM214="Row Not Used",AM214="Fixtures Only",AM214="Decommissioning"),0,INDEX(IncentiveRateTable[Incentive Rate],MATCH(AX214,IncentiveRateTable[Incentive Name],0)))</f>
        <v>0</v>
      </c>
      <c r="AZ214" s="133" t="str">
        <f>IF(OR(AM214="Row Not Used",AM214="Fixtures Only",AM214="Decommissioning"),"None",INDEX(IncentiveRateTable[Incentive Unit],MATCH(AX214,IncentiveRateTable[Incentive Name],0)))</f>
        <v>None</v>
      </c>
      <c r="BA214" s="465">
        <f t="shared" si="99"/>
        <v>0</v>
      </c>
      <c r="BB214" s="264" t="e" cm="1">
        <f t="array" ref="BB214">INDEX(BallastFactorTable[Commercial BPA Reference Number],MATCH(1,(BallastFactorTable[Fixture Class]=J214)*(BallastFactorTable[Fixture Category]=K214)*(BallastFactorTable[Fixture Sub-category]=L214),0))</f>
        <v>#N/A</v>
      </c>
      <c r="BC214" s="133" t="e" cm="1">
        <f t="array" ref="BC214">INDEX(BallastFactorTable[Industrial BPA Reference Number],MATCH(1,(BallastFactorTable[Fixture Class]=J214)*(BallastFactorTable[Fixture Category]=K214)*(BallastFactorTable[Fixture Sub-category]=L214),0))</f>
        <v>#N/A</v>
      </c>
      <c r="BD214" s="264" t="str">
        <f t="shared" si="100"/>
        <v>Sector is blank</v>
      </c>
      <c r="BE214" s="269" t="str">
        <f>IF(ISBLANK(SectorField),"Sector is blank",IF(AM214="Row Not Used","",IF(OR(R214="No Controls",ISBLANK(R214)),"",INDEX(ControlsBPARefNoTable[Reference Number],MATCH(SectorField,ControlsBPARefNoTable[Sector],0)))))</f>
        <v>Sector is blank</v>
      </c>
      <c r="BF214" s="530" t="str">
        <f t="shared" si="101"/>
        <v/>
      </c>
      <c r="BG214" s="132" t="str">
        <f t="shared" si="102"/>
        <v/>
      </c>
      <c r="BH214" s="531" t="str">
        <f t="shared" si="103"/>
        <v/>
      </c>
      <c r="BI214" s="532"/>
      <c r="BJ214" s="538" t="str">
        <f t="shared" si="109"/>
        <v/>
      </c>
      <c r="BK214" s="539" t="str">
        <f t="shared" si="110"/>
        <v/>
      </c>
      <c r="BL214" s="547" t="str">
        <f t="shared" si="111"/>
        <v/>
      </c>
    </row>
    <row r="215" spans="1:64" x14ac:dyDescent="0.3">
      <c r="A215" s="133">
        <v>208</v>
      </c>
      <c r="B215" s="294"/>
      <c r="C215" s="313"/>
      <c r="D215" s="292"/>
      <c r="E215" s="284"/>
      <c r="F215" s="284"/>
      <c r="G215" s="295"/>
      <c r="H215" s="296"/>
      <c r="I215" s="297"/>
      <c r="J215" s="292"/>
      <c r="K215" s="284"/>
      <c r="L215" s="284"/>
      <c r="M215" s="295"/>
      <c r="N215" s="296"/>
      <c r="O215" s="296"/>
      <c r="P215" s="284"/>
      <c r="Q215" s="298"/>
      <c r="R215" s="292"/>
      <c r="S215" s="299"/>
      <c r="T215" s="300"/>
      <c r="U215" s="317" t="str">
        <f t="shared" si="85"/>
        <v/>
      </c>
      <c r="V215" s="301"/>
      <c r="W215" s="136" t="str">
        <f t="shared" si="86"/>
        <v/>
      </c>
      <c r="X215" s="588" t="str">
        <f t="shared" si="104"/>
        <v/>
      </c>
      <c r="Y215" s="580"/>
      <c r="Z215" s="251" t="str">
        <f t="shared" si="87"/>
        <v/>
      </c>
      <c r="AA215" s="138" t="str">
        <f t="shared" si="112"/>
        <v/>
      </c>
      <c r="AB215" s="243" t="str">
        <f t="shared" si="105"/>
        <v/>
      </c>
      <c r="AC215" s="141" t="str">
        <f t="shared" si="88"/>
        <v/>
      </c>
      <c r="AD215" s="138" t="str">
        <f t="shared" si="106"/>
        <v/>
      </c>
      <c r="AE215" s="243" t="str">
        <f t="shared" si="89"/>
        <v/>
      </c>
      <c r="AF215" s="342" t="str">
        <f>IF(AM215="Row Not Used","",INDEX(SpaceTable[Annual Hours],(MATCH(B215,SpaceTable[Space Name Concatenated Helper],0))))</f>
        <v/>
      </c>
      <c r="AG215" s="205" t="str">
        <f t="shared" si="90"/>
        <v/>
      </c>
      <c r="AH215" s="234" t="str">
        <f t="shared" si="91"/>
        <v/>
      </c>
      <c r="AI215" s="205" t="str">
        <f t="shared" si="92"/>
        <v/>
      </c>
      <c r="AJ215" s="234" t="str">
        <f t="shared" si="93"/>
        <v/>
      </c>
      <c r="AK215" s="144" t="str">
        <f>IF(AM215="Row Not Used","",INDEX(SpaceTable[Row],(MATCH(B215,SpaceTable[Space Name Concatenated Helper],0))))</f>
        <v/>
      </c>
      <c r="AL215" s="238" t="str">
        <f>IF(AM215="Row Not Used","",INDEX(SpaceTable[HVAC Factor],(MATCH(B215,SpaceTable[Space Name Concatenated Helper],0))))</f>
        <v/>
      </c>
      <c r="AM215" s="520" t="str">
        <f t="shared" si="94"/>
        <v>Row Not Used</v>
      </c>
      <c r="AN215" s="512" t="e" cm="1">
        <f t="array" ref="AN215">INDEX(BallastFactorTable[Ballast Factor],MATCH(1,(BallastFactorTable[Fixture Class]=D215)*(BallastFactorTable[Fixture Category]=E215)*(BallastFactorTable[Fixture Sub-category]=F215),0))</f>
        <v>#N/A</v>
      </c>
      <c r="AO215" s="143" t="str">
        <f t="shared" si="107"/>
        <v/>
      </c>
      <c r="AP215" s="501" t="e" cm="1">
        <f t="array" ref="AP215">INDEX(BallastFactorTable[Wattage Range Name],MATCH(1,(BallastFactorTable[Fixture Class]=D215)*(BallastFactorTable[Fixture Category]=E215)*(BallastFactorTable[Fixture Sub-category]=F215),0))</f>
        <v>#N/A</v>
      </c>
      <c r="AQ215" s="515" t="str">
        <f t="shared" ca="1" si="95"/>
        <v>Okay</v>
      </c>
      <c r="AR215" s="512">
        <f t="shared" si="96"/>
        <v>0</v>
      </c>
      <c r="AS215" s="511" t="str">
        <f>IF(OR(Measures!AM215="Row Not Used",Measures!C215="Controls Only",Measures!C215="Decommissioning"),"",_xlfn.CONCAT(P215," ",Q215))</f>
        <v/>
      </c>
      <c r="AT215" s="264" t="str">
        <f t="shared" si="97"/>
        <v>None</v>
      </c>
      <c r="AU215" s="229">
        <f>IF(OR(AM215="Row Not Used",AM215="Controls Only"),0,INDEX(IncentiveRateTable[Incentive Rate],MATCH(AT215,IncentiveRateTable[Incentive Name],0)))</f>
        <v>0</v>
      </c>
      <c r="AV215" s="133" t="str">
        <f>IF(OR(AM215="Row Not Used",AM215="Controls Only"),"None",INDEX(IncentiveRateTable[Incentive Unit],MATCH(AT215,IncentiveRateTable[Incentive Name],0)))</f>
        <v>None</v>
      </c>
      <c r="AW215" s="578">
        <f t="shared" si="108"/>
        <v>0</v>
      </c>
      <c r="AX215" s="264" t="str">
        <f t="shared" si="98"/>
        <v>None</v>
      </c>
      <c r="AY215" s="229">
        <f>IF(OR(AM215="Row Not Used",AM215="Fixtures Only",AM215="Decommissioning"),0,INDEX(IncentiveRateTable[Incentive Rate],MATCH(AX215,IncentiveRateTable[Incentive Name],0)))</f>
        <v>0</v>
      </c>
      <c r="AZ215" s="133" t="str">
        <f>IF(OR(AM215="Row Not Used",AM215="Fixtures Only",AM215="Decommissioning"),"None",INDEX(IncentiveRateTable[Incentive Unit],MATCH(AX215,IncentiveRateTable[Incentive Name],0)))</f>
        <v>None</v>
      </c>
      <c r="BA215" s="465">
        <f t="shared" si="99"/>
        <v>0</v>
      </c>
      <c r="BB215" s="264" t="e" cm="1">
        <f t="array" ref="BB215">INDEX(BallastFactorTable[Commercial BPA Reference Number],MATCH(1,(BallastFactorTable[Fixture Class]=J215)*(BallastFactorTable[Fixture Category]=K215)*(BallastFactorTable[Fixture Sub-category]=L215),0))</f>
        <v>#N/A</v>
      </c>
      <c r="BC215" s="133" t="e" cm="1">
        <f t="array" ref="BC215">INDEX(BallastFactorTable[Industrial BPA Reference Number],MATCH(1,(BallastFactorTable[Fixture Class]=J215)*(BallastFactorTable[Fixture Category]=K215)*(BallastFactorTable[Fixture Sub-category]=L215),0))</f>
        <v>#N/A</v>
      </c>
      <c r="BD215" s="264" t="str">
        <f t="shared" si="100"/>
        <v>Sector is blank</v>
      </c>
      <c r="BE215" s="269" t="str">
        <f>IF(ISBLANK(SectorField),"Sector is blank",IF(AM215="Row Not Used","",IF(OR(R215="No Controls",ISBLANK(R215)),"",INDEX(ControlsBPARefNoTable[Reference Number],MATCH(SectorField,ControlsBPARefNoTable[Sector],0)))))</f>
        <v>Sector is blank</v>
      </c>
      <c r="BF215" s="530" t="str">
        <f t="shared" si="101"/>
        <v/>
      </c>
      <c r="BG215" s="132" t="str">
        <f t="shared" si="102"/>
        <v/>
      </c>
      <c r="BH215" s="531" t="str">
        <f t="shared" si="103"/>
        <v/>
      </c>
      <c r="BI215" s="532"/>
      <c r="BJ215" s="538" t="str">
        <f t="shared" si="109"/>
        <v/>
      </c>
      <c r="BK215" s="539" t="str">
        <f t="shared" si="110"/>
        <v/>
      </c>
      <c r="BL215" s="547" t="str">
        <f t="shared" si="111"/>
        <v/>
      </c>
    </row>
    <row r="216" spans="1:64" x14ac:dyDescent="0.3">
      <c r="A216" s="133">
        <v>209</v>
      </c>
      <c r="B216" s="294"/>
      <c r="C216" s="313"/>
      <c r="D216" s="292"/>
      <c r="E216" s="284"/>
      <c r="F216" s="284"/>
      <c r="G216" s="295"/>
      <c r="H216" s="296"/>
      <c r="I216" s="297"/>
      <c r="J216" s="292"/>
      <c r="K216" s="284"/>
      <c r="L216" s="284"/>
      <c r="M216" s="295"/>
      <c r="N216" s="296"/>
      <c r="O216" s="296"/>
      <c r="P216" s="284"/>
      <c r="Q216" s="298"/>
      <c r="R216" s="292"/>
      <c r="S216" s="299"/>
      <c r="T216" s="300"/>
      <c r="U216" s="317" t="str">
        <f t="shared" si="85"/>
        <v/>
      </c>
      <c r="V216" s="301"/>
      <c r="W216" s="137" t="str">
        <f t="shared" si="86"/>
        <v/>
      </c>
      <c r="X216" s="589" t="str">
        <f t="shared" si="104"/>
        <v/>
      </c>
      <c r="Y216" s="581"/>
      <c r="Z216" s="251" t="str">
        <f t="shared" si="87"/>
        <v/>
      </c>
      <c r="AA216" s="138" t="str">
        <f t="shared" si="112"/>
        <v/>
      </c>
      <c r="AB216" s="243" t="str">
        <f t="shared" si="105"/>
        <v/>
      </c>
      <c r="AC216" s="141" t="str">
        <f t="shared" si="88"/>
        <v/>
      </c>
      <c r="AD216" s="138" t="str">
        <f t="shared" si="106"/>
        <v/>
      </c>
      <c r="AE216" s="243" t="str">
        <f t="shared" si="89"/>
        <v/>
      </c>
      <c r="AF216" s="342" t="str">
        <f>IF(AM216="Row Not Used","",INDEX(SpaceTable[Annual Hours],(MATCH(B216,SpaceTable[Space Name Concatenated Helper],0))))</f>
        <v/>
      </c>
      <c r="AG216" s="205" t="str">
        <f t="shared" si="90"/>
        <v/>
      </c>
      <c r="AH216" s="234" t="str">
        <f t="shared" si="91"/>
        <v/>
      </c>
      <c r="AI216" s="205" t="str">
        <f t="shared" si="92"/>
        <v/>
      </c>
      <c r="AJ216" s="234" t="str">
        <f t="shared" si="93"/>
        <v/>
      </c>
      <c r="AK216" s="144" t="str">
        <f>IF(AM216="Row Not Used","",INDEX(SpaceTable[Row],(MATCH(B216,SpaceTable[Space Name Concatenated Helper],0))))</f>
        <v/>
      </c>
      <c r="AL216" s="238" t="str">
        <f>IF(AM216="Row Not Used","",INDEX(SpaceTable[HVAC Factor],(MATCH(B216,SpaceTable[Space Name Concatenated Helper],0))))</f>
        <v/>
      </c>
      <c r="AM216" s="520" t="str">
        <f t="shared" si="94"/>
        <v>Row Not Used</v>
      </c>
      <c r="AN216" s="512" t="e" cm="1">
        <f t="array" ref="AN216">INDEX(BallastFactorTable[Ballast Factor],MATCH(1,(BallastFactorTable[Fixture Class]=D216)*(BallastFactorTable[Fixture Category]=E216)*(BallastFactorTable[Fixture Sub-category]=F216),0))</f>
        <v>#N/A</v>
      </c>
      <c r="AO216" s="143" t="str">
        <f t="shared" si="107"/>
        <v/>
      </c>
      <c r="AP216" s="501" t="e" cm="1">
        <f t="array" ref="AP216">INDEX(BallastFactorTable[Wattage Range Name],MATCH(1,(BallastFactorTable[Fixture Class]=D216)*(BallastFactorTable[Fixture Category]=E216)*(BallastFactorTable[Fixture Sub-category]=F216),0))</f>
        <v>#N/A</v>
      </c>
      <c r="AQ216" s="515" t="str">
        <f t="shared" ca="1" si="95"/>
        <v>Okay</v>
      </c>
      <c r="AR216" s="512">
        <f t="shared" si="96"/>
        <v>0</v>
      </c>
      <c r="AS216" s="511" t="str">
        <f>IF(OR(Measures!AM216="Row Not Used",Measures!C216="Controls Only",Measures!C216="Decommissioning"),"",_xlfn.CONCAT(P216," ",Q216))</f>
        <v/>
      </c>
      <c r="AT216" s="264" t="str">
        <f t="shared" si="97"/>
        <v>None</v>
      </c>
      <c r="AU216" s="229">
        <f>IF(OR(AM216="Row Not Used",AM216="Controls Only"),0,INDEX(IncentiveRateTable[Incentive Rate],MATCH(AT216,IncentiveRateTable[Incentive Name],0)))</f>
        <v>0</v>
      </c>
      <c r="AV216" s="133" t="str">
        <f>IF(OR(AM216="Row Not Used",AM216="Controls Only"),"None",INDEX(IncentiveRateTable[Incentive Unit],MATCH(AT216,IncentiveRateTable[Incentive Name],0)))</f>
        <v>None</v>
      </c>
      <c r="AW216" s="578">
        <f t="shared" si="108"/>
        <v>0</v>
      </c>
      <c r="AX216" s="264" t="str">
        <f t="shared" si="98"/>
        <v>None</v>
      </c>
      <c r="AY216" s="229">
        <f>IF(OR(AM216="Row Not Used",AM216="Fixtures Only",AM216="Decommissioning"),0,INDEX(IncentiveRateTable[Incentive Rate],MATCH(AX216,IncentiveRateTable[Incentive Name],0)))</f>
        <v>0</v>
      </c>
      <c r="AZ216" s="133" t="str">
        <f>IF(OR(AM216="Row Not Used",AM216="Fixtures Only",AM216="Decommissioning"),"None",INDEX(IncentiveRateTable[Incentive Unit],MATCH(AX216,IncentiveRateTable[Incentive Name],0)))</f>
        <v>None</v>
      </c>
      <c r="BA216" s="465">
        <f t="shared" si="99"/>
        <v>0</v>
      </c>
      <c r="BB216" s="264" t="e" cm="1">
        <f t="array" ref="BB216">INDEX(BallastFactorTable[Commercial BPA Reference Number],MATCH(1,(BallastFactorTable[Fixture Class]=J216)*(BallastFactorTable[Fixture Category]=K216)*(BallastFactorTable[Fixture Sub-category]=L216),0))</f>
        <v>#N/A</v>
      </c>
      <c r="BC216" s="133" t="e" cm="1">
        <f t="array" ref="BC216">INDEX(BallastFactorTable[Industrial BPA Reference Number],MATCH(1,(BallastFactorTable[Fixture Class]=J216)*(BallastFactorTable[Fixture Category]=K216)*(BallastFactorTable[Fixture Sub-category]=L216),0))</f>
        <v>#N/A</v>
      </c>
      <c r="BD216" s="264" t="str">
        <f t="shared" si="100"/>
        <v>Sector is blank</v>
      </c>
      <c r="BE216" s="269" t="str">
        <f>IF(ISBLANK(SectorField),"Sector is blank",IF(AM216="Row Not Used","",IF(OR(R216="No Controls",ISBLANK(R216)),"",INDEX(ControlsBPARefNoTable[Reference Number],MATCH(SectorField,ControlsBPARefNoTable[Sector],0)))))</f>
        <v>Sector is blank</v>
      </c>
      <c r="BF216" s="530" t="str">
        <f t="shared" si="101"/>
        <v/>
      </c>
      <c r="BG216" s="132" t="str">
        <f t="shared" si="102"/>
        <v/>
      </c>
      <c r="BH216" s="531" t="str">
        <f t="shared" si="103"/>
        <v/>
      </c>
      <c r="BI216" s="532"/>
      <c r="BJ216" s="538" t="str">
        <f t="shared" si="109"/>
        <v/>
      </c>
      <c r="BK216" s="539" t="str">
        <f t="shared" si="110"/>
        <v/>
      </c>
      <c r="BL216" s="547" t="str">
        <f t="shared" si="111"/>
        <v/>
      </c>
    </row>
    <row r="217" spans="1:64" x14ac:dyDescent="0.3">
      <c r="A217" s="133">
        <v>210</v>
      </c>
      <c r="B217" s="294"/>
      <c r="C217" s="313"/>
      <c r="D217" s="292"/>
      <c r="E217" s="284"/>
      <c r="F217" s="284"/>
      <c r="G217" s="295"/>
      <c r="H217" s="296"/>
      <c r="I217" s="297"/>
      <c r="J217" s="292"/>
      <c r="K217" s="284"/>
      <c r="L217" s="284"/>
      <c r="M217" s="295"/>
      <c r="N217" s="296"/>
      <c r="O217" s="296"/>
      <c r="P217" s="284"/>
      <c r="Q217" s="298"/>
      <c r="R217" s="292"/>
      <c r="S217" s="299"/>
      <c r="T217" s="300"/>
      <c r="U217" s="317" t="str">
        <f t="shared" si="85"/>
        <v/>
      </c>
      <c r="V217" s="301"/>
      <c r="W217" s="136" t="str">
        <f t="shared" si="86"/>
        <v/>
      </c>
      <c r="X217" s="588" t="str">
        <f t="shared" si="104"/>
        <v/>
      </c>
      <c r="Y217" s="580"/>
      <c r="Z217" s="251" t="str">
        <f t="shared" si="87"/>
        <v/>
      </c>
      <c r="AA217" s="138" t="str">
        <f t="shared" si="112"/>
        <v/>
      </c>
      <c r="AB217" s="243" t="str">
        <f t="shared" si="105"/>
        <v/>
      </c>
      <c r="AC217" s="141" t="str">
        <f t="shared" si="88"/>
        <v/>
      </c>
      <c r="AD217" s="138" t="str">
        <f t="shared" si="106"/>
        <v/>
      </c>
      <c r="AE217" s="243" t="str">
        <f t="shared" si="89"/>
        <v/>
      </c>
      <c r="AF217" s="342" t="str">
        <f>IF(AM217="Row Not Used","",INDEX(SpaceTable[Annual Hours],(MATCH(B217,SpaceTable[Space Name Concatenated Helper],0))))</f>
        <v/>
      </c>
      <c r="AG217" s="205" t="str">
        <f t="shared" si="90"/>
        <v/>
      </c>
      <c r="AH217" s="234" t="str">
        <f t="shared" si="91"/>
        <v/>
      </c>
      <c r="AI217" s="205" t="str">
        <f t="shared" si="92"/>
        <v/>
      </c>
      <c r="AJ217" s="234" t="str">
        <f t="shared" si="93"/>
        <v/>
      </c>
      <c r="AK217" s="144" t="str">
        <f>IF(AM217="Row Not Used","",INDEX(SpaceTable[Row],(MATCH(B217,SpaceTable[Space Name Concatenated Helper],0))))</f>
        <v/>
      </c>
      <c r="AL217" s="238" t="str">
        <f>IF(AM217="Row Not Used","",INDEX(SpaceTable[HVAC Factor],(MATCH(B217,SpaceTable[Space Name Concatenated Helper],0))))</f>
        <v/>
      </c>
      <c r="AM217" s="520" t="str">
        <f t="shared" si="94"/>
        <v>Row Not Used</v>
      </c>
      <c r="AN217" s="512" t="e" cm="1">
        <f t="array" ref="AN217">INDEX(BallastFactorTable[Ballast Factor],MATCH(1,(BallastFactorTable[Fixture Class]=D217)*(BallastFactorTable[Fixture Category]=E217)*(BallastFactorTable[Fixture Sub-category]=F217),0))</f>
        <v>#N/A</v>
      </c>
      <c r="AO217" s="143" t="str">
        <f t="shared" si="107"/>
        <v/>
      </c>
      <c r="AP217" s="501" t="e" cm="1">
        <f t="array" ref="AP217">INDEX(BallastFactorTable[Wattage Range Name],MATCH(1,(BallastFactorTable[Fixture Class]=D217)*(BallastFactorTable[Fixture Category]=E217)*(BallastFactorTable[Fixture Sub-category]=F217),0))</f>
        <v>#N/A</v>
      </c>
      <c r="AQ217" s="515" t="str">
        <f t="shared" ca="1" si="95"/>
        <v>Okay</v>
      </c>
      <c r="AR217" s="512">
        <f t="shared" si="96"/>
        <v>0</v>
      </c>
      <c r="AS217" s="511" t="str">
        <f>IF(OR(Measures!AM217="Row Not Used",Measures!C217="Controls Only",Measures!C217="Decommissioning"),"",_xlfn.CONCAT(P217," ",Q217))</f>
        <v/>
      </c>
      <c r="AT217" s="264" t="str">
        <f t="shared" si="97"/>
        <v>None</v>
      </c>
      <c r="AU217" s="229">
        <f>IF(OR(AM217="Row Not Used",AM217="Controls Only"),0,INDEX(IncentiveRateTable[Incentive Rate],MATCH(AT217,IncentiveRateTable[Incentive Name],0)))</f>
        <v>0</v>
      </c>
      <c r="AV217" s="133" t="str">
        <f>IF(OR(AM217="Row Not Used",AM217="Controls Only"),"None",INDEX(IncentiveRateTable[Incentive Unit],MATCH(AT217,IncentiveRateTable[Incentive Name],0)))</f>
        <v>None</v>
      </c>
      <c r="AW217" s="578">
        <f t="shared" si="108"/>
        <v>0</v>
      </c>
      <c r="AX217" s="264" t="str">
        <f t="shared" si="98"/>
        <v>None</v>
      </c>
      <c r="AY217" s="229">
        <f>IF(OR(AM217="Row Not Used",AM217="Fixtures Only",AM217="Decommissioning"),0,INDEX(IncentiveRateTable[Incentive Rate],MATCH(AX217,IncentiveRateTable[Incentive Name],0)))</f>
        <v>0</v>
      </c>
      <c r="AZ217" s="133" t="str">
        <f>IF(OR(AM217="Row Not Used",AM217="Fixtures Only",AM217="Decommissioning"),"None",INDEX(IncentiveRateTable[Incentive Unit],MATCH(AX217,IncentiveRateTable[Incentive Name],0)))</f>
        <v>None</v>
      </c>
      <c r="BA217" s="465">
        <f t="shared" si="99"/>
        <v>0</v>
      </c>
      <c r="BB217" s="264" t="e" cm="1">
        <f t="array" ref="BB217">INDEX(BallastFactorTable[Commercial BPA Reference Number],MATCH(1,(BallastFactorTable[Fixture Class]=J217)*(BallastFactorTable[Fixture Category]=K217)*(BallastFactorTable[Fixture Sub-category]=L217),0))</f>
        <v>#N/A</v>
      </c>
      <c r="BC217" s="133" t="e" cm="1">
        <f t="array" ref="BC217">INDEX(BallastFactorTable[Industrial BPA Reference Number],MATCH(1,(BallastFactorTable[Fixture Class]=J217)*(BallastFactorTable[Fixture Category]=K217)*(BallastFactorTable[Fixture Sub-category]=L217),0))</f>
        <v>#N/A</v>
      </c>
      <c r="BD217" s="264" t="str">
        <f t="shared" si="100"/>
        <v>Sector is blank</v>
      </c>
      <c r="BE217" s="269" t="str">
        <f>IF(ISBLANK(SectorField),"Sector is blank",IF(AM217="Row Not Used","",IF(OR(R217="No Controls",ISBLANK(R217)),"",INDEX(ControlsBPARefNoTable[Reference Number],MATCH(SectorField,ControlsBPARefNoTable[Sector],0)))))</f>
        <v>Sector is blank</v>
      </c>
      <c r="BF217" s="530" t="str">
        <f t="shared" si="101"/>
        <v/>
      </c>
      <c r="BG217" s="132" t="str">
        <f t="shared" si="102"/>
        <v/>
      </c>
      <c r="BH217" s="531" t="str">
        <f t="shared" si="103"/>
        <v/>
      </c>
      <c r="BI217" s="532"/>
      <c r="BJ217" s="538" t="str">
        <f t="shared" si="109"/>
        <v/>
      </c>
      <c r="BK217" s="539" t="str">
        <f t="shared" si="110"/>
        <v/>
      </c>
      <c r="BL217" s="547" t="str">
        <f t="shared" si="111"/>
        <v/>
      </c>
    </row>
    <row r="218" spans="1:64" x14ac:dyDescent="0.3">
      <c r="A218" s="133">
        <v>211</v>
      </c>
      <c r="B218" s="294"/>
      <c r="C218" s="313"/>
      <c r="D218" s="292"/>
      <c r="E218" s="284"/>
      <c r="F218" s="284"/>
      <c r="G218" s="295"/>
      <c r="H218" s="296"/>
      <c r="I218" s="297"/>
      <c r="J218" s="292"/>
      <c r="K218" s="284"/>
      <c r="L218" s="284"/>
      <c r="M218" s="295"/>
      <c r="N218" s="296"/>
      <c r="O218" s="296"/>
      <c r="P218" s="284"/>
      <c r="Q218" s="298"/>
      <c r="R218" s="292"/>
      <c r="S218" s="299"/>
      <c r="T218" s="300"/>
      <c r="U218" s="317" t="str">
        <f t="shared" si="85"/>
        <v/>
      </c>
      <c r="V218" s="301"/>
      <c r="W218" s="137" t="str">
        <f t="shared" si="86"/>
        <v/>
      </c>
      <c r="X218" s="589" t="str">
        <f t="shared" si="104"/>
        <v/>
      </c>
      <c r="Y218" s="581"/>
      <c r="Z218" s="251" t="str">
        <f t="shared" si="87"/>
        <v/>
      </c>
      <c r="AA218" s="138" t="str">
        <f t="shared" si="112"/>
        <v/>
      </c>
      <c r="AB218" s="243" t="str">
        <f t="shared" si="105"/>
        <v/>
      </c>
      <c r="AC218" s="141" t="str">
        <f t="shared" si="88"/>
        <v/>
      </c>
      <c r="AD218" s="138" t="str">
        <f t="shared" si="106"/>
        <v/>
      </c>
      <c r="AE218" s="243" t="str">
        <f t="shared" si="89"/>
        <v/>
      </c>
      <c r="AF218" s="342" t="str">
        <f>IF(AM218="Row Not Used","",INDEX(SpaceTable[Annual Hours],(MATCH(B218,SpaceTable[Space Name Concatenated Helper],0))))</f>
        <v/>
      </c>
      <c r="AG218" s="205" t="str">
        <f t="shared" si="90"/>
        <v/>
      </c>
      <c r="AH218" s="234" t="str">
        <f t="shared" si="91"/>
        <v/>
      </c>
      <c r="AI218" s="205" t="str">
        <f t="shared" si="92"/>
        <v/>
      </c>
      <c r="AJ218" s="234" t="str">
        <f t="shared" si="93"/>
        <v/>
      </c>
      <c r="AK218" s="144" t="str">
        <f>IF(AM218="Row Not Used","",INDEX(SpaceTable[Row],(MATCH(B218,SpaceTable[Space Name Concatenated Helper],0))))</f>
        <v/>
      </c>
      <c r="AL218" s="238" t="str">
        <f>IF(AM218="Row Not Used","",INDEX(SpaceTable[HVAC Factor],(MATCH(B218,SpaceTable[Space Name Concatenated Helper],0))))</f>
        <v/>
      </c>
      <c r="AM218" s="520" t="str">
        <f t="shared" si="94"/>
        <v>Row Not Used</v>
      </c>
      <c r="AN218" s="512" t="e" cm="1">
        <f t="array" ref="AN218">INDEX(BallastFactorTable[Ballast Factor],MATCH(1,(BallastFactorTable[Fixture Class]=D218)*(BallastFactorTable[Fixture Category]=E218)*(BallastFactorTable[Fixture Sub-category]=F218),0))</f>
        <v>#N/A</v>
      </c>
      <c r="AO218" s="143" t="str">
        <f t="shared" si="107"/>
        <v/>
      </c>
      <c r="AP218" s="501" t="e" cm="1">
        <f t="array" ref="AP218">INDEX(BallastFactorTable[Wattage Range Name],MATCH(1,(BallastFactorTable[Fixture Class]=D218)*(BallastFactorTable[Fixture Category]=E218)*(BallastFactorTable[Fixture Sub-category]=F218),0))</f>
        <v>#N/A</v>
      </c>
      <c r="AQ218" s="515" t="str">
        <f t="shared" ca="1" si="95"/>
        <v>Okay</v>
      </c>
      <c r="AR218" s="512">
        <f t="shared" si="96"/>
        <v>0</v>
      </c>
      <c r="AS218" s="511" t="str">
        <f>IF(OR(Measures!AM218="Row Not Used",Measures!C218="Controls Only",Measures!C218="Decommissioning"),"",_xlfn.CONCAT(P218," ",Q218))</f>
        <v/>
      </c>
      <c r="AT218" s="264" t="str">
        <f t="shared" si="97"/>
        <v>None</v>
      </c>
      <c r="AU218" s="229">
        <f>IF(OR(AM218="Row Not Used",AM218="Controls Only"),0,INDEX(IncentiveRateTable[Incentive Rate],MATCH(AT218,IncentiveRateTable[Incentive Name],0)))</f>
        <v>0</v>
      </c>
      <c r="AV218" s="133" t="str">
        <f>IF(OR(AM218="Row Not Used",AM218="Controls Only"),"None",INDEX(IncentiveRateTable[Incentive Unit],MATCH(AT218,IncentiveRateTable[Incentive Name],0)))</f>
        <v>None</v>
      </c>
      <c r="AW218" s="578">
        <f t="shared" si="108"/>
        <v>0</v>
      </c>
      <c r="AX218" s="264" t="str">
        <f t="shared" si="98"/>
        <v>None</v>
      </c>
      <c r="AY218" s="229">
        <f>IF(OR(AM218="Row Not Used",AM218="Fixtures Only",AM218="Decommissioning"),0,INDEX(IncentiveRateTable[Incentive Rate],MATCH(AX218,IncentiveRateTable[Incentive Name],0)))</f>
        <v>0</v>
      </c>
      <c r="AZ218" s="133" t="str">
        <f>IF(OR(AM218="Row Not Used",AM218="Fixtures Only",AM218="Decommissioning"),"None",INDEX(IncentiveRateTable[Incentive Unit],MATCH(AX218,IncentiveRateTable[Incentive Name],0)))</f>
        <v>None</v>
      </c>
      <c r="BA218" s="465">
        <f t="shared" si="99"/>
        <v>0</v>
      </c>
      <c r="BB218" s="264" t="e" cm="1">
        <f t="array" ref="BB218">INDEX(BallastFactorTable[Commercial BPA Reference Number],MATCH(1,(BallastFactorTable[Fixture Class]=J218)*(BallastFactorTable[Fixture Category]=K218)*(BallastFactorTable[Fixture Sub-category]=L218),0))</f>
        <v>#N/A</v>
      </c>
      <c r="BC218" s="133" t="e" cm="1">
        <f t="array" ref="BC218">INDEX(BallastFactorTable[Industrial BPA Reference Number],MATCH(1,(BallastFactorTable[Fixture Class]=J218)*(BallastFactorTable[Fixture Category]=K218)*(BallastFactorTable[Fixture Sub-category]=L218),0))</f>
        <v>#N/A</v>
      </c>
      <c r="BD218" s="264" t="str">
        <f t="shared" si="100"/>
        <v>Sector is blank</v>
      </c>
      <c r="BE218" s="269" t="str">
        <f>IF(ISBLANK(SectorField),"Sector is blank",IF(AM218="Row Not Used","",IF(OR(R218="No Controls",ISBLANK(R218)),"",INDEX(ControlsBPARefNoTable[Reference Number],MATCH(SectorField,ControlsBPARefNoTable[Sector],0)))))</f>
        <v>Sector is blank</v>
      </c>
      <c r="BF218" s="530" t="str">
        <f t="shared" si="101"/>
        <v/>
      </c>
      <c r="BG218" s="132" t="str">
        <f t="shared" si="102"/>
        <v/>
      </c>
      <c r="BH218" s="531" t="str">
        <f t="shared" si="103"/>
        <v/>
      </c>
      <c r="BI218" s="532"/>
      <c r="BJ218" s="538" t="str">
        <f t="shared" si="109"/>
        <v/>
      </c>
      <c r="BK218" s="539" t="str">
        <f t="shared" si="110"/>
        <v/>
      </c>
      <c r="BL218" s="547" t="str">
        <f t="shared" si="111"/>
        <v/>
      </c>
    </row>
    <row r="219" spans="1:64" x14ac:dyDescent="0.3">
      <c r="A219" s="133">
        <v>212</v>
      </c>
      <c r="B219" s="294"/>
      <c r="C219" s="313"/>
      <c r="D219" s="292"/>
      <c r="E219" s="284"/>
      <c r="F219" s="284"/>
      <c r="G219" s="295"/>
      <c r="H219" s="296"/>
      <c r="I219" s="297"/>
      <c r="J219" s="292"/>
      <c r="K219" s="284"/>
      <c r="L219" s="284"/>
      <c r="M219" s="295"/>
      <c r="N219" s="296"/>
      <c r="O219" s="296"/>
      <c r="P219" s="284"/>
      <c r="Q219" s="298"/>
      <c r="R219" s="292"/>
      <c r="S219" s="299"/>
      <c r="T219" s="300"/>
      <c r="U219" s="317" t="str">
        <f t="shared" si="85"/>
        <v/>
      </c>
      <c r="V219" s="301"/>
      <c r="W219" s="136" t="str">
        <f t="shared" si="86"/>
        <v/>
      </c>
      <c r="X219" s="588" t="str">
        <f t="shared" si="104"/>
        <v/>
      </c>
      <c r="Y219" s="580"/>
      <c r="Z219" s="251" t="str">
        <f t="shared" si="87"/>
        <v/>
      </c>
      <c r="AA219" s="138" t="str">
        <f t="shared" si="112"/>
        <v/>
      </c>
      <c r="AB219" s="243" t="str">
        <f t="shared" si="105"/>
        <v/>
      </c>
      <c r="AC219" s="141" t="str">
        <f t="shared" si="88"/>
        <v/>
      </c>
      <c r="AD219" s="138" t="str">
        <f t="shared" si="106"/>
        <v/>
      </c>
      <c r="AE219" s="243" t="str">
        <f t="shared" si="89"/>
        <v/>
      </c>
      <c r="AF219" s="342" t="str">
        <f>IF(AM219="Row Not Used","",INDEX(SpaceTable[Annual Hours],(MATCH(B219,SpaceTable[Space Name Concatenated Helper],0))))</f>
        <v/>
      </c>
      <c r="AG219" s="205" t="str">
        <f t="shared" si="90"/>
        <v/>
      </c>
      <c r="AH219" s="234" t="str">
        <f t="shared" si="91"/>
        <v/>
      </c>
      <c r="AI219" s="205" t="str">
        <f t="shared" si="92"/>
        <v/>
      </c>
      <c r="AJ219" s="234" t="str">
        <f t="shared" si="93"/>
        <v/>
      </c>
      <c r="AK219" s="144" t="str">
        <f>IF(AM219="Row Not Used","",INDEX(SpaceTable[Row],(MATCH(B219,SpaceTable[Space Name Concatenated Helper],0))))</f>
        <v/>
      </c>
      <c r="AL219" s="238" t="str">
        <f>IF(AM219="Row Not Used","",INDEX(SpaceTable[HVAC Factor],(MATCH(B219,SpaceTable[Space Name Concatenated Helper],0))))</f>
        <v/>
      </c>
      <c r="AM219" s="520" t="str">
        <f t="shared" si="94"/>
        <v>Row Not Used</v>
      </c>
      <c r="AN219" s="512" t="e" cm="1">
        <f t="array" ref="AN219">INDEX(BallastFactorTable[Ballast Factor],MATCH(1,(BallastFactorTable[Fixture Class]=D219)*(BallastFactorTable[Fixture Category]=E219)*(BallastFactorTable[Fixture Sub-category]=F219),0))</f>
        <v>#N/A</v>
      </c>
      <c r="AO219" s="143" t="str">
        <f t="shared" si="107"/>
        <v/>
      </c>
      <c r="AP219" s="501" t="e" cm="1">
        <f t="array" ref="AP219">INDEX(BallastFactorTable[Wattage Range Name],MATCH(1,(BallastFactorTable[Fixture Class]=D219)*(BallastFactorTable[Fixture Category]=E219)*(BallastFactorTable[Fixture Sub-category]=F219),0))</f>
        <v>#N/A</v>
      </c>
      <c r="AQ219" s="515" t="str">
        <f t="shared" ca="1" si="95"/>
        <v>Okay</v>
      </c>
      <c r="AR219" s="512">
        <f t="shared" si="96"/>
        <v>0</v>
      </c>
      <c r="AS219" s="511" t="str">
        <f>IF(OR(Measures!AM219="Row Not Used",Measures!C219="Controls Only",Measures!C219="Decommissioning"),"",_xlfn.CONCAT(P219," ",Q219))</f>
        <v/>
      </c>
      <c r="AT219" s="264" t="str">
        <f t="shared" si="97"/>
        <v>None</v>
      </c>
      <c r="AU219" s="229">
        <f>IF(OR(AM219="Row Not Used",AM219="Controls Only"),0,INDEX(IncentiveRateTable[Incentive Rate],MATCH(AT219,IncentiveRateTable[Incentive Name],0)))</f>
        <v>0</v>
      </c>
      <c r="AV219" s="133" t="str">
        <f>IF(OR(AM219="Row Not Used",AM219="Controls Only"),"None",INDEX(IncentiveRateTable[Incentive Unit],MATCH(AT219,IncentiveRateTable[Incentive Name],0)))</f>
        <v>None</v>
      </c>
      <c r="AW219" s="578">
        <f t="shared" si="108"/>
        <v>0</v>
      </c>
      <c r="AX219" s="264" t="str">
        <f t="shared" si="98"/>
        <v>None</v>
      </c>
      <c r="AY219" s="229">
        <f>IF(OR(AM219="Row Not Used",AM219="Fixtures Only",AM219="Decommissioning"),0,INDEX(IncentiveRateTable[Incentive Rate],MATCH(AX219,IncentiveRateTable[Incentive Name],0)))</f>
        <v>0</v>
      </c>
      <c r="AZ219" s="133" t="str">
        <f>IF(OR(AM219="Row Not Used",AM219="Fixtures Only",AM219="Decommissioning"),"None",INDEX(IncentiveRateTable[Incentive Unit],MATCH(AX219,IncentiveRateTable[Incentive Name],0)))</f>
        <v>None</v>
      </c>
      <c r="BA219" s="465">
        <f t="shared" si="99"/>
        <v>0</v>
      </c>
      <c r="BB219" s="264" t="e" cm="1">
        <f t="array" ref="BB219">INDEX(BallastFactorTable[Commercial BPA Reference Number],MATCH(1,(BallastFactorTable[Fixture Class]=J219)*(BallastFactorTable[Fixture Category]=K219)*(BallastFactorTable[Fixture Sub-category]=L219),0))</f>
        <v>#N/A</v>
      </c>
      <c r="BC219" s="133" t="e" cm="1">
        <f t="array" ref="BC219">INDEX(BallastFactorTable[Industrial BPA Reference Number],MATCH(1,(BallastFactorTable[Fixture Class]=J219)*(BallastFactorTable[Fixture Category]=K219)*(BallastFactorTable[Fixture Sub-category]=L219),0))</f>
        <v>#N/A</v>
      </c>
      <c r="BD219" s="264" t="str">
        <f t="shared" si="100"/>
        <v>Sector is blank</v>
      </c>
      <c r="BE219" s="269" t="str">
        <f>IF(ISBLANK(SectorField),"Sector is blank",IF(AM219="Row Not Used","",IF(OR(R219="No Controls",ISBLANK(R219)),"",INDEX(ControlsBPARefNoTable[Reference Number],MATCH(SectorField,ControlsBPARefNoTable[Sector],0)))))</f>
        <v>Sector is blank</v>
      </c>
      <c r="BF219" s="530" t="str">
        <f t="shared" si="101"/>
        <v/>
      </c>
      <c r="BG219" s="132" t="str">
        <f t="shared" si="102"/>
        <v/>
      </c>
      <c r="BH219" s="531" t="str">
        <f t="shared" si="103"/>
        <v/>
      </c>
      <c r="BI219" s="532"/>
      <c r="BJ219" s="538" t="str">
        <f t="shared" si="109"/>
        <v/>
      </c>
      <c r="BK219" s="539" t="str">
        <f t="shared" si="110"/>
        <v/>
      </c>
      <c r="BL219" s="547" t="str">
        <f t="shared" si="111"/>
        <v/>
      </c>
    </row>
    <row r="220" spans="1:64" x14ac:dyDescent="0.3">
      <c r="A220" s="133">
        <v>213</v>
      </c>
      <c r="B220" s="294"/>
      <c r="C220" s="313"/>
      <c r="D220" s="292"/>
      <c r="E220" s="284"/>
      <c r="F220" s="284"/>
      <c r="G220" s="295"/>
      <c r="H220" s="296"/>
      <c r="I220" s="297"/>
      <c r="J220" s="292"/>
      <c r="K220" s="284"/>
      <c r="L220" s="284"/>
      <c r="M220" s="295"/>
      <c r="N220" s="296"/>
      <c r="O220" s="296"/>
      <c r="P220" s="284"/>
      <c r="Q220" s="298"/>
      <c r="R220" s="292"/>
      <c r="S220" s="299"/>
      <c r="T220" s="300"/>
      <c r="U220" s="317" t="str">
        <f t="shared" si="85"/>
        <v/>
      </c>
      <c r="V220" s="301"/>
      <c r="W220" s="137" t="str">
        <f t="shared" si="86"/>
        <v/>
      </c>
      <c r="X220" s="589" t="str">
        <f t="shared" si="104"/>
        <v/>
      </c>
      <c r="Y220" s="581"/>
      <c r="Z220" s="251" t="str">
        <f t="shared" si="87"/>
        <v/>
      </c>
      <c r="AA220" s="138" t="str">
        <f t="shared" si="112"/>
        <v/>
      </c>
      <c r="AB220" s="243" t="str">
        <f t="shared" si="105"/>
        <v/>
      </c>
      <c r="AC220" s="141" t="str">
        <f t="shared" si="88"/>
        <v/>
      </c>
      <c r="AD220" s="138" t="str">
        <f t="shared" si="106"/>
        <v/>
      </c>
      <c r="AE220" s="243" t="str">
        <f t="shared" si="89"/>
        <v/>
      </c>
      <c r="AF220" s="342" t="str">
        <f>IF(AM220="Row Not Used","",INDEX(SpaceTable[Annual Hours],(MATCH(B220,SpaceTable[Space Name Concatenated Helper],0))))</f>
        <v/>
      </c>
      <c r="AG220" s="205" t="str">
        <f t="shared" si="90"/>
        <v/>
      </c>
      <c r="AH220" s="234" t="str">
        <f t="shared" si="91"/>
        <v/>
      </c>
      <c r="AI220" s="205" t="str">
        <f t="shared" si="92"/>
        <v/>
      </c>
      <c r="AJ220" s="234" t="str">
        <f t="shared" si="93"/>
        <v/>
      </c>
      <c r="AK220" s="144" t="str">
        <f>IF(AM220="Row Not Used","",INDEX(SpaceTable[Row],(MATCH(B220,SpaceTable[Space Name Concatenated Helper],0))))</f>
        <v/>
      </c>
      <c r="AL220" s="238" t="str">
        <f>IF(AM220="Row Not Used","",INDEX(SpaceTable[HVAC Factor],(MATCH(B220,SpaceTable[Space Name Concatenated Helper],0))))</f>
        <v/>
      </c>
      <c r="AM220" s="520" t="str">
        <f t="shared" si="94"/>
        <v>Row Not Used</v>
      </c>
      <c r="AN220" s="512" t="e" cm="1">
        <f t="array" ref="AN220">INDEX(BallastFactorTable[Ballast Factor],MATCH(1,(BallastFactorTable[Fixture Class]=D220)*(BallastFactorTable[Fixture Category]=E220)*(BallastFactorTable[Fixture Sub-category]=F220),0))</f>
        <v>#N/A</v>
      </c>
      <c r="AO220" s="143" t="str">
        <f t="shared" si="107"/>
        <v/>
      </c>
      <c r="AP220" s="501" t="e" cm="1">
        <f t="array" ref="AP220">INDEX(BallastFactorTable[Wattage Range Name],MATCH(1,(BallastFactorTable[Fixture Class]=D220)*(BallastFactorTable[Fixture Category]=E220)*(BallastFactorTable[Fixture Sub-category]=F220),0))</f>
        <v>#N/A</v>
      </c>
      <c r="AQ220" s="515" t="str">
        <f t="shared" ca="1" si="95"/>
        <v>Okay</v>
      </c>
      <c r="AR220" s="512">
        <f t="shared" si="96"/>
        <v>0</v>
      </c>
      <c r="AS220" s="511" t="str">
        <f>IF(OR(Measures!AM220="Row Not Used",Measures!C220="Controls Only",Measures!C220="Decommissioning"),"",_xlfn.CONCAT(P220," ",Q220))</f>
        <v/>
      </c>
      <c r="AT220" s="264" t="str">
        <f t="shared" si="97"/>
        <v>None</v>
      </c>
      <c r="AU220" s="229">
        <f>IF(OR(AM220="Row Not Used",AM220="Controls Only"),0,INDEX(IncentiveRateTable[Incentive Rate],MATCH(AT220,IncentiveRateTable[Incentive Name],0)))</f>
        <v>0</v>
      </c>
      <c r="AV220" s="133" t="str">
        <f>IF(OR(AM220="Row Not Used",AM220="Controls Only"),"None",INDEX(IncentiveRateTable[Incentive Unit],MATCH(AT220,IncentiveRateTable[Incentive Name],0)))</f>
        <v>None</v>
      </c>
      <c r="AW220" s="578">
        <f t="shared" si="108"/>
        <v>0</v>
      </c>
      <c r="AX220" s="264" t="str">
        <f t="shared" si="98"/>
        <v>None</v>
      </c>
      <c r="AY220" s="229">
        <f>IF(OR(AM220="Row Not Used",AM220="Fixtures Only",AM220="Decommissioning"),0,INDEX(IncentiveRateTable[Incentive Rate],MATCH(AX220,IncentiveRateTable[Incentive Name],0)))</f>
        <v>0</v>
      </c>
      <c r="AZ220" s="133" t="str">
        <f>IF(OR(AM220="Row Not Used",AM220="Fixtures Only",AM220="Decommissioning"),"None",INDEX(IncentiveRateTable[Incentive Unit],MATCH(AX220,IncentiveRateTable[Incentive Name],0)))</f>
        <v>None</v>
      </c>
      <c r="BA220" s="465">
        <f t="shared" si="99"/>
        <v>0</v>
      </c>
      <c r="BB220" s="264" t="e" cm="1">
        <f t="array" ref="BB220">INDEX(BallastFactorTable[Commercial BPA Reference Number],MATCH(1,(BallastFactorTable[Fixture Class]=J220)*(BallastFactorTable[Fixture Category]=K220)*(BallastFactorTable[Fixture Sub-category]=L220),0))</f>
        <v>#N/A</v>
      </c>
      <c r="BC220" s="133" t="e" cm="1">
        <f t="array" ref="BC220">INDEX(BallastFactorTable[Industrial BPA Reference Number],MATCH(1,(BallastFactorTable[Fixture Class]=J220)*(BallastFactorTable[Fixture Category]=K220)*(BallastFactorTable[Fixture Sub-category]=L220),0))</f>
        <v>#N/A</v>
      </c>
      <c r="BD220" s="264" t="str">
        <f t="shared" si="100"/>
        <v>Sector is blank</v>
      </c>
      <c r="BE220" s="269" t="str">
        <f>IF(ISBLANK(SectorField),"Sector is blank",IF(AM220="Row Not Used","",IF(OR(R220="No Controls",ISBLANK(R220)),"",INDEX(ControlsBPARefNoTable[Reference Number],MATCH(SectorField,ControlsBPARefNoTable[Sector],0)))))</f>
        <v>Sector is blank</v>
      </c>
      <c r="BF220" s="530" t="str">
        <f t="shared" si="101"/>
        <v/>
      </c>
      <c r="BG220" s="132" t="str">
        <f t="shared" si="102"/>
        <v/>
      </c>
      <c r="BH220" s="531" t="str">
        <f t="shared" si="103"/>
        <v/>
      </c>
      <c r="BI220" s="532"/>
      <c r="BJ220" s="538" t="str">
        <f t="shared" si="109"/>
        <v/>
      </c>
      <c r="BK220" s="539" t="str">
        <f t="shared" si="110"/>
        <v/>
      </c>
      <c r="BL220" s="547" t="str">
        <f t="shared" si="111"/>
        <v/>
      </c>
    </row>
    <row r="221" spans="1:64" x14ac:dyDescent="0.3">
      <c r="A221" s="133">
        <v>214</v>
      </c>
      <c r="B221" s="294"/>
      <c r="C221" s="313"/>
      <c r="D221" s="292"/>
      <c r="E221" s="284"/>
      <c r="F221" s="284"/>
      <c r="G221" s="295"/>
      <c r="H221" s="296"/>
      <c r="I221" s="297"/>
      <c r="J221" s="292"/>
      <c r="K221" s="284"/>
      <c r="L221" s="284"/>
      <c r="M221" s="295"/>
      <c r="N221" s="296"/>
      <c r="O221" s="296"/>
      <c r="P221" s="284"/>
      <c r="Q221" s="298"/>
      <c r="R221" s="292"/>
      <c r="S221" s="299"/>
      <c r="T221" s="300"/>
      <c r="U221" s="317" t="str">
        <f t="shared" si="85"/>
        <v/>
      </c>
      <c r="V221" s="301"/>
      <c r="W221" s="136" t="str">
        <f t="shared" si="86"/>
        <v/>
      </c>
      <c r="X221" s="588" t="str">
        <f t="shared" si="104"/>
        <v/>
      </c>
      <c r="Y221" s="580"/>
      <c r="Z221" s="251" t="str">
        <f t="shared" si="87"/>
        <v/>
      </c>
      <c r="AA221" s="138" t="str">
        <f t="shared" si="112"/>
        <v/>
      </c>
      <c r="AB221" s="243" t="str">
        <f t="shared" si="105"/>
        <v/>
      </c>
      <c r="AC221" s="141" t="str">
        <f t="shared" si="88"/>
        <v/>
      </c>
      <c r="AD221" s="138" t="str">
        <f t="shared" si="106"/>
        <v/>
      </c>
      <c r="AE221" s="243" t="str">
        <f t="shared" si="89"/>
        <v/>
      </c>
      <c r="AF221" s="342" t="str">
        <f>IF(AM221="Row Not Used","",INDEX(SpaceTable[Annual Hours],(MATCH(B221,SpaceTable[Space Name Concatenated Helper],0))))</f>
        <v/>
      </c>
      <c r="AG221" s="205" t="str">
        <f t="shared" si="90"/>
        <v/>
      </c>
      <c r="AH221" s="234" t="str">
        <f t="shared" si="91"/>
        <v/>
      </c>
      <c r="AI221" s="205" t="str">
        <f t="shared" si="92"/>
        <v/>
      </c>
      <c r="AJ221" s="234" t="str">
        <f t="shared" si="93"/>
        <v/>
      </c>
      <c r="AK221" s="144" t="str">
        <f>IF(AM221="Row Not Used","",INDEX(SpaceTable[Row],(MATCH(B221,SpaceTable[Space Name Concatenated Helper],0))))</f>
        <v/>
      </c>
      <c r="AL221" s="238" t="str">
        <f>IF(AM221="Row Not Used","",INDEX(SpaceTable[HVAC Factor],(MATCH(B221,SpaceTable[Space Name Concatenated Helper],0))))</f>
        <v/>
      </c>
      <c r="AM221" s="520" t="str">
        <f t="shared" si="94"/>
        <v>Row Not Used</v>
      </c>
      <c r="AN221" s="512" t="e" cm="1">
        <f t="array" ref="AN221">INDEX(BallastFactorTable[Ballast Factor],MATCH(1,(BallastFactorTable[Fixture Class]=D221)*(BallastFactorTable[Fixture Category]=E221)*(BallastFactorTable[Fixture Sub-category]=F221),0))</f>
        <v>#N/A</v>
      </c>
      <c r="AO221" s="143" t="str">
        <f t="shared" si="107"/>
        <v/>
      </c>
      <c r="AP221" s="501" t="e" cm="1">
        <f t="array" ref="AP221">INDEX(BallastFactorTable[Wattage Range Name],MATCH(1,(BallastFactorTable[Fixture Class]=D221)*(BallastFactorTable[Fixture Category]=E221)*(BallastFactorTable[Fixture Sub-category]=F221),0))</f>
        <v>#N/A</v>
      </c>
      <c r="AQ221" s="515" t="str">
        <f t="shared" ca="1" si="95"/>
        <v>Okay</v>
      </c>
      <c r="AR221" s="512">
        <f t="shared" si="96"/>
        <v>0</v>
      </c>
      <c r="AS221" s="511" t="str">
        <f>IF(OR(Measures!AM221="Row Not Used",Measures!C221="Controls Only",Measures!C221="Decommissioning"),"",_xlfn.CONCAT(P221," ",Q221))</f>
        <v/>
      </c>
      <c r="AT221" s="264" t="str">
        <f t="shared" si="97"/>
        <v>None</v>
      </c>
      <c r="AU221" s="229">
        <f>IF(OR(AM221="Row Not Used",AM221="Controls Only"),0,INDEX(IncentiveRateTable[Incentive Rate],MATCH(AT221,IncentiveRateTable[Incentive Name],0)))</f>
        <v>0</v>
      </c>
      <c r="AV221" s="133" t="str">
        <f>IF(OR(AM221="Row Not Used",AM221="Controls Only"),"None",INDEX(IncentiveRateTable[Incentive Unit],MATCH(AT221,IncentiveRateTable[Incentive Name],0)))</f>
        <v>None</v>
      </c>
      <c r="AW221" s="578">
        <f t="shared" si="108"/>
        <v>0</v>
      </c>
      <c r="AX221" s="264" t="str">
        <f t="shared" si="98"/>
        <v>None</v>
      </c>
      <c r="AY221" s="229">
        <f>IF(OR(AM221="Row Not Used",AM221="Fixtures Only",AM221="Decommissioning"),0,INDEX(IncentiveRateTable[Incentive Rate],MATCH(AX221,IncentiveRateTable[Incentive Name],0)))</f>
        <v>0</v>
      </c>
      <c r="AZ221" s="133" t="str">
        <f>IF(OR(AM221="Row Not Used",AM221="Fixtures Only",AM221="Decommissioning"),"None",INDEX(IncentiveRateTable[Incentive Unit],MATCH(AX221,IncentiveRateTable[Incentive Name],0)))</f>
        <v>None</v>
      </c>
      <c r="BA221" s="465">
        <f t="shared" si="99"/>
        <v>0</v>
      </c>
      <c r="BB221" s="264" t="e" cm="1">
        <f t="array" ref="BB221">INDEX(BallastFactorTable[Commercial BPA Reference Number],MATCH(1,(BallastFactorTable[Fixture Class]=J221)*(BallastFactorTable[Fixture Category]=K221)*(BallastFactorTable[Fixture Sub-category]=L221),0))</f>
        <v>#N/A</v>
      </c>
      <c r="BC221" s="133" t="e" cm="1">
        <f t="array" ref="BC221">INDEX(BallastFactorTable[Industrial BPA Reference Number],MATCH(1,(BallastFactorTable[Fixture Class]=J221)*(BallastFactorTable[Fixture Category]=K221)*(BallastFactorTable[Fixture Sub-category]=L221),0))</f>
        <v>#N/A</v>
      </c>
      <c r="BD221" s="264" t="str">
        <f t="shared" si="100"/>
        <v>Sector is blank</v>
      </c>
      <c r="BE221" s="269" t="str">
        <f>IF(ISBLANK(SectorField),"Sector is blank",IF(AM221="Row Not Used","",IF(OR(R221="No Controls",ISBLANK(R221)),"",INDEX(ControlsBPARefNoTable[Reference Number],MATCH(SectorField,ControlsBPARefNoTable[Sector],0)))))</f>
        <v>Sector is blank</v>
      </c>
      <c r="BF221" s="530" t="str">
        <f t="shared" si="101"/>
        <v/>
      </c>
      <c r="BG221" s="132" t="str">
        <f t="shared" si="102"/>
        <v/>
      </c>
      <c r="BH221" s="531" t="str">
        <f t="shared" si="103"/>
        <v/>
      </c>
      <c r="BI221" s="532"/>
      <c r="BJ221" s="538" t="str">
        <f t="shared" si="109"/>
        <v/>
      </c>
      <c r="BK221" s="539" t="str">
        <f t="shared" si="110"/>
        <v/>
      </c>
      <c r="BL221" s="547" t="str">
        <f t="shared" si="111"/>
        <v/>
      </c>
    </row>
    <row r="222" spans="1:64" x14ac:dyDescent="0.3">
      <c r="A222" s="133">
        <v>215</v>
      </c>
      <c r="B222" s="294"/>
      <c r="C222" s="313"/>
      <c r="D222" s="292"/>
      <c r="E222" s="284"/>
      <c r="F222" s="284"/>
      <c r="G222" s="295"/>
      <c r="H222" s="296"/>
      <c r="I222" s="297"/>
      <c r="J222" s="292"/>
      <c r="K222" s="284"/>
      <c r="L222" s="284"/>
      <c r="M222" s="295"/>
      <c r="N222" s="296"/>
      <c r="O222" s="296"/>
      <c r="P222" s="284"/>
      <c r="Q222" s="298"/>
      <c r="R222" s="292"/>
      <c r="S222" s="299"/>
      <c r="T222" s="300"/>
      <c r="U222" s="317" t="str">
        <f t="shared" si="85"/>
        <v/>
      </c>
      <c r="V222" s="301"/>
      <c r="W222" s="137" t="str">
        <f t="shared" si="86"/>
        <v/>
      </c>
      <c r="X222" s="589" t="str">
        <f t="shared" si="104"/>
        <v/>
      </c>
      <c r="Y222" s="581"/>
      <c r="Z222" s="251" t="str">
        <f t="shared" si="87"/>
        <v/>
      </c>
      <c r="AA222" s="138" t="str">
        <f t="shared" si="112"/>
        <v/>
      </c>
      <c r="AB222" s="243" t="str">
        <f t="shared" si="105"/>
        <v/>
      </c>
      <c r="AC222" s="141" t="str">
        <f t="shared" si="88"/>
        <v/>
      </c>
      <c r="AD222" s="138" t="str">
        <f t="shared" si="106"/>
        <v/>
      </c>
      <c r="AE222" s="243" t="str">
        <f t="shared" si="89"/>
        <v/>
      </c>
      <c r="AF222" s="342" t="str">
        <f>IF(AM222="Row Not Used","",INDEX(SpaceTable[Annual Hours],(MATCH(B222,SpaceTable[Space Name Concatenated Helper],0))))</f>
        <v/>
      </c>
      <c r="AG222" s="205" t="str">
        <f t="shared" si="90"/>
        <v/>
      </c>
      <c r="AH222" s="234" t="str">
        <f t="shared" si="91"/>
        <v/>
      </c>
      <c r="AI222" s="205" t="str">
        <f t="shared" si="92"/>
        <v/>
      </c>
      <c r="AJ222" s="234" t="str">
        <f t="shared" si="93"/>
        <v/>
      </c>
      <c r="AK222" s="144" t="str">
        <f>IF(AM222="Row Not Used","",INDEX(SpaceTable[Row],(MATCH(B222,SpaceTable[Space Name Concatenated Helper],0))))</f>
        <v/>
      </c>
      <c r="AL222" s="238" t="str">
        <f>IF(AM222="Row Not Used","",INDEX(SpaceTable[HVAC Factor],(MATCH(B222,SpaceTable[Space Name Concatenated Helper],0))))</f>
        <v/>
      </c>
      <c r="AM222" s="520" t="str">
        <f t="shared" si="94"/>
        <v>Row Not Used</v>
      </c>
      <c r="AN222" s="512" t="e" cm="1">
        <f t="array" ref="AN222">INDEX(BallastFactorTable[Ballast Factor],MATCH(1,(BallastFactorTable[Fixture Class]=D222)*(BallastFactorTable[Fixture Category]=E222)*(BallastFactorTable[Fixture Sub-category]=F222),0))</f>
        <v>#N/A</v>
      </c>
      <c r="AO222" s="143" t="str">
        <f t="shared" si="107"/>
        <v/>
      </c>
      <c r="AP222" s="501" t="e" cm="1">
        <f t="array" ref="AP222">INDEX(BallastFactorTable[Wattage Range Name],MATCH(1,(BallastFactorTable[Fixture Class]=D222)*(BallastFactorTable[Fixture Category]=E222)*(BallastFactorTable[Fixture Sub-category]=F222),0))</f>
        <v>#N/A</v>
      </c>
      <c r="AQ222" s="515" t="str">
        <f t="shared" ca="1" si="95"/>
        <v>Okay</v>
      </c>
      <c r="AR222" s="512">
        <f t="shared" si="96"/>
        <v>0</v>
      </c>
      <c r="AS222" s="511" t="str">
        <f>IF(OR(Measures!AM222="Row Not Used",Measures!C222="Controls Only",Measures!C222="Decommissioning"),"",_xlfn.CONCAT(P222," ",Q222))</f>
        <v/>
      </c>
      <c r="AT222" s="264" t="str">
        <f t="shared" si="97"/>
        <v>None</v>
      </c>
      <c r="AU222" s="229">
        <f>IF(OR(AM222="Row Not Used",AM222="Controls Only"),0,INDEX(IncentiveRateTable[Incentive Rate],MATCH(AT222,IncentiveRateTable[Incentive Name],0)))</f>
        <v>0</v>
      </c>
      <c r="AV222" s="133" t="str">
        <f>IF(OR(AM222="Row Not Used",AM222="Controls Only"),"None",INDEX(IncentiveRateTable[Incentive Unit],MATCH(AT222,IncentiveRateTable[Incentive Name],0)))</f>
        <v>None</v>
      </c>
      <c r="AW222" s="578">
        <f t="shared" si="108"/>
        <v>0</v>
      </c>
      <c r="AX222" s="264" t="str">
        <f t="shared" si="98"/>
        <v>None</v>
      </c>
      <c r="AY222" s="229">
        <f>IF(OR(AM222="Row Not Used",AM222="Fixtures Only",AM222="Decommissioning"),0,INDEX(IncentiveRateTable[Incentive Rate],MATCH(AX222,IncentiveRateTable[Incentive Name],0)))</f>
        <v>0</v>
      </c>
      <c r="AZ222" s="133" t="str">
        <f>IF(OR(AM222="Row Not Used",AM222="Fixtures Only",AM222="Decommissioning"),"None",INDEX(IncentiveRateTable[Incentive Unit],MATCH(AX222,IncentiveRateTable[Incentive Name],0)))</f>
        <v>None</v>
      </c>
      <c r="BA222" s="465">
        <f t="shared" si="99"/>
        <v>0</v>
      </c>
      <c r="BB222" s="264" t="e" cm="1">
        <f t="array" ref="BB222">INDEX(BallastFactorTable[Commercial BPA Reference Number],MATCH(1,(BallastFactorTable[Fixture Class]=J222)*(BallastFactorTable[Fixture Category]=K222)*(BallastFactorTable[Fixture Sub-category]=L222),0))</f>
        <v>#N/A</v>
      </c>
      <c r="BC222" s="133" t="e" cm="1">
        <f t="array" ref="BC222">INDEX(BallastFactorTable[Industrial BPA Reference Number],MATCH(1,(BallastFactorTable[Fixture Class]=J222)*(BallastFactorTable[Fixture Category]=K222)*(BallastFactorTable[Fixture Sub-category]=L222),0))</f>
        <v>#N/A</v>
      </c>
      <c r="BD222" s="264" t="str">
        <f t="shared" si="100"/>
        <v>Sector is blank</v>
      </c>
      <c r="BE222" s="269" t="str">
        <f>IF(ISBLANK(SectorField),"Sector is blank",IF(AM222="Row Not Used","",IF(OR(R222="No Controls",ISBLANK(R222)),"",INDEX(ControlsBPARefNoTable[Reference Number],MATCH(SectorField,ControlsBPARefNoTable[Sector],0)))))</f>
        <v>Sector is blank</v>
      </c>
      <c r="BF222" s="530" t="str">
        <f t="shared" si="101"/>
        <v/>
      </c>
      <c r="BG222" s="132" t="str">
        <f t="shared" si="102"/>
        <v/>
      </c>
      <c r="BH222" s="531" t="str">
        <f t="shared" si="103"/>
        <v/>
      </c>
      <c r="BI222" s="532"/>
      <c r="BJ222" s="538" t="str">
        <f t="shared" si="109"/>
        <v/>
      </c>
      <c r="BK222" s="539" t="str">
        <f t="shared" si="110"/>
        <v/>
      </c>
      <c r="BL222" s="547" t="str">
        <f t="shared" si="111"/>
        <v/>
      </c>
    </row>
    <row r="223" spans="1:64" x14ac:dyDescent="0.3">
      <c r="A223" s="133">
        <v>216</v>
      </c>
      <c r="B223" s="294"/>
      <c r="C223" s="313"/>
      <c r="D223" s="292"/>
      <c r="E223" s="284"/>
      <c r="F223" s="284"/>
      <c r="G223" s="295"/>
      <c r="H223" s="296"/>
      <c r="I223" s="297"/>
      <c r="J223" s="292"/>
      <c r="K223" s="284"/>
      <c r="L223" s="284"/>
      <c r="M223" s="295"/>
      <c r="N223" s="296"/>
      <c r="O223" s="296"/>
      <c r="P223" s="284"/>
      <c r="Q223" s="298"/>
      <c r="R223" s="292"/>
      <c r="S223" s="299"/>
      <c r="T223" s="300"/>
      <c r="U223" s="317" t="str">
        <f t="shared" si="85"/>
        <v/>
      </c>
      <c r="V223" s="301"/>
      <c r="W223" s="136" t="str">
        <f t="shared" si="86"/>
        <v/>
      </c>
      <c r="X223" s="588" t="str">
        <f t="shared" si="104"/>
        <v/>
      </c>
      <c r="Y223" s="580"/>
      <c r="Z223" s="251" t="str">
        <f t="shared" si="87"/>
        <v/>
      </c>
      <c r="AA223" s="138" t="str">
        <f t="shared" si="112"/>
        <v/>
      </c>
      <c r="AB223" s="243" t="str">
        <f t="shared" si="105"/>
        <v/>
      </c>
      <c r="AC223" s="141" t="str">
        <f t="shared" si="88"/>
        <v/>
      </c>
      <c r="AD223" s="138" t="str">
        <f t="shared" si="106"/>
        <v/>
      </c>
      <c r="AE223" s="243" t="str">
        <f t="shared" si="89"/>
        <v/>
      </c>
      <c r="AF223" s="342" t="str">
        <f>IF(AM223="Row Not Used","",INDEX(SpaceTable[Annual Hours],(MATCH(B223,SpaceTable[Space Name Concatenated Helper],0))))</f>
        <v/>
      </c>
      <c r="AG223" s="205" t="str">
        <f t="shared" si="90"/>
        <v/>
      </c>
      <c r="AH223" s="234" t="str">
        <f t="shared" si="91"/>
        <v/>
      </c>
      <c r="AI223" s="205" t="str">
        <f t="shared" si="92"/>
        <v/>
      </c>
      <c r="AJ223" s="234" t="str">
        <f t="shared" si="93"/>
        <v/>
      </c>
      <c r="AK223" s="144" t="str">
        <f>IF(AM223="Row Not Used","",INDEX(SpaceTable[Row],(MATCH(B223,SpaceTable[Space Name Concatenated Helper],0))))</f>
        <v/>
      </c>
      <c r="AL223" s="238" t="str">
        <f>IF(AM223="Row Not Used","",INDEX(SpaceTable[HVAC Factor],(MATCH(B223,SpaceTable[Space Name Concatenated Helper],0))))</f>
        <v/>
      </c>
      <c r="AM223" s="520" t="str">
        <f t="shared" si="94"/>
        <v>Row Not Used</v>
      </c>
      <c r="AN223" s="512" t="e" cm="1">
        <f t="array" ref="AN223">INDEX(BallastFactorTable[Ballast Factor],MATCH(1,(BallastFactorTable[Fixture Class]=D223)*(BallastFactorTable[Fixture Category]=E223)*(BallastFactorTable[Fixture Sub-category]=F223),0))</f>
        <v>#N/A</v>
      </c>
      <c r="AO223" s="143" t="str">
        <f t="shared" si="107"/>
        <v/>
      </c>
      <c r="AP223" s="501" t="e" cm="1">
        <f t="array" ref="AP223">INDEX(BallastFactorTable[Wattage Range Name],MATCH(1,(BallastFactorTable[Fixture Class]=D223)*(BallastFactorTable[Fixture Category]=E223)*(BallastFactorTable[Fixture Sub-category]=F223),0))</f>
        <v>#N/A</v>
      </c>
      <c r="AQ223" s="515" t="str">
        <f t="shared" ca="1" si="95"/>
        <v>Okay</v>
      </c>
      <c r="AR223" s="512">
        <f t="shared" si="96"/>
        <v>0</v>
      </c>
      <c r="AS223" s="511" t="str">
        <f>IF(OR(Measures!AM223="Row Not Used",Measures!C223="Controls Only",Measures!C223="Decommissioning"),"",_xlfn.CONCAT(P223," ",Q223))</f>
        <v/>
      </c>
      <c r="AT223" s="264" t="str">
        <f t="shared" si="97"/>
        <v>None</v>
      </c>
      <c r="AU223" s="229">
        <f>IF(OR(AM223="Row Not Used",AM223="Controls Only"),0,INDEX(IncentiveRateTable[Incentive Rate],MATCH(AT223,IncentiveRateTable[Incentive Name],0)))</f>
        <v>0</v>
      </c>
      <c r="AV223" s="133" t="str">
        <f>IF(OR(AM223="Row Not Used",AM223="Controls Only"),"None",INDEX(IncentiveRateTable[Incentive Unit],MATCH(AT223,IncentiveRateTable[Incentive Name],0)))</f>
        <v>None</v>
      </c>
      <c r="AW223" s="578">
        <f t="shared" si="108"/>
        <v>0</v>
      </c>
      <c r="AX223" s="264" t="str">
        <f t="shared" si="98"/>
        <v>None</v>
      </c>
      <c r="AY223" s="229">
        <f>IF(OR(AM223="Row Not Used",AM223="Fixtures Only",AM223="Decommissioning"),0,INDEX(IncentiveRateTable[Incentive Rate],MATCH(AX223,IncentiveRateTable[Incentive Name],0)))</f>
        <v>0</v>
      </c>
      <c r="AZ223" s="133" t="str">
        <f>IF(OR(AM223="Row Not Used",AM223="Fixtures Only",AM223="Decommissioning"),"None",INDEX(IncentiveRateTable[Incentive Unit],MATCH(AX223,IncentiveRateTable[Incentive Name],0)))</f>
        <v>None</v>
      </c>
      <c r="BA223" s="465">
        <f t="shared" si="99"/>
        <v>0</v>
      </c>
      <c r="BB223" s="264" t="e" cm="1">
        <f t="array" ref="BB223">INDEX(BallastFactorTable[Commercial BPA Reference Number],MATCH(1,(BallastFactorTable[Fixture Class]=J223)*(BallastFactorTable[Fixture Category]=K223)*(BallastFactorTable[Fixture Sub-category]=L223),0))</f>
        <v>#N/A</v>
      </c>
      <c r="BC223" s="133" t="e" cm="1">
        <f t="array" ref="BC223">INDEX(BallastFactorTable[Industrial BPA Reference Number],MATCH(1,(BallastFactorTable[Fixture Class]=J223)*(BallastFactorTable[Fixture Category]=K223)*(BallastFactorTable[Fixture Sub-category]=L223),0))</f>
        <v>#N/A</v>
      </c>
      <c r="BD223" s="264" t="str">
        <f t="shared" si="100"/>
        <v>Sector is blank</v>
      </c>
      <c r="BE223" s="269" t="str">
        <f>IF(ISBLANK(SectorField),"Sector is blank",IF(AM223="Row Not Used","",IF(OR(R223="No Controls",ISBLANK(R223)),"",INDEX(ControlsBPARefNoTable[Reference Number],MATCH(SectorField,ControlsBPARefNoTable[Sector],0)))))</f>
        <v>Sector is blank</v>
      </c>
      <c r="BF223" s="530" t="str">
        <f t="shared" si="101"/>
        <v/>
      </c>
      <c r="BG223" s="132" t="str">
        <f t="shared" si="102"/>
        <v/>
      </c>
      <c r="BH223" s="531" t="str">
        <f t="shared" si="103"/>
        <v/>
      </c>
      <c r="BI223" s="532"/>
      <c r="BJ223" s="538" t="str">
        <f t="shared" si="109"/>
        <v/>
      </c>
      <c r="BK223" s="539" t="str">
        <f t="shared" si="110"/>
        <v/>
      </c>
      <c r="BL223" s="547" t="str">
        <f t="shared" si="111"/>
        <v/>
      </c>
    </row>
    <row r="224" spans="1:64" x14ac:dyDescent="0.3">
      <c r="A224" s="133">
        <v>217</v>
      </c>
      <c r="B224" s="294"/>
      <c r="C224" s="313"/>
      <c r="D224" s="292"/>
      <c r="E224" s="284"/>
      <c r="F224" s="284"/>
      <c r="G224" s="295"/>
      <c r="H224" s="296"/>
      <c r="I224" s="297"/>
      <c r="J224" s="292"/>
      <c r="K224" s="284"/>
      <c r="L224" s="284"/>
      <c r="M224" s="295"/>
      <c r="N224" s="296"/>
      <c r="O224" s="296"/>
      <c r="P224" s="284"/>
      <c r="Q224" s="298"/>
      <c r="R224" s="292"/>
      <c r="S224" s="299"/>
      <c r="T224" s="300"/>
      <c r="U224" s="317" t="str">
        <f t="shared" si="85"/>
        <v/>
      </c>
      <c r="V224" s="301"/>
      <c r="W224" s="137" t="str">
        <f t="shared" si="86"/>
        <v/>
      </c>
      <c r="X224" s="589" t="str">
        <f t="shared" si="104"/>
        <v/>
      </c>
      <c r="Y224" s="581"/>
      <c r="Z224" s="251" t="str">
        <f t="shared" si="87"/>
        <v/>
      </c>
      <c r="AA224" s="138" t="str">
        <f t="shared" si="112"/>
        <v/>
      </c>
      <c r="AB224" s="243" t="str">
        <f t="shared" si="105"/>
        <v/>
      </c>
      <c r="AC224" s="141" t="str">
        <f t="shared" si="88"/>
        <v/>
      </c>
      <c r="AD224" s="138" t="str">
        <f t="shared" si="106"/>
        <v/>
      </c>
      <c r="AE224" s="243" t="str">
        <f t="shared" si="89"/>
        <v/>
      </c>
      <c r="AF224" s="342" t="str">
        <f>IF(AM224="Row Not Used","",INDEX(SpaceTable[Annual Hours],(MATCH(B224,SpaceTable[Space Name Concatenated Helper],0))))</f>
        <v/>
      </c>
      <c r="AG224" s="205" t="str">
        <f t="shared" si="90"/>
        <v/>
      </c>
      <c r="AH224" s="234" t="str">
        <f t="shared" si="91"/>
        <v/>
      </c>
      <c r="AI224" s="205" t="str">
        <f t="shared" si="92"/>
        <v/>
      </c>
      <c r="AJ224" s="234" t="str">
        <f t="shared" si="93"/>
        <v/>
      </c>
      <c r="AK224" s="144" t="str">
        <f>IF(AM224="Row Not Used","",INDEX(SpaceTable[Row],(MATCH(B224,SpaceTable[Space Name Concatenated Helper],0))))</f>
        <v/>
      </c>
      <c r="AL224" s="238" t="str">
        <f>IF(AM224="Row Not Used","",INDEX(SpaceTable[HVAC Factor],(MATCH(B224,SpaceTable[Space Name Concatenated Helper],0))))</f>
        <v/>
      </c>
      <c r="AM224" s="520" t="str">
        <f t="shared" si="94"/>
        <v>Row Not Used</v>
      </c>
      <c r="AN224" s="512" t="e" cm="1">
        <f t="array" ref="AN224">INDEX(BallastFactorTable[Ballast Factor],MATCH(1,(BallastFactorTable[Fixture Class]=D224)*(BallastFactorTable[Fixture Category]=E224)*(BallastFactorTable[Fixture Sub-category]=F224),0))</f>
        <v>#N/A</v>
      </c>
      <c r="AO224" s="143" t="str">
        <f t="shared" si="107"/>
        <v/>
      </c>
      <c r="AP224" s="501" t="e" cm="1">
        <f t="array" ref="AP224">INDEX(BallastFactorTable[Wattage Range Name],MATCH(1,(BallastFactorTable[Fixture Class]=D224)*(BallastFactorTable[Fixture Category]=E224)*(BallastFactorTable[Fixture Sub-category]=F224),0))</f>
        <v>#N/A</v>
      </c>
      <c r="AQ224" s="515" t="str">
        <f t="shared" ca="1" si="95"/>
        <v>Okay</v>
      </c>
      <c r="AR224" s="512">
        <f t="shared" si="96"/>
        <v>0</v>
      </c>
      <c r="AS224" s="511" t="str">
        <f>IF(OR(Measures!AM224="Row Not Used",Measures!C224="Controls Only",Measures!C224="Decommissioning"),"",_xlfn.CONCAT(P224," ",Q224))</f>
        <v/>
      </c>
      <c r="AT224" s="264" t="str">
        <f t="shared" si="97"/>
        <v>None</v>
      </c>
      <c r="AU224" s="229">
        <f>IF(OR(AM224="Row Not Used",AM224="Controls Only"),0,INDEX(IncentiveRateTable[Incentive Rate],MATCH(AT224,IncentiveRateTable[Incentive Name],0)))</f>
        <v>0</v>
      </c>
      <c r="AV224" s="133" t="str">
        <f>IF(OR(AM224="Row Not Used",AM224="Controls Only"),"None",INDEX(IncentiveRateTable[Incentive Unit],MATCH(AT224,IncentiveRateTable[Incentive Name],0)))</f>
        <v>None</v>
      </c>
      <c r="AW224" s="578">
        <f t="shared" si="108"/>
        <v>0</v>
      </c>
      <c r="AX224" s="264" t="str">
        <f t="shared" si="98"/>
        <v>None</v>
      </c>
      <c r="AY224" s="229">
        <f>IF(OR(AM224="Row Not Used",AM224="Fixtures Only",AM224="Decommissioning"),0,INDEX(IncentiveRateTable[Incentive Rate],MATCH(AX224,IncentiveRateTable[Incentive Name],0)))</f>
        <v>0</v>
      </c>
      <c r="AZ224" s="133" t="str">
        <f>IF(OR(AM224="Row Not Used",AM224="Fixtures Only",AM224="Decommissioning"),"None",INDEX(IncentiveRateTable[Incentive Unit],MATCH(AX224,IncentiveRateTable[Incentive Name],0)))</f>
        <v>None</v>
      </c>
      <c r="BA224" s="465">
        <f t="shared" si="99"/>
        <v>0</v>
      </c>
      <c r="BB224" s="264" t="e" cm="1">
        <f t="array" ref="BB224">INDEX(BallastFactorTable[Commercial BPA Reference Number],MATCH(1,(BallastFactorTable[Fixture Class]=J224)*(BallastFactorTable[Fixture Category]=K224)*(BallastFactorTable[Fixture Sub-category]=L224),0))</f>
        <v>#N/A</v>
      </c>
      <c r="BC224" s="133" t="e" cm="1">
        <f t="array" ref="BC224">INDEX(BallastFactorTable[Industrial BPA Reference Number],MATCH(1,(BallastFactorTable[Fixture Class]=J224)*(BallastFactorTable[Fixture Category]=K224)*(BallastFactorTable[Fixture Sub-category]=L224),0))</f>
        <v>#N/A</v>
      </c>
      <c r="BD224" s="264" t="str">
        <f t="shared" si="100"/>
        <v>Sector is blank</v>
      </c>
      <c r="BE224" s="269" t="str">
        <f>IF(ISBLANK(SectorField),"Sector is blank",IF(AM224="Row Not Used","",IF(OR(R224="No Controls",ISBLANK(R224)),"",INDEX(ControlsBPARefNoTable[Reference Number],MATCH(SectorField,ControlsBPARefNoTable[Sector],0)))))</f>
        <v>Sector is blank</v>
      </c>
      <c r="BF224" s="530" t="str">
        <f t="shared" si="101"/>
        <v/>
      </c>
      <c r="BG224" s="132" t="str">
        <f t="shared" si="102"/>
        <v/>
      </c>
      <c r="BH224" s="531" t="str">
        <f t="shared" si="103"/>
        <v/>
      </c>
      <c r="BI224" s="532"/>
      <c r="BJ224" s="538" t="str">
        <f t="shared" si="109"/>
        <v/>
      </c>
      <c r="BK224" s="539" t="str">
        <f t="shared" si="110"/>
        <v/>
      </c>
      <c r="BL224" s="547" t="str">
        <f t="shared" si="111"/>
        <v/>
      </c>
    </row>
    <row r="225" spans="1:64" x14ac:dyDescent="0.3">
      <c r="A225" s="133">
        <v>218</v>
      </c>
      <c r="B225" s="294"/>
      <c r="C225" s="313"/>
      <c r="D225" s="292"/>
      <c r="E225" s="284"/>
      <c r="F225" s="284"/>
      <c r="G225" s="295"/>
      <c r="H225" s="296"/>
      <c r="I225" s="297"/>
      <c r="J225" s="292"/>
      <c r="K225" s="284"/>
      <c r="L225" s="284"/>
      <c r="M225" s="295"/>
      <c r="N225" s="296"/>
      <c r="O225" s="296"/>
      <c r="P225" s="284"/>
      <c r="Q225" s="298"/>
      <c r="R225" s="292"/>
      <c r="S225" s="299"/>
      <c r="T225" s="300"/>
      <c r="U225" s="317" t="str">
        <f t="shared" si="85"/>
        <v/>
      </c>
      <c r="V225" s="301"/>
      <c r="W225" s="136" t="str">
        <f t="shared" si="86"/>
        <v/>
      </c>
      <c r="X225" s="588" t="str">
        <f t="shared" si="104"/>
        <v/>
      </c>
      <c r="Y225" s="580"/>
      <c r="Z225" s="251" t="str">
        <f t="shared" si="87"/>
        <v/>
      </c>
      <c r="AA225" s="138" t="str">
        <f t="shared" si="112"/>
        <v/>
      </c>
      <c r="AB225" s="243" t="str">
        <f t="shared" si="105"/>
        <v/>
      </c>
      <c r="AC225" s="141" t="str">
        <f t="shared" si="88"/>
        <v/>
      </c>
      <c r="AD225" s="138" t="str">
        <f t="shared" si="106"/>
        <v/>
      </c>
      <c r="AE225" s="243" t="str">
        <f t="shared" si="89"/>
        <v/>
      </c>
      <c r="AF225" s="342" t="str">
        <f>IF(AM225="Row Not Used","",INDEX(SpaceTable[Annual Hours],(MATCH(B225,SpaceTable[Space Name Concatenated Helper],0))))</f>
        <v/>
      </c>
      <c r="AG225" s="205" t="str">
        <f t="shared" si="90"/>
        <v/>
      </c>
      <c r="AH225" s="234" t="str">
        <f t="shared" si="91"/>
        <v/>
      </c>
      <c r="AI225" s="205" t="str">
        <f t="shared" si="92"/>
        <v/>
      </c>
      <c r="AJ225" s="234" t="str">
        <f t="shared" si="93"/>
        <v/>
      </c>
      <c r="AK225" s="144" t="str">
        <f>IF(AM225="Row Not Used","",INDEX(SpaceTable[Row],(MATCH(B225,SpaceTable[Space Name Concatenated Helper],0))))</f>
        <v/>
      </c>
      <c r="AL225" s="238" t="str">
        <f>IF(AM225="Row Not Used","",INDEX(SpaceTable[HVAC Factor],(MATCH(B225,SpaceTable[Space Name Concatenated Helper],0))))</f>
        <v/>
      </c>
      <c r="AM225" s="520" t="str">
        <f t="shared" si="94"/>
        <v>Row Not Used</v>
      </c>
      <c r="AN225" s="512" t="e" cm="1">
        <f t="array" ref="AN225">INDEX(BallastFactorTable[Ballast Factor],MATCH(1,(BallastFactorTable[Fixture Class]=D225)*(BallastFactorTable[Fixture Category]=E225)*(BallastFactorTable[Fixture Sub-category]=F225),0))</f>
        <v>#N/A</v>
      </c>
      <c r="AO225" s="143" t="str">
        <f t="shared" si="107"/>
        <v/>
      </c>
      <c r="AP225" s="501" t="e" cm="1">
        <f t="array" ref="AP225">INDEX(BallastFactorTable[Wattage Range Name],MATCH(1,(BallastFactorTable[Fixture Class]=D225)*(BallastFactorTable[Fixture Category]=E225)*(BallastFactorTable[Fixture Sub-category]=F225),0))</f>
        <v>#N/A</v>
      </c>
      <c r="AQ225" s="515" t="str">
        <f t="shared" ca="1" si="95"/>
        <v>Okay</v>
      </c>
      <c r="AR225" s="512">
        <f t="shared" si="96"/>
        <v>0</v>
      </c>
      <c r="AS225" s="511" t="str">
        <f>IF(OR(Measures!AM225="Row Not Used",Measures!C225="Controls Only",Measures!C225="Decommissioning"),"",_xlfn.CONCAT(P225," ",Q225))</f>
        <v/>
      </c>
      <c r="AT225" s="264" t="str">
        <f t="shared" si="97"/>
        <v>None</v>
      </c>
      <c r="AU225" s="229">
        <f>IF(OR(AM225="Row Not Used",AM225="Controls Only"),0,INDEX(IncentiveRateTable[Incentive Rate],MATCH(AT225,IncentiveRateTable[Incentive Name],0)))</f>
        <v>0</v>
      </c>
      <c r="AV225" s="133" t="str">
        <f>IF(OR(AM225="Row Not Used",AM225="Controls Only"),"None",INDEX(IncentiveRateTable[Incentive Unit],MATCH(AT225,IncentiveRateTable[Incentive Name],0)))</f>
        <v>None</v>
      </c>
      <c r="AW225" s="578">
        <f t="shared" si="108"/>
        <v>0</v>
      </c>
      <c r="AX225" s="264" t="str">
        <f t="shared" si="98"/>
        <v>None</v>
      </c>
      <c r="AY225" s="229">
        <f>IF(OR(AM225="Row Not Used",AM225="Fixtures Only",AM225="Decommissioning"),0,INDEX(IncentiveRateTable[Incentive Rate],MATCH(AX225,IncentiveRateTable[Incentive Name],0)))</f>
        <v>0</v>
      </c>
      <c r="AZ225" s="133" t="str">
        <f>IF(OR(AM225="Row Not Used",AM225="Fixtures Only",AM225="Decommissioning"),"None",INDEX(IncentiveRateTable[Incentive Unit],MATCH(AX225,IncentiveRateTable[Incentive Name],0)))</f>
        <v>None</v>
      </c>
      <c r="BA225" s="465">
        <f t="shared" si="99"/>
        <v>0</v>
      </c>
      <c r="BB225" s="264" t="e" cm="1">
        <f t="array" ref="BB225">INDEX(BallastFactorTable[Commercial BPA Reference Number],MATCH(1,(BallastFactorTable[Fixture Class]=J225)*(BallastFactorTable[Fixture Category]=K225)*(BallastFactorTable[Fixture Sub-category]=L225),0))</f>
        <v>#N/A</v>
      </c>
      <c r="BC225" s="133" t="e" cm="1">
        <f t="array" ref="BC225">INDEX(BallastFactorTable[Industrial BPA Reference Number],MATCH(1,(BallastFactorTable[Fixture Class]=J225)*(BallastFactorTable[Fixture Category]=K225)*(BallastFactorTable[Fixture Sub-category]=L225),0))</f>
        <v>#N/A</v>
      </c>
      <c r="BD225" s="264" t="str">
        <f t="shared" si="100"/>
        <v>Sector is blank</v>
      </c>
      <c r="BE225" s="269" t="str">
        <f>IF(ISBLANK(SectorField),"Sector is blank",IF(AM225="Row Not Used","",IF(OR(R225="No Controls",ISBLANK(R225)),"",INDEX(ControlsBPARefNoTable[Reference Number],MATCH(SectorField,ControlsBPARefNoTable[Sector],0)))))</f>
        <v>Sector is blank</v>
      </c>
      <c r="BF225" s="530" t="str">
        <f t="shared" si="101"/>
        <v/>
      </c>
      <c r="BG225" s="132" t="str">
        <f t="shared" si="102"/>
        <v/>
      </c>
      <c r="BH225" s="531" t="str">
        <f t="shared" si="103"/>
        <v/>
      </c>
      <c r="BI225" s="532"/>
      <c r="BJ225" s="538" t="str">
        <f t="shared" si="109"/>
        <v/>
      </c>
      <c r="BK225" s="539" t="str">
        <f t="shared" si="110"/>
        <v/>
      </c>
      <c r="BL225" s="547" t="str">
        <f t="shared" si="111"/>
        <v/>
      </c>
    </row>
    <row r="226" spans="1:64" x14ac:dyDescent="0.3">
      <c r="A226" s="133">
        <v>219</v>
      </c>
      <c r="B226" s="294"/>
      <c r="C226" s="313"/>
      <c r="D226" s="292"/>
      <c r="E226" s="284"/>
      <c r="F226" s="284"/>
      <c r="G226" s="295"/>
      <c r="H226" s="296"/>
      <c r="I226" s="297"/>
      <c r="J226" s="292"/>
      <c r="K226" s="284"/>
      <c r="L226" s="284"/>
      <c r="M226" s="295"/>
      <c r="N226" s="296"/>
      <c r="O226" s="296"/>
      <c r="P226" s="284"/>
      <c r="Q226" s="298"/>
      <c r="R226" s="292"/>
      <c r="S226" s="299"/>
      <c r="T226" s="300"/>
      <c r="U226" s="317" t="str">
        <f t="shared" si="85"/>
        <v/>
      </c>
      <c r="V226" s="301"/>
      <c r="W226" s="137" t="str">
        <f t="shared" si="86"/>
        <v/>
      </c>
      <c r="X226" s="589" t="str">
        <f t="shared" si="104"/>
        <v/>
      </c>
      <c r="Y226" s="581"/>
      <c r="Z226" s="251" t="str">
        <f t="shared" si="87"/>
        <v/>
      </c>
      <c r="AA226" s="138" t="str">
        <f t="shared" si="112"/>
        <v/>
      </c>
      <c r="AB226" s="243" t="str">
        <f t="shared" si="105"/>
        <v/>
      </c>
      <c r="AC226" s="141" t="str">
        <f t="shared" si="88"/>
        <v/>
      </c>
      <c r="AD226" s="138" t="str">
        <f t="shared" si="106"/>
        <v/>
      </c>
      <c r="AE226" s="243" t="str">
        <f t="shared" si="89"/>
        <v/>
      </c>
      <c r="AF226" s="342" t="str">
        <f>IF(AM226="Row Not Used","",INDEX(SpaceTable[Annual Hours],(MATCH(B226,SpaceTable[Space Name Concatenated Helper],0))))</f>
        <v/>
      </c>
      <c r="AG226" s="205" t="str">
        <f t="shared" si="90"/>
        <v/>
      </c>
      <c r="AH226" s="234" t="str">
        <f t="shared" si="91"/>
        <v/>
      </c>
      <c r="AI226" s="205" t="str">
        <f t="shared" si="92"/>
        <v/>
      </c>
      <c r="AJ226" s="234" t="str">
        <f t="shared" si="93"/>
        <v/>
      </c>
      <c r="AK226" s="144" t="str">
        <f>IF(AM226="Row Not Used","",INDEX(SpaceTable[Row],(MATCH(B226,SpaceTable[Space Name Concatenated Helper],0))))</f>
        <v/>
      </c>
      <c r="AL226" s="238" t="str">
        <f>IF(AM226="Row Not Used","",INDEX(SpaceTable[HVAC Factor],(MATCH(B226,SpaceTable[Space Name Concatenated Helper],0))))</f>
        <v/>
      </c>
      <c r="AM226" s="520" t="str">
        <f t="shared" si="94"/>
        <v>Row Not Used</v>
      </c>
      <c r="AN226" s="512" t="e" cm="1">
        <f t="array" ref="AN226">INDEX(BallastFactorTable[Ballast Factor],MATCH(1,(BallastFactorTable[Fixture Class]=D226)*(BallastFactorTable[Fixture Category]=E226)*(BallastFactorTable[Fixture Sub-category]=F226),0))</f>
        <v>#N/A</v>
      </c>
      <c r="AO226" s="143" t="str">
        <f t="shared" si="107"/>
        <v/>
      </c>
      <c r="AP226" s="501" t="e" cm="1">
        <f t="array" ref="AP226">INDEX(BallastFactorTable[Wattage Range Name],MATCH(1,(BallastFactorTable[Fixture Class]=D226)*(BallastFactorTable[Fixture Category]=E226)*(BallastFactorTable[Fixture Sub-category]=F226),0))</f>
        <v>#N/A</v>
      </c>
      <c r="AQ226" s="515" t="str">
        <f t="shared" ca="1" si="95"/>
        <v>Okay</v>
      </c>
      <c r="AR226" s="512">
        <f t="shared" si="96"/>
        <v>0</v>
      </c>
      <c r="AS226" s="511" t="str">
        <f>IF(OR(Measures!AM226="Row Not Used",Measures!C226="Controls Only",Measures!C226="Decommissioning"),"",_xlfn.CONCAT(P226," ",Q226))</f>
        <v/>
      </c>
      <c r="AT226" s="264" t="str">
        <f t="shared" si="97"/>
        <v>None</v>
      </c>
      <c r="AU226" s="229">
        <f>IF(OR(AM226="Row Not Used",AM226="Controls Only"),0,INDEX(IncentiveRateTable[Incentive Rate],MATCH(AT226,IncentiveRateTable[Incentive Name],0)))</f>
        <v>0</v>
      </c>
      <c r="AV226" s="133" t="str">
        <f>IF(OR(AM226="Row Not Used",AM226="Controls Only"),"None",INDEX(IncentiveRateTable[Incentive Unit],MATCH(AT226,IncentiveRateTable[Incentive Name],0)))</f>
        <v>None</v>
      </c>
      <c r="AW226" s="578">
        <f t="shared" si="108"/>
        <v>0</v>
      </c>
      <c r="AX226" s="264" t="str">
        <f t="shared" si="98"/>
        <v>None</v>
      </c>
      <c r="AY226" s="229">
        <f>IF(OR(AM226="Row Not Used",AM226="Fixtures Only",AM226="Decommissioning"),0,INDEX(IncentiveRateTable[Incentive Rate],MATCH(AX226,IncentiveRateTable[Incentive Name],0)))</f>
        <v>0</v>
      </c>
      <c r="AZ226" s="133" t="str">
        <f>IF(OR(AM226="Row Not Used",AM226="Fixtures Only",AM226="Decommissioning"),"None",INDEX(IncentiveRateTable[Incentive Unit],MATCH(AX226,IncentiveRateTable[Incentive Name],0)))</f>
        <v>None</v>
      </c>
      <c r="BA226" s="465">
        <f t="shared" si="99"/>
        <v>0</v>
      </c>
      <c r="BB226" s="264" t="e" cm="1">
        <f t="array" ref="BB226">INDEX(BallastFactorTable[Commercial BPA Reference Number],MATCH(1,(BallastFactorTable[Fixture Class]=J226)*(BallastFactorTable[Fixture Category]=K226)*(BallastFactorTable[Fixture Sub-category]=L226),0))</f>
        <v>#N/A</v>
      </c>
      <c r="BC226" s="133" t="e" cm="1">
        <f t="array" ref="BC226">INDEX(BallastFactorTable[Industrial BPA Reference Number],MATCH(1,(BallastFactorTable[Fixture Class]=J226)*(BallastFactorTable[Fixture Category]=K226)*(BallastFactorTable[Fixture Sub-category]=L226),0))</f>
        <v>#N/A</v>
      </c>
      <c r="BD226" s="264" t="str">
        <f t="shared" si="100"/>
        <v>Sector is blank</v>
      </c>
      <c r="BE226" s="269" t="str">
        <f>IF(ISBLANK(SectorField),"Sector is blank",IF(AM226="Row Not Used","",IF(OR(R226="No Controls",ISBLANK(R226)),"",INDEX(ControlsBPARefNoTable[Reference Number],MATCH(SectorField,ControlsBPARefNoTable[Sector],0)))))</f>
        <v>Sector is blank</v>
      </c>
      <c r="BF226" s="530" t="str">
        <f t="shared" si="101"/>
        <v/>
      </c>
      <c r="BG226" s="132" t="str">
        <f t="shared" si="102"/>
        <v/>
      </c>
      <c r="BH226" s="531" t="str">
        <f t="shared" si="103"/>
        <v/>
      </c>
      <c r="BI226" s="532"/>
      <c r="BJ226" s="538" t="str">
        <f t="shared" si="109"/>
        <v/>
      </c>
      <c r="BK226" s="539" t="str">
        <f t="shared" si="110"/>
        <v/>
      </c>
      <c r="BL226" s="547" t="str">
        <f t="shared" si="111"/>
        <v/>
      </c>
    </row>
    <row r="227" spans="1:64" x14ac:dyDescent="0.3">
      <c r="A227" s="133">
        <v>220</v>
      </c>
      <c r="B227" s="294"/>
      <c r="C227" s="313"/>
      <c r="D227" s="292"/>
      <c r="E227" s="284"/>
      <c r="F227" s="284"/>
      <c r="G227" s="295"/>
      <c r="H227" s="296"/>
      <c r="I227" s="297"/>
      <c r="J227" s="292"/>
      <c r="K227" s="284"/>
      <c r="L227" s="284"/>
      <c r="M227" s="295"/>
      <c r="N227" s="296"/>
      <c r="O227" s="296"/>
      <c r="P227" s="284"/>
      <c r="Q227" s="298"/>
      <c r="R227" s="292"/>
      <c r="S227" s="299"/>
      <c r="T227" s="300"/>
      <c r="U227" s="317" t="str">
        <f t="shared" si="85"/>
        <v/>
      </c>
      <c r="V227" s="301"/>
      <c r="W227" s="136" t="str">
        <f t="shared" si="86"/>
        <v/>
      </c>
      <c r="X227" s="588" t="str">
        <f t="shared" si="104"/>
        <v/>
      </c>
      <c r="Y227" s="580"/>
      <c r="Z227" s="251" t="str">
        <f t="shared" si="87"/>
        <v/>
      </c>
      <c r="AA227" s="138" t="str">
        <f t="shared" si="112"/>
        <v/>
      </c>
      <c r="AB227" s="243" t="str">
        <f t="shared" si="105"/>
        <v/>
      </c>
      <c r="AC227" s="141" t="str">
        <f t="shared" si="88"/>
        <v/>
      </c>
      <c r="AD227" s="138" t="str">
        <f t="shared" si="106"/>
        <v/>
      </c>
      <c r="AE227" s="243" t="str">
        <f t="shared" si="89"/>
        <v/>
      </c>
      <c r="AF227" s="342" t="str">
        <f>IF(AM227="Row Not Used","",INDEX(SpaceTable[Annual Hours],(MATCH(B227,SpaceTable[Space Name Concatenated Helper],0))))</f>
        <v/>
      </c>
      <c r="AG227" s="205" t="str">
        <f t="shared" si="90"/>
        <v/>
      </c>
      <c r="AH227" s="234" t="str">
        <f t="shared" si="91"/>
        <v/>
      </c>
      <c r="AI227" s="205" t="str">
        <f t="shared" si="92"/>
        <v/>
      </c>
      <c r="AJ227" s="234" t="str">
        <f t="shared" si="93"/>
        <v/>
      </c>
      <c r="AK227" s="144" t="str">
        <f>IF(AM227="Row Not Used","",INDEX(SpaceTable[Row],(MATCH(B227,SpaceTable[Space Name Concatenated Helper],0))))</f>
        <v/>
      </c>
      <c r="AL227" s="238" t="str">
        <f>IF(AM227="Row Not Used","",INDEX(SpaceTable[HVAC Factor],(MATCH(B227,SpaceTable[Space Name Concatenated Helper],0))))</f>
        <v/>
      </c>
      <c r="AM227" s="520" t="str">
        <f t="shared" si="94"/>
        <v>Row Not Used</v>
      </c>
      <c r="AN227" s="512" t="e" cm="1">
        <f t="array" ref="AN227">INDEX(BallastFactorTable[Ballast Factor],MATCH(1,(BallastFactorTable[Fixture Class]=D227)*(BallastFactorTable[Fixture Category]=E227)*(BallastFactorTable[Fixture Sub-category]=F227),0))</f>
        <v>#N/A</v>
      </c>
      <c r="AO227" s="143" t="str">
        <f t="shared" si="107"/>
        <v/>
      </c>
      <c r="AP227" s="501" t="e" cm="1">
        <f t="array" ref="AP227">INDEX(BallastFactorTable[Wattage Range Name],MATCH(1,(BallastFactorTable[Fixture Class]=D227)*(BallastFactorTable[Fixture Category]=E227)*(BallastFactorTable[Fixture Sub-category]=F227),0))</f>
        <v>#N/A</v>
      </c>
      <c r="AQ227" s="515" t="str">
        <f t="shared" ca="1" si="95"/>
        <v>Okay</v>
      </c>
      <c r="AR227" s="512">
        <f t="shared" si="96"/>
        <v>0</v>
      </c>
      <c r="AS227" s="511" t="str">
        <f>IF(OR(Measures!AM227="Row Not Used",Measures!C227="Controls Only",Measures!C227="Decommissioning"),"",_xlfn.CONCAT(P227," ",Q227))</f>
        <v/>
      </c>
      <c r="AT227" s="264" t="str">
        <f t="shared" si="97"/>
        <v>None</v>
      </c>
      <c r="AU227" s="229">
        <f>IF(OR(AM227="Row Not Used",AM227="Controls Only"),0,INDEX(IncentiveRateTable[Incentive Rate],MATCH(AT227,IncentiveRateTable[Incentive Name],0)))</f>
        <v>0</v>
      </c>
      <c r="AV227" s="133" t="str">
        <f>IF(OR(AM227="Row Not Used",AM227="Controls Only"),"None",INDEX(IncentiveRateTable[Incentive Unit],MATCH(AT227,IncentiveRateTable[Incentive Name],0)))</f>
        <v>None</v>
      </c>
      <c r="AW227" s="578">
        <f t="shared" si="108"/>
        <v>0</v>
      </c>
      <c r="AX227" s="264" t="str">
        <f t="shared" si="98"/>
        <v>None</v>
      </c>
      <c r="AY227" s="229">
        <f>IF(OR(AM227="Row Not Used",AM227="Fixtures Only",AM227="Decommissioning"),0,INDEX(IncentiveRateTable[Incentive Rate],MATCH(AX227,IncentiveRateTable[Incentive Name],0)))</f>
        <v>0</v>
      </c>
      <c r="AZ227" s="133" t="str">
        <f>IF(OR(AM227="Row Not Used",AM227="Fixtures Only",AM227="Decommissioning"),"None",INDEX(IncentiveRateTable[Incentive Unit],MATCH(AX227,IncentiveRateTable[Incentive Name],0)))</f>
        <v>None</v>
      </c>
      <c r="BA227" s="465">
        <f t="shared" si="99"/>
        <v>0</v>
      </c>
      <c r="BB227" s="264" t="e" cm="1">
        <f t="array" ref="BB227">INDEX(BallastFactorTable[Commercial BPA Reference Number],MATCH(1,(BallastFactorTable[Fixture Class]=J227)*(BallastFactorTable[Fixture Category]=K227)*(BallastFactorTable[Fixture Sub-category]=L227),0))</f>
        <v>#N/A</v>
      </c>
      <c r="BC227" s="133" t="e" cm="1">
        <f t="array" ref="BC227">INDEX(BallastFactorTable[Industrial BPA Reference Number],MATCH(1,(BallastFactorTable[Fixture Class]=J227)*(BallastFactorTable[Fixture Category]=K227)*(BallastFactorTable[Fixture Sub-category]=L227),0))</f>
        <v>#N/A</v>
      </c>
      <c r="BD227" s="264" t="str">
        <f t="shared" si="100"/>
        <v>Sector is blank</v>
      </c>
      <c r="BE227" s="269" t="str">
        <f>IF(ISBLANK(SectorField),"Sector is blank",IF(AM227="Row Not Used","",IF(OR(R227="No Controls",ISBLANK(R227)),"",INDEX(ControlsBPARefNoTable[Reference Number],MATCH(SectorField,ControlsBPARefNoTable[Sector],0)))))</f>
        <v>Sector is blank</v>
      </c>
      <c r="BF227" s="530" t="str">
        <f t="shared" si="101"/>
        <v/>
      </c>
      <c r="BG227" s="132" t="str">
        <f t="shared" si="102"/>
        <v/>
      </c>
      <c r="BH227" s="531" t="str">
        <f t="shared" si="103"/>
        <v/>
      </c>
      <c r="BI227" s="532"/>
      <c r="BJ227" s="538" t="str">
        <f t="shared" si="109"/>
        <v/>
      </c>
      <c r="BK227" s="539" t="str">
        <f t="shared" si="110"/>
        <v/>
      </c>
      <c r="BL227" s="547" t="str">
        <f t="shared" si="111"/>
        <v/>
      </c>
    </row>
    <row r="228" spans="1:64" x14ac:dyDescent="0.3">
      <c r="A228" s="133">
        <v>221</v>
      </c>
      <c r="B228" s="294"/>
      <c r="C228" s="313"/>
      <c r="D228" s="292"/>
      <c r="E228" s="284"/>
      <c r="F228" s="284"/>
      <c r="G228" s="295"/>
      <c r="H228" s="296"/>
      <c r="I228" s="297"/>
      <c r="J228" s="292"/>
      <c r="K228" s="284"/>
      <c r="L228" s="284"/>
      <c r="M228" s="295"/>
      <c r="N228" s="296"/>
      <c r="O228" s="296"/>
      <c r="P228" s="284"/>
      <c r="Q228" s="298"/>
      <c r="R228" s="292"/>
      <c r="S228" s="299"/>
      <c r="T228" s="300"/>
      <c r="U228" s="317" t="str">
        <f t="shared" si="85"/>
        <v/>
      </c>
      <c r="V228" s="301"/>
      <c r="W228" s="137" t="str">
        <f t="shared" si="86"/>
        <v/>
      </c>
      <c r="X228" s="589" t="str">
        <f t="shared" si="104"/>
        <v/>
      </c>
      <c r="Y228" s="581"/>
      <c r="Z228" s="251" t="str">
        <f t="shared" si="87"/>
        <v/>
      </c>
      <c r="AA228" s="138" t="str">
        <f t="shared" si="112"/>
        <v/>
      </c>
      <c r="AB228" s="243" t="str">
        <f t="shared" si="105"/>
        <v/>
      </c>
      <c r="AC228" s="141" t="str">
        <f t="shared" si="88"/>
        <v/>
      </c>
      <c r="AD228" s="138" t="str">
        <f t="shared" si="106"/>
        <v/>
      </c>
      <c r="AE228" s="243" t="str">
        <f t="shared" si="89"/>
        <v/>
      </c>
      <c r="AF228" s="342" t="str">
        <f>IF(AM228="Row Not Used","",INDEX(SpaceTable[Annual Hours],(MATCH(B228,SpaceTable[Space Name Concatenated Helper],0))))</f>
        <v/>
      </c>
      <c r="AG228" s="205" t="str">
        <f t="shared" si="90"/>
        <v/>
      </c>
      <c r="AH228" s="234" t="str">
        <f t="shared" si="91"/>
        <v/>
      </c>
      <c r="AI228" s="205" t="str">
        <f t="shared" si="92"/>
        <v/>
      </c>
      <c r="AJ228" s="234" t="str">
        <f t="shared" si="93"/>
        <v/>
      </c>
      <c r="AK228" s="144" t="str">
        <f>IF(AM228="Row Not Used","",INDEX(SpaceTable[Row],(MATCH(B228,SpaceTable[Space Name Concatenated Helper],0))))</f>
        <v/>
      </c>
      <c r="AL228" s="238" t="str">
        <f>IF(AM228="Row Not Used","",INDEX(SpaceTable[HVAC Factor],(MATCH(B228,SpaceTable[Space Name Concatenated Helper],0))))</f>
        <v/>
      </c>
      <c r="AM228" s="520" t="str">
        <f t="shared" si="94"/>
        <v>Row Not Used</v>
      </c>
      <c r="AN228" s="512" t="e" cm="1">
        <f t="array" ref="AN228">INDEX(BallastFactorTable[Ballast Factor],MATCH(1,(BallastFactorTable[Fixture Class]=D228)*(BallastFactorTable[Fixture Category]=E228)*(BallastFactorTable[Fixture Sub-category]=F228),0))</f>
        <v>#N/A</v>
      </c>
      <c r="AO228" s="143" t="str">
        <f t="shared" si="107"/>
        <v/>
      </c>
      <c r="AP228" s="501" t="e" cm="1">
        <f t="array" ref="AP228">INDEX(BallastFactorTable[Wattage Range Name],MATCH(1,(BallastFactorTable[Fixture Class]=D228)*(BallastFactorTable[Fixture Category]=E228)*(BallastFactorTable[Fixture Sub-category]=F228),0))</f>
        <v>#N/A</v>
      </c>
      <c r="AQ228" s="515" t="str">
        <f t="shared" ca="1" si="95"/>
        <v>Okay</v>
      </c>
      <c r="AR228" s="512">
        <f t="shared" si="96"/>
        <v>0</v>
      </c>
      <c r="AS228" s="511" t="str">
        <f>IF(OR(Measures!AM228="Row Not Used",Measures!C228="Controls Only",Measures!C228="Decommissioning"),"",_xlfn.CONCAT(P228," ",Q228))</f>
        <v/>
      </c>
      <c r="AT228" s="264" t="str">
        <f t="shared" si="97"/>
        <v>None</v>
      </c>
      <c r="AU228" s="229">
        <f>IF(OR(AM228="Row Not Used",AM228="Controls Only"),0,INDEX(IncentiveRateTable[Incentive Rate],MATCH(AT228,IncentiveRateTable[Incentive Name],0)))</f>
        <v>0</v>
      </c>
      <c r="AV228" s="133" t="str">
        <f>IF(OR(AM228="Row Not Used",AM228="Controls Only"),"None",INDEX(IncentiveRateTable[Incentive Unit],MATCH(AT228,IncentiveRateTable[Incentive Name],0)))</f>
        <v>None</v>
      </c>
      <c r="AW228" s="578">
        <f t="shared" si="108"/>
        <v>0</v>
      </c>
      <c r="AX228" s="264" t="str">
        <f t="shared" si="98"/>
        <v>None</v>
      </c>
      <c r="AY228" s="229">
        <f>IF(OR(AM228="Row Not Used",AM228="Fixtures Only",AM228="Decommissioning"),0,INDEX(IncentiveRateTable[Incentive Rate],MATCH(AX228,IncentiveRateTable[Incentive Name],0)))</f>
        <v>0</v>
      </c>
      <c r="AZ228" s="133" t="str">
        <f>IF(OR(AM228="Row Not Used",AM228="Fixtures Only",AM228="Decommissioning"),"None",INDEX(IncentiveRateTable[Incentive Unit],MATCH(AX228,IncentiveRateTable[Incentive Name],0)))</f>
        <v>None</v>
      </c>
      <c r="BA228" s="465">
        <f t="shared" si="99"/>
        <v>0</v>
      </c>
      <c r="BB228" s="264" t="e" cm="1">
        <f t="array" ref="BB228">INDEX(BallastFactorTable[Commercial BPA Reference Number],MATCH(1,(BallastFactorTable[Fixture Class]=J228)*(BallastFactorTable[Fixture Category]=K228)*(BallastFactorTable[Fixture Sub-category]=L228),0))</f>
        <v>#N/A</v>
      </c>
      <c r="BC228" s="133" t="e" cm="1">
        <f t="array" ref="BC228">INDEX(BallastFactorTable[Industrial BPA Reference Number],MATCH(1,(BallastFactorTable[Fixture Class]=J228)*(BallastFactorTable[Fixture Category]=K228)*(BallastFactorTable[Fixture Sub-category]=L228),0))</f>
        <v>#N/A</v>
      </c>
      <c r="BD228" s="264" t="str">
        <f t="shared" si="100"/>
        <v>Sector is blank</v>
      </c>
      <c r="BE228" s="269" t="str">
        <f>IF(ISBLANK(SectorField),"Sector is blank",IF(AM228="Row Not Used","",IF(OR(R228="No Controls",ISBLANK(R228)),"",INDEX(ControlsBPARefNoTable[Reference Number],MATCH(SectorField,ControlsBPARefNoTable[Sector],0)))))</f>
        <v>Sector is blank</v>
      </c>
      <c r="BF228" s="530" t="str">
        <f t="shared" si="101"/>
        <v/>
      </c>
      <c r="BG228" s="132" t="str">
        <f t="shared" si="102"/>
        <v/>
      </c>
      <c r="BH228" s="531" t="str">
        <f t="shared" si="103"/>
        <v/>
      </c>
      <c r="BI228" s="532"/>
      <c r="BJ228" s="538" t="str">
        <f t="shared" si="109"/>
        <v/>
      </c>
      <c r="BK228" s="539" t="str">
        <f t="shared" si="110"/>
        <v/>
      </c>
      <c r="BL228" s="547" t="str">
        <f t="shared" si="111"/>
        <v/>
      </c>
    </row>
    <row r="229" spans="1:64" x14ac:dyDescent="0.3">
      <c r="A229" s="133">
        <v>222</v>
      </c>
      <c r="B229" s="294"/>
      <c r="C229" s="313"/>
      <c r="D229" s="292"/>
      <c r="E229" s="284"/>
      <c r="F229" s="284"/>
      <c r="G229" s="295"/>
      <c r="H229" s="296"/>
      <c r="I229" s="297"/>
      <c r="J229" s="292"/>
      <c r="K229" s="284"/>
      <c r="L229" s="284"/>
      <c r="M229" s="295"/>
      <c r="N229" s="296"/>
      <c r="O229" s="296"/>
      <c r="P229" s="284"/>
      <c r="Q229" s="298"/>
      <c r="R229" s="292"/>
      <c r="S229" s="299"/>
      <c r="T229" s="300"/>
      <c r="U229" s="317" t="str">
        <f t="shared" si="85"/>
        <v/>
      </c>
      <c r="V229" s="301"/>
      <c r="W229" s="136" t="str">
        <f t="shared" si="86"/>
        <v/>
      </c>
      <c r="X229" s="588" t="str">
        <f t="shared" si="104"/>
        <v/>
      </c>
      <c r="Y229" s="580"/>
      <c r="Z229" s="251" t="str">
        <f t="shared" si="87"/>
        <v/>
      </c>
      <c r="AA229" s="138" t="str">
        <f t="shared" si="112"/>
        <v/>
      </c>
      <c r="AB229" s="243" t="str">
        <f t="shared" si="105"/>
        <v/>
      </c>
      <c r="AC229" s="141" t="str">
        <f t="shared" si="88"/>
        <v/>
      </c>
      <c r="AD229" s="138" t="str">
        <f t="shared" si="106"/>
        <v/>
      </c>
      <c r="AE229" s="243" t="str">
        <f t="shared" si="89"/>
        <v/>
      </c>
      <c r="AF229" s="342" t="str">
        <f>IF(AM229="Row Not Used","",INDEX(SpaceTable[Annual Hours],(MATCH(B229,SpaceTable[Space Name Concatenated Helper],0))))</f>
        <v/>
      </c>
      <c r="AG229" s="205" t="str">
        <f t="shared" si="90"/>
        <v/>
      </c>
      <c r="AH229" s="234" t="str">
        <f t="shared" si="91"/>
        <v/>
      </c>
      <c r="AI229" s="205" t="str">
        <f t="shared" si="92"/>
        <v/>
      </c>
      <c r="AJ229" s="234" t="str">
        <f t="shared" si="93"/>
        <v/>
      </c>
      <c r="AK229" s="144" t="str">
        <f>IF(AM229="Row Not Used","",INDEX(SpaceTable[Row],(MATCH(B229,SpaceTable[Space Name Concatenated Helper],0))))</f>
        <v/>
      </c>
      <c r="AL229" s="238" t="str">
        <f>IF(AM229="Row Not Used","",INDEX(SpaceTable[HVAC Factor],(MATCH(B229,SpaceTable[Space Name Concatenated Helper],0))))</f>
        <v/>
      </c>
      <c r="AM229" s="520" t="str">
        <f t="shared" si="94"/>
        <v>Row Not Used</v>
      </c>
      <c r="AN229" s="512" t="e" cm="1">
        <f t="array" ref="AN229">INDEX(BallastFactorTable[Ballast Factor],MATCH(1,(BallastFactorTable[Fixture Class]=D229)*(BallastFactorTable[Fixture Category]=E229)*(BallastFactorTable[Fixture Sub-category]=F229),0))</f>
        <v>#N/A</v>
      </c>
      <c r="AO229" s="143" t="str">
        <f t="shared" si="107"/>
        <v/>
      </c>
      <c r="AP229" s="501" t="e" cm="1">
        <f t="array" ref="AP229">INDEX(BallastFactorTable[Wattage Range Name],MATCH(1,(BallastFactorTable[Fixture Class]=D229)*(BallastFactorTable[Fixture Category]=E229)*(BallastFactorTable[Fixture Sub-category]=F229),0))</f>
        <v>#N/A</v>
      </c>
      <c r="AQ229" s="515" t="str">
        <f t="shared" ca="1" si="95"/>
        <v>Okay</v>
      </c>
      <c r="AR229" s="512">
        <f t="shared" si="96"/>
        <v>0</v>
      </c>
      <c r="AS229" s="511" t="str">
        <f>IF(OR(Measures!AM229="Row Not Used",Measures!C229="Controls Only",Measures!C229="Decommissioning"),"",_xlfn.CONCAT(P229," ",Q229))</f>
        <v/>
      </c>
      <c r="AT229" s="264" t="str">
        <f t="shared" si="97"/>
        <v>None</v>
      </c>
      <c r="AU229" s="229">
        <f>IF(OR(AM229="Row Not Used",AM229="Controls Only"),0,INDEX(IncentiveRateTable[Incentive Rate],MATCH(AT229,IncentiveRateTable[Incentive Name],0)))</f>
        <v>0</v>
      </c>
      <c r="AV229" s="133" t="str">
        <f>IF(OR(AM229="Row Not Used",AM229="Controls Only"),"None",INDEX(IncentiveRateTable[Incentive Unit],MATCH(AT229,IncentiveRateTable[Incentive Name],0)))</f>
        <v>None</v>
      </c>
      <c r="AW229" s="578">
        <f t="shared" si="108"/>
        <v>0</v>
      </c>
      <c r="AX229" s="264" t="str">
        <f t="shared" si="98"/>
        <v>None</v>
      </c>
      <c r="AY229" s="229">
        <f>IF(OR(AM229="Row Not Used",AM229="Fixtures Only",AM229="Decommissioning"),0,INDEX(IncentiveRateTable[Incentive Rate],MATCH(AX229,IncentiveRateTable[Incentive Name],0)))</f>
        <v>0</v>
      </c>
      <c r="AZ229" s="133" t="str">
        <f>IF(OR(AM229="Row Not Used",AM229="Fixtures Only",AM229="Decommissioning"),"None",INDEX(IncentiveRateTable[Incentive Unit],MATCH(AX229,IncentiveRateTable[Incentive Name],0)))</f>
        <v>None</v>
      </c>
      <c r="BA229" s="465">
        <f t="shared" si="99"/>
        <v>0</v>
      </c>
      <c r="BB229" s="264" t="e" cm="1">
        <f t="array" ref="BB229">INDEX(BallastFactorTable[Commercial BPA Reference Number],MATCH(1,(BallastFactorTable[Fixture Class]=J229)*(BallastFactorTable[Fixture Category]=K229)*(BallastFactorTable[Fixture Sub-category]=L229),0))</f>
        <v>#N/A</v>
      </c>
      <c r="BC229" s="133" t="e" cm="1">
        <f t="array" ref="BC229">INDEX(BallastFactorTable[Industrial BPA Reference Number],MATCH(1,(BallastFactorTable[Fixture Class]=J229)*(BallastFactorTable[Fixture Category]=K229)*(BallastFactorTable[Fixture Sub-category]=L229),0))</f>
        <v>#N/A</v>
      </c>
      <c r="BD229" s="264" t="str">
        <f t="shared" si="100"/>
        <v>Sector is blank</v>
      </c>
      <c r="BE229" s="269" t="str">
        <f>IF(ISBLANK(SectorField),"Sector is blank",IF(AM229="Row Not Used","",IF(OR(R229="No Controls",ISBLANK(R229)),"",INDEX(ControlsBPARefNoTable[Reference Number],MATCH(SectorField,ControlsBPARefNoTable[Sector],0)))))</f>
        <v>Sector is blank</v>
      </c>
      <c r="BF229" s="530" t="str">
        <f t="shared" si="101"/>
        <v/>
      </c>
      <c r="BG229" s="132" t="str">
        <f t="shared" si="102"/>
        <v/>
      </c>
      <c r="BH229" s="531" t="str">
        <f t="shared" si="103"/>
        <v/>
      </c>
      <c r="BI229" s="532"/>
      <c r="BJ229" s="538" t="str">
        <f t="shared" si="109"/>
        <v/>
      </c>
      <c r="BK229" s="539" t="str">
        <f t="shared" si="110"/>
        <v/>
      </c>
      <c r="BL229" s="547" t="str">
        <f t="shared" si="111"/>
        <v/>
      </c>
    </row>
    <row r="230" spans="1:64" x14ac:dyDescent="0.3">
      <c r="A230" s="133">
        <v>223</v>
      </c>
      <c r="B230" s="294"/>
      <c r="C230" s="313"/>
      <c r="D230" s="292"/>
      <c r="E230" s="284"/>
      <c r="F230" s="284"/>
      <c r="G230" s="295"/>
      <c r="H230" s="296"/>
      <c r="I230" s="297"/>
      <c r="J230" s="292"/>
      <c r="K230" s="284"/>
      <c r="L230" s="284"/>
      <c r="M230" s="295"/>
      <c r="N230" s="296"/>
      <c r="O230" s="296"/>
      <c r="P230" s="284"/>
      <c r="Q230" s="298"/>
      <c r="R230" s="292"/>
      <c r="S230" s="299"/>
      <c r="T230" s="300"/>
      <c r="U230" s="317" t="str">
        <f t="shared" si="85"/>
        <v/>
      </c>
      <c r="V230" s="301"/>
      <c r="W230" s="137" t="str">
        <f t="shared" si="86"/>
        <v/>
      </c>
      <c r="X230" s="589" t="str">
        <f t="shared" si="104"/>
        <v/>
      </c>
      <c r="Y230" s="581"/>
      <c r="Z230" s="251" t="str">
        <f t="shared" si="87"/>
        <v/>
      </c>
      <c r="AA230" s="138" t="str">
        <f t="shared" si="112"/>
        <v/>
      </c>
      <c r="AB230" s="243" t="str">
        <f t="shared" si="105"/>
        <v/>
      </c>
      <c r="AC230" s="141" t="str">
        <f t="shared" si="88"/>
        <v/>
      </c>
      <c r="AD230" s="138" t="str">
        <f t="shared" si="106"/>
        <v/>
      </c>
      <c r="AE230" s="243" t="str">
        <f t="shared" si="89"/>
        <v/>
      </c>
      <c r="AF230" s="342" t="str">
        <f>IF(AM230="Row Not Used","",INDEX(SpaceTable[Annual Hours],(MATCH(B230,SpaceTable[Space Name Concatenated Helper],0))))</f>
        <v/>
      </c>
      <c r="AG230" s="205" t="str">
        <f t="shared" si="90"/>
        <v/>
      </c>
      <c r="AH230" s="234" t="str">
        <f t="shared" si="91"/>
        <v/>
      </c>
      <c r="AI230" s="205" t="str">
        <f t="shared" si="92"/>
        <v/>
      </c>
      <c r="AJ230" s="234" t="str">
        <f t="shared" si="93"/>
        <v/>
      </c>
      <c r="AK230" s="144" t="str">
        <f>IF(AM230="Row Not Used","",INDEX(SpaceTable[Row],(MATCH(B230,SpaceTable[Space Name Concatenated Helper],0))))</f>
        <v/>
      </c>
      <c r="AL230" s="238" t="str">
        <f>IF(AM230="Row Not Used","",INDEX(SpaceTable[HVAC Factor],(MATCH(B230,SpaceTable[Space Name Concatenated Helper],0))))</f>
        <v/>
      </c>
      <c r="AM230" s="520" t="str">
        <f t="shared" si="94"/>
        <v>Row Not Used</v>
      </c>
      <c r="AN230" s="512" t="e" cm="1">
        <f t="array" ref="AN230">INDEX(BallastFactorTable[Ballast Factor],MATCH(1,(BallastFactorTable[Fixture Class]=D230)*(BallastFactorTable[Fixture Category]=E230)*(BallastFactorTable[Fixture Sub-category]=F230),0))</f>
        <v>#N/A</v>
      </c>
      <c r="AO230" s="143" t="str">
        <f t="shared" si="107"/>
        <v/>
      </c>
      <c r="AP230" s="501" t="e" cm="1">
        <f t="array" ref="AP230">INDEX(BallastFactorTable[Wattage Range Name],MATCH(1,(BallastFactorTable[Fixture Class]=D230)*(BallastFactorTable[Fixture Category]=E230)*(BallastFactorTable[Fixture Sub-category]=F230),0))</f>
        <v>#N/A</v>
      </c>
      <c r="AQ230" s="515" t="str">
        <f t="shared" ca="1" si="95"/>
        <v>Okay</v>
      </c>
      <c r="AR230" s="512">
        <f t="shared" si="96"/>
        <v>0</v>
      </c>
      <c r="AS230" s="511" t="str">
        <f>IF(OR(Measures!AM230="Row Not Used",Measures!C230="Controls Only",Measures!C230="Decommissioning"),"",_xlfn.CONCAT(P230," ",Q230))</f>
        <v/>
      </c>
      <c r="AT230" s="264" t="str">
        <f t="shared" si="97"/>
        <v>None</v>
      </c>
      <c r="AU230" s="229">
        <f>IF(OR(AM230="Row Not Used",AM230="Controls Only"),0,INDEX(IncentiveRateTable[Incentive Rate],MATCH(AT230,IncentiveRateTable[Incentive Name],0)))</f>
        <v>0</v>
      </c>
      <c r="AV230" s="133" t="str">
        <f>IF(OR(AM230="Row Not Used",AM230="Controls Only"),"None",INDEX(IncentiveRateTable[Incentive Unit],MATCH(AT230,IncentiveRateTable[Incentive Name],0)))</f>
        <v>None</v>
      </c>
      <c r="AW230" s="578">
        <f t="shared" si="108"/>
        <v>0</v>
      </c>
      <c r="AX230" s="264" t="str">
        <f t="shared" si="98"/>
        <v>None</v>
      </c>
      <c r="AY230" s="229">
        <f>IF(OR(AM230="Row Not Used",AM230="Fixtures Only",AM230="Decommissioning"),0,INDEX(IncentiveRateTable[Incentive Rate],MATCH(AX230,IncentiveRateTable[Incentive Name],0)))</f>
        <v>0</v>
      </c>
      <c r="AZ230" s="133" t="str">
        <f>IF(OR(AM230="Row Not Used",AM230="Fixtures Only",AM230="Decommissioning"),"None",INDEX(IncentiveRateTable[Incentive Unit],MATCH(AX230,IncentiveRateTable[Incentive Name],0)))</f>
        <v>None</v>
      </c>
      <c r="BA230" s="465">
        <f t="shared" si="99"/>
        <v>0</v>
      </c>
      <c r="BB230" s="264" t="e" cm="1">
        <f t="array" ref="BB230">INDEX(BallastFactorTable[Commercial BPA Reference Number],MATCH(1,(BallastFactorTable[Fixture Class]=J230)*(BallastFactorTable[Fixture Category]=K230)*(BallastFactorTable[Fixture Sub-category]=L230),0))</f>
        <v>#N/A</v>
      </c>
      <c r="BC230" s="133" t="e" cm="1">
        <f t="array" ref="BC230">INDEX(BallastFactorTable[Industrial BPA Reference Number],MATCH(1,(BallastFactorTable[Fixture Class]=J230)*(BallastFactorTable[Fixture Category]=K230)*(BallastFactorTable[Fixture Sub-category]=L230),0))</f>
        <v>#N/A</v>
      </c>
      <c r="BD230" s="264" t="str">
        <f t="shared" si="100"/>
        <v>Sector is blank</v>
      </c>
      <c r="BE230" s="269" t="str">
        <f>IF(ISBLANK(SectorField),"Sector is blank",IF(AM230="Row Not Used","",IF(OR(R230="No Controls",ISBLANK(R230)),"",INDEX(ControlsBPARefNoTable[Reference Number],MATCH(SectorField,ControlsBPARefNoTable[Sector],0)))))</f>
        <v>Sector is blank</v>
      </c>
      <c r="BF230" s="530" t="str">
        <f t="shared" si="101"/>
        <v/>
      </c>
      <c r="BG230" s="132" t="str">
        <f t="shared" si="102"/>
        <v/>
      </c>
      <c r="BH230" s="531" t="str">
        <f t="shared" si="103"/>
        <v/>
      </c>
      <c r="BI230" s="532"/>
      <c r="BJ230" s="538" t="str">
        <f t="shared" si="109"/>
        <v/>
      </c>
      <c r="BK230" s="539" t="str">
        <f t="shared" si="110"/>
        <v/>
      </c>
      <c r="BL230" s="547" t="str">
        <f t="shared" si="111"/>
        <v/>
      </c>
    </row>
    <row r="231" spans="1:64" x14ac:dyDescent="0.3">
      <c r="A231" s="133">
        <v>224</v>
      </c>
      <c r="B231" s="294"/>
      <c r="C231" s="313"/>
      <c r="D231" s="292"/>
      <c r="E231" s="284"/>
      <c r="F231" s="284"/>
      <c r="G231" s="295"/>
      <c r="H231" s="296"/>
      <c r="I231" s="297"/>
      <c r="J231" s="292"/>
      <c r="K231" s="284"/>
      <c r="L231" s="284"/>
      <c r="M231" s="295"/>
      <c r="N231" s="296"/>
      <c r="O231" s="296"/>
      <c r="P231" s="284"/>
      <c r="Q231" s="298"/>
      <c r="R231" s="292"/>
      <c r="S231" s="299"/>
      <c r="T231" s="300"/>
      <c r="U231" s="317" t="str">
        <f t="shared" si="85"/>
        <v/>
      </c>
      <c r="V231" s="301"/>
      <c r="W231" s="136" t="str">
        <f t="shared" si="86"/>
        <v/>
      </c>
      <c r="X231" s="588" t="str">
        <f t="shared" si="104"/>
        <v/>
      </c>
      <c r="Y231" s="580"/>
      <c r="Z231" s="251" t="str">
        <f t="shared" si="87"/>
        <v/>
      </c>
      <c r="AA231" s="138" t="str">
        <f t="shared" si="112"/>
        <v/>
      </c>
      <c r="AB231" s="243" t="str">
        <f t="shared" si="105"/>
        <v/>
      </c>
      <c r="AC231" s="141" t="str">
        <f t="shared" si="88"/>
        <v/>
      </c>
      <c r="AD231" s="138" t="str">
        <f t="shared" si="106"/>
        <v/>
      </c>
      <c r="AE231" s="243" t="str">
        <f t="shared" si="89"/>
        <v/>
      </c>
      <c r="AF231" s="342" t="str">
        <f>IF(AM231="Row Not Used","",INDEX(SpaceTable[Annual Hours],(MATCH(B231,SpaceTable[Space Name Concatenated Helper],0))))</f>
        <v/>
      </c>
      <c r="AG231" s="205" t="str">
        <f t="shared" si="90"/>
        <v/>
      </c>
      <c r="AH231" s="234" t="str">
        <f t="shared" si="91"/>
        <v/>
      </c>
      <c r="AI231" s="205" t="str">
        <f t="shared" si="92"/>
        <v/>
      </c>
      <c r="AJ231" s="234" t="str">
        <f t="shared" si="93"/>
        <v/>
      </c>
      <c r="AK231" s="144" t="str">
        <f>IF(AM231="Row Not Used","",INDEX(SpaceTable[Row],(MATCH(B231,SpaceTable[Space Name Concatenated Helper],0))))</f>
        <v/>
      </c>
      <c r="AL231" s="238" t="str">
        <f>IF(AM231="Row Not Used","",INDEX(SpaceTable[HVAC Factor],(MATCH(B231,SpaceTable[Space Name Concatenated Helper],0))))</f>
        <v/>
      </c>
      <c r="AM231" s="520" t="str">
        <f t="shared" si="94"/>
        <v>Row Not Used</v>
      </c>
      <c r="AN231" s="512" t="e" cm="1">
        <f t="array" ref="AN231">INDEX(BallastFactorTable[Ballast Factor],MATCH(1,(BallastFactorTable[Fixture Class]=D231)*(BallastFactorTable[Fixture Category]=E231)*(BallastFactorTable[Fixture Sub-category]=F231),0))</f>
        <v>#N/A</v>
      </c>
      <c r="AO231" s="143" t="str">
        <f t="shared" si="107"/>
        <v/>
      </c>
      <c r="AP231" s="501" t="e" cm="1">
        <f t="array" ref="AP231">INDEX(BallastFactorTable[Wattage Range Name],MATCH(1,(BallastFactorTable[Fixture Class]=D231)*(BallastFactorTable[Fixture Category]=E231)*(BallastFactorTable[Fixture Sub-category]=F231),0))</f>
        <v>#N/A</v>
      </c>
      <c r="AQ231" s="515" t="str">
        <f t="shared" ca="1" si="95"/>
        <v>Okay</v>
      </c>
      <c r="AR231" s="512">
        <f t="shared" si="96"/>
        <v>0</v>
      </c>
      <c r="AS231" s="511" t="str">
        <f>IF(OR(Measures!AM231="Row Not Used",Measures!C231="Controls Only",Measures!C231="Decommissioning"),"",_xlfn.CONCAT(P231," ",Q231))</f>
        <v/>
      </c>
      <c r="AT231" s="264" t="str">
        <f t="shared" si="97"/>
        <v>None</v>
      </c>
      <c r="AU231" s="229">
        <f>IF(OR(AM231="Row Not Used",AM231="Controls Only"),0,INDEX(IncentiveRateTable[Incentive Rate],MATCH(AT231,IncentiveRateTable[Incentive Name],0)))</f>
        <v>0</v>
      </c>
      <c r="AV231" s="133" t="str">
        <f>IF(OR(AM231="Row Not Used",AM231="Controls Only"),"None",INDEX(IncentiveRateTable[Incentive Unit],MATCH(AT231,IncentiveRateTable[Incentive Name],0)))</f>
        <v>None</v>
      </c>
      <c r="AW231" s="578">
        <f t="shared" si="108"/>
        <v>0</v>
      </c>
      <c r="AX231" s="264" t="str">
        <f t="shared" si="98"/>
        <v>None</v>
      </c>
      <c r="AY231" s="229">
        <f>IF(OR(AM231="Row Not Used",AM231="Fixtures Only",AM231="Decommissioning"),0,INDEX(IncentiveRateTable[Incentive Rate],MATCH(AX231,IncentiveRateTable[Incentive Name],0)))</f>
        <v>0</v>
      </c>
      <c r="AZ231" s="133" t="str">
        <f>IF(OR(AM231="Row Not Used",AM231="Fixtures Only",AM231="Decommissioning"),"None",INDEX(IncentiveRateTable[Incentive Unit],MATCH(AX231,IncentiveRateTable[Incentive Name],0)))</f>
        <v>None</v>
      </c>
      <c r="BA231" s="465">
        <f t="shared" si="99"/>
        <v>0</v>
      </c>
      <c r="BB231" s="264" t="e" cm="1">
        <f t="array" ref="BB231">INDEX(BallastFactorTable[Commercial BPA Reference Number],MATCH(1,(BallastFactorTable[Fixture Class]=J231)*(BallastFactorTable[Fixture Category]=K231)*(BallastFactorTable[Fixture Sub-category]=L231),0))</f>
        <v>#N/A</v>
      </c>
      <c r="BC231" s="133" t="e" cm="1">
        <f t="array" ref="BC231">INDEX(BallastFactorTable[Industrial BPA Reference Number],MATCH(1,(BallastFactorTable[Fixture Class]=J231)*(BallastFactorTable[Fixture Category]=K231)*(BallastFactorTable[Fixture Sub-category]=L231),0))</f>
        <v>#N/A</v>
      </c>
      <c r="BD231" s="264" t="str">
        <f t="shared" si="100"/>
        <v>Sector is blank</v>
      </c>
      <c r="BE231" s="269" t="str">
        <f>IF(ISBLANK(SectorField),"Sector is blank",IF(AM231="Row Not Used","",IF(OR(R231="No Controls",ISBLANK(R231)),"",INDEX(ControlsBPARefNoTable[Reference Number],MATCH(SectorField,ControlsBPARefNoTable[Sector],0)))))</f>
        <v>Sector is blank</v>
      </c>
      <c r="BF231" s="530" t="str">
        <f t="shared" si="101"/>
        <v/>
      </c>
      <c r="BG231" s="132" t="str">
        <f t="shared" si="102"/>
        <v/>
      </c>
      <c r="BH231" s="531" t="str">
        <f t="shared" si="103"/>
        <v/>
      </c>
      <c r="BI231" s="532"/>
      <c r="BJ231" s="538" t="str">
        <f t="shared" si="109"/>
        <v/>
      </c>
      <c r="BK231" s="539" t="str">
        <f t="shared" si="110"/>
        <v/>
      </c>
      <c r="BL231" s="547" t="str">
        <f t="shared" si="111"/>
        <v/>
      </c>
    </row>
    <row r="232" spans="1:64" x14ac:dyDescent="0.3">
      <c r="A232" s="133">
        <v>225</v>
      </c>
      <c r="B232" s="294"/>
      <c r="C232" s="313"/>
      <c r="D232" s="292"/>
      <c r="E232" s="284"/>
      <c r="F232" s="284"/>
      <c r="G232" s="295"/>
      <c r="H232" s="296"/>
      <c r="I232" s="297"/>
      <c r="J232" s="292"/>
      <c r="K232" s="284"/>
      <c r="L232" s="284"/>
      <c r="M232" s="295"/>
      <c r="N232" s="296"/>
      <c r="O232" s="296"/>
      <c r="P232" s="284"/>
      <c r="Q232" s="298"/>
      <c r="R232" s="292"/>
      <c r="S232" s="299"/>
      <c r="T232" s="300"/>
      <c r="U232" s="317" t="str">
        <f t="shared" si="85"/>
        <v/>
      </c>
      <c r="V232" s="301"/>
      <c r="W232" s="137" t="str">
        <f t="shared" si="86"/>
        <v/>
      </c>
      <c r="X232" s="589" t="str">
        <f t="shared" si="104"/>
        <v/>
      </c>
      <c r="Y232" s="581"/>
      <c r="Z232" s="251" t="str">
        <f t="shared" si="87"/>
        <v/>
      </c>
      <c r="AA232" s="138" t="str">
        <f t="shared" si="112"/>
        <v/>
      </c>
      <c r="AB232" s="243" t="str">
        <f t="shared" si="105"/>
        <v/>
      </c>
      <c r="AC232" s="141" t="str">
        <f t="shared" si="88"/>
        <v/>
      </c>
      <c r="AD232" s="138" t="str">
        <f t="shared" si="106"/>
        <v/>
      </c>
      <c r="AE232" s="243" t="str">
        <f t="shared" si="89"/>
        <v/>
      </c>
      <c r="AF232" s="342" t="str">
        <f>IF(AM232="Row Not Used","",INDEX(SpaceTable[Annual Hours],(MATCH(B232,SpaceTable[Space Name Concatenated Helper],0))))</f>
        <v/>
      </c>
      <c r="AG232" s="205" t="str">
        <f t="shared" si="90"/>
        <v/>
      </c>
      <c r="AH232" s="234" t="str">
        <f t="shared" si="91"/>
        <v/>
      </c>
      <c r="AI232" s="205" t="str">
        <f t="shared" si="92"/>
        <v/>
      </c>
      <c r="AJ232" s="234" t="str">
        <f t="shared" si="93"/>
        <v/>
      </c>
      <c r="AK232" s="144" t="str">
        <f>IF(AM232="Row Not Used","",INDEX(SpaceTable[Row],(MATCH(B232,SpaceTable[Space Name Concatenated Helper],0))))</f>
        <v/>
      </c>
      <c r="AL232" s="238" t="str">
        <f>IF(AM232="Row Not Used","",INDEX(SpaceTable[HVAC Factor],(MATCH(B232,SpaceTable[Space Name Concatenated Helper],0))))</f>
        <v/>
      </c>
      <c r="AM232" s="520" t="str">
        <f t="shared" si="94"/>
        <v>Row Not Used</v>
      </c>
      <c r="AN232" s="512" t="e" cm="1">
        <f t="array" ref="AN232">INDEX(BallastFactorTable[Ballast Factor],MATCH(1,(BallastFactorTable[Fixture Class]=D232)*(BallastFactorTable[Fixture Category]=E232)*(BallastFactorTable[Fixture Sub-category]=F232),0))</f>
        <v>#N/A</v>
      </c>
      <c r="AO232" s="143" t="str">
        <f t="shared" si="107"/>
        <v/>
      </c>
      <c r="AP232" s="501" t="e" cm="1">
        <f t="array" ref="AP232">INDEX(BallastFactorTable[Wattage Range Name],MATCH(1,(BallastFactorTable[Fixture Class]=D232)*(BallastFactorTable[Fixture Category]=E232)*(BallastFactorTable[Fixture Sub-category]=F232),0))</f>
        <v>#N/A</v>
      </c>
      <c r="AQ232" s="515" t="str">
        <f t="shared" ca="1" si="95"/>
        <v>Okay</v>
      </c>
      <c r="AR232" s="512">
        <f t="shared" si="96"/>
        <v>0</v>
      </c>
      <c r="AS232" s="511" t="str">
        <f>IF(OR(Measures!AM232="Row Not Used",Measures!C232="Controls Only",Measures!C232="Decommissioning"),"",_xlfn.CONCAT(P232," ",Q232))</f>
        <v/>
      </c>
      <c r="AT232" s="264" t="str">
        <f t="shared" si="97"/>
        <v>None</v>
      </c>
      <c r="AU232" s="229">
        <f>IF(OR(AM232="Row Not Used",AM232="Controls Only"),0,INDEX(IncentiveRateTable[Incentive Rate],MATCH(AT232,IncentiveRateTable[Incentive Name],0)))</f>
        <v>0</v>
      </c>
      <c r="AV232" s="133" t="str">
        <f>IF(OR(AM232="Row Not Used",AM232="Controls Only"),"None",INDEX(IncentiveRateTable[Incentive Unit],MATCH(AT232,IncentiveRateTable[Incentive Name],0)))</f>
        <v>None</v>
      </c>
      <c r="AW232" s="578">
        <f t="shared" si="108"/>
        <v>0</v>
      </c>
      <c r="AX232" s="264" t="str">
        <f t="shared" si="98"/>
        <v>None</v>
      </c>
      <c r="AY232" s="229">
        <f>IF(OR(AM232="Row Not Used",AM232="Fixtures Only",AM232="Decommissioning"),0,INDEX(IncentiveRateTable[Incentive Rate],MATCH(AX232,IncentiveRateTable[Incentive Name],0)))</f>
        <v>0</v>
      </c>
      <c r="AZ232" s="133" t="str">
        <f>IF(OR(AM232="Row Not Used",AM232="Fixtures Only",AM232="Decommissioning"),"None",INDEX(IncentiveRateTable[Incentive Unit],MATCH(AX232,IncentiveRateTable[Incentive Name],0)))</f>
        <v>None</v>
      </c>
      <c r="BA232" s="465">
        <f t="shared" si="99"/>
        <v>0</v>
      </c>
      <c r="BB232" s="264" t="e" cm="1">
        <f t="array" ref="BB232">INDEX(BallastFactorTable[Commercial BPA Reference Number],MATCH(1,(BallastFactorTable[Fixture Class]=J232)*(BallastFactorTable[Fixture Category]=K232)*(BallastFactorTable[Fixture Sub-category]=L232),0))</f>
        <v>#N/A</v>
      </c>
      <c r="BC232" s="133" t="e" cm="1">
        <f t="array" ref="BC232">INDEX(BallastFactorTable[Industrial BPA Reference Number],MATCH(1,(BallastFactorTable[Fixture Class]=J232)*(BallastFactorTable[Fixture Category]=K232)*(BallastFactorTable[Fixture Sub-category]=L232),0))</f>
        <v>#N/A</v>
      </c>
      <c r="BD232" s="264" t="str">
        <f t="shared" si="100"/>
        <v>Sector is blank</v>
      </c>
      <c r="BE232" s="269" t="str">
        <f>IF(ISBLANK(SectorField),"Sector is blank",IF(AM232="Row Not Used","",IF(OR(R232="No Controls",ISBLANK(R232)),"",INDEX(ControlsBPARefNoTable[Reference Number],MATCH(SectorField,ControlsBPARefNoTable[Sector],0)))))</f>
        <v>Sector is blank</v>
      </c>
      <c r="BF232" s="530" t="str">
        <f t="shared" si="101"/>
        <v/>
      </c>
      <c r="BG232" s="132" t="str">
        <f t="shared" si="102"/>
        <v/>
      </c>
      <c r="BH232" s="531" t="str">
        <f t="shared" si="103"/>
        <v/>
      </c>
      <c r="BI232" s="532"/>
      <c r="BJ232" s="538" t="str">
        <f t="shared" si="109"/>
        <v/>
      </c>
      <c r="BK232" s="539" t="str">
        <f t="shared" si="110"/>
        <v/>
      </c>
      <c r="BL232" s="547" t="str">
        <f t="shared" si="111"/>
        <v/>
      </c>
    </row>
    <row r="233" spans="1:64" x14ac:dyDescent="0.3">
      <c r="A233" s="133">
        <v>226</v>
      </c>
      <c r="B233" s="294"/>
      <c r="C233" s="313"/>
      <c r="D233" s="292"/>
      <c r="E233" s="284"/>
      <c r="F233" s="284"/>
      <c r="G233" s="295"/>
      <c r="H233" s="296"/>
      <c r="I233" s="297"/>
      <c r="J233" s="292"/>
      <c r="K233" s="284"/>
      <c r="L233" s="284"/>
      <c r="M233" s="295"/>
      <c r="N233" s="296"/>
      <c r="O233" s="296"/>
      <c r="P233" s="284"/>
      <c r="Q233" s="298"/>
      <c r="R233" s="292"/>
      <c r="S233" s="299"/>
      <c r="T233" s="300"/>
      <c r="U233" s="317" t="str">
        <f t="shared" si="85"/>
        <v/>
      </c>
      <c r="V233" s="301"/>
      <c r="W233" s="136" t="str">
        <f t="shared" si="86"/>
        <v/>
      </c>
      <c r="X233" s="588" t="str">
        <f t="shared" si="104"/>
        <v/>
      </c>
      <c r="Y233" s="580"/>
      <c r="Z233" s="251" t="str">
        <f t="shared" si="87"/>
        <v/>
      </c>
      <c r="AA233" s="138" t="str">
        <f t="shared" si="112"/>
        <v/>
      </c>
      <c r="AB233" s="243" t="str">
        <f t="shared" si="105"/>
        <v/>
      </c>
      <c r="AC233" s="141" t="str">
        <f t="shared" si="88"/>
        <v/>
      </c>
      <c r="AD233" s="138" t="str">
        <f t="shared" si="106"/>
        <v/>
      </c>
      <c r="AE233" s="243" t="str">
        <f t="shared" si="89"/>
        <v/>
      </c>
      <c r="AF233" s="342" t="str">
        <f>IF(AM233="Row Not Used","",INDEX(SpaceTable[Annual Hours],(MATCH(B233,SpaceTable[Space Name Concatenated Helper],0))))</f>
        <v/>
      </c>
      <c r="AG233" s="205" t="str">
        <f t="shared" si="90"/>
        <v/>
      </c>
      <c r="AH233" s="234" t="str">
        <f t="shared" si="91"/>
        <v/>
      </c>
      <c r="AI233" s="205" t="str">
        <f t="shared" si="92"/>
        <v/>
      </c>
      <c r="AJ233" s="234" t="str">
        <f t="shared" si="93"/>
        <v/>
      </c>
      <c r="AK233" s="144" t="str">
        <f>IF(AM233="Row Not Used","",INDEX(SpaceTable[Row],(MATCH(B233,SpaceTable[Space Name Concatenated Helper],0))))</f>
        <v/>
      </c>
      <c r="AL233" s="238" t="str">
        <f>IF(AM233="Row Not Used","",INDEX(SpaceTable[HVAC Factor],(MATCH(B233,SpaceTable[Space Name Concatenated Helper],0))))</f>
        <v/>
      </c>
      <c r="AM233" s="520" t="str">
        <f t="shared" si="94"/>
        <v>Row Not Used</v>
      </c>
      <c r="AN233" s="512" t="e" cm="1">
        <f t="array" ref="AN233">INDEX(BallastFactorTable[Ballast Factor],MATCH(1,(BallastFactorTable[Fixture Class]=D233)*(BallastFactorTable[Fixture Category]=E233)*(BallastFactorTable[Fixture Sub-category]=F233),0))</f>
        <v>#N/A</v>
      </c>
      <c r="AO233" s="143" t="str">
        <f t="shared" si="107"/>
        <v/>
      </c>
      <c r="AP233" s="501" t="e" cm="1">
        <f t="array" ref="AP233">INDEX(BallastFactorTable[Wattage Range Name],MATCH(1,(BallastFactorTable[Fixture Class]=D233)*(BallastFactorTable[Fixture Category]=E233)*(BallastFactorTable[Fixture Sub-category]=F233),0))</f>
        <v>#N/A</v>
      </c>
      <c r="AQ233" s="515" t="str">
        <f t="shared" ca="1" si="95"/>
        <v>Okay</v>
      </c>
      <c r="AR233" s="512">
        <f t="shared" si="96"/>
        <v>0</v>
      </c>
      <c r="AS233" s="511" t="str">
        <f>IF(OR(Measures!AM233="Row Not Used",Measures!C233="Controls Only",Measures!C233="Decommissioning"),"",_xlfn.CONCAT(P233," ",Q233))</f>
        <v/>
      </c>
      <c r="AT233" s="264" t="str">
        <f t="shared" si="97"/>
        <v>None</v>
      </c>
      <c r="AU233" s="229">
        <f>IF(OR(AM233="Row Not Used",AM233="Controls Only"),0,INDEX(IncentiveRateTable[Incentive Rate],MATCH(AT233,IncentiveRateTable[Incentive Name],0)))</f>
        <v>0</v>
      </c>
      <c r="AV233" s="133" t="str">
        <f>IF(OR(AM233="Row Not Used",AM233="Controls Only"),"None",INDEX(IncentiveRateTable[Incentive Unit],MATCH(AT233,IncentiveRateTable[Incentive Name],0)))</f>
        <v>None</v>
      </c>
      <c r="AW233" s="578">
        <f t="shared" si="108"/>
        <v>0</v>
      </c>
      <c r="AX233" s="264" t="str">
        <f t="shared" si="98"/>
        <v>None</v>
      </c>
      <c r="AY233" s="229">
        <f>IF(OR(AM233="Row Not Used",AM233="Fixtures Only",AM233="Decommissioning"),0,INDEX(IncentiveRateTable[Incentive Rate],MATCH(AX233,IncentiveRateTable[Incentive Name],0)))</f>
        <v>0</v>
      </c>
      <c r="AZ233" s="133" t="str">
        <f>IF(OR(AM233="Row Not Used",AM233="Fixtures Only",AM233="Decommissioning"),"None",INDEX(IncentiveRateTable[Incentive Unit],MATCH(AX233,IncentiveRateTable[Incentive Name],0)))</f>
        <v>None</v>
      </c>
      <c r="BA233" s="465">
        <f t="shared" si="99"/>
        <v>0</v>
      </c>
      <c r="BB233" s="264" t="e" cm="1">
        <f t="array" ref="BB233">INDEX(BallastFactorTable[Commercial BPA Reference Number],MATCH(1,(BallastFactorTable[Fixture Class]=J233)*(BallastFactorTable[Fixture Category]=K233)*(BallastFactorTable[Fixture Sub-category]=L233),0))</f>
        <v>#N/A</v>
      </c>
      <c r="BC233" s="133" t="e" cm="1">
        <f t="array" ref="BC233">INDEX(BallastFactorTable[Industrial BPA Reference Number],MATCH(1,(BallastFactorTable[Fixture Class]=J233)*(BallastFactorTable[Fixture Category]=K233)*(BallastFactorTable[Fixture Sub-category]=L233),0))</f>
        <v>#N/A</v>
      </c>
      <c r="BD233" s="264" t="str">
        <f t="shared" si="100"/>
        <v>Sector is blank</v>
      </c>
      <c r="BE233" s="269" t="str">
        <f>IF(ISBLANK(SectorField),"Sector is blank",IF(AM233="Row Not Used","",IF(OR(R233="No Controls",ISBLANK(R233)),"",INDEX(ControlsBPARefNoTable[Reference Number],MATCH(SectorField,ControlsBPARefNoTable[Sector],0)))))</f>
        <v>Sector is blank</v>
      </c>
      <c r="BF233" s="530" t="str">
        <f t="shared" si="101"/>
        <v/>
      </c>
      <c r="BG233" s="132" t="str">
        <f t="shared" si="102"/>
        <v/>
      </c>
      <c r="BH233" s="531" t="str">
        <f t="shared" si="103"/>
        <v/>
      </c>
      <c r="BI233" s="532"/>
      <c r="BJ233" s="538" t="str">
        <f t="shared" si="109"/>
        <v/>
      </c>
      <c r="BK233" s="539" t="str">
        <f t="shared" si="110"/>
        <v/>
      </c>
      <c r="BL233" s="547" t="str">
        <f t="shared" si="111"/>
        <v/>
      </c>
    </row>
    <row r="234" spans="1:64" x14ac:dyDescent="0.3">
      <c r="A234" s="133">
        <v>227</v>
      </c>
      <c r="B234" s="294"/>
      <c r="C234" s="313"/>
      <c r="D234" s="292"/>
      <c r="E234" s="284"/>
      <c r="F234" s="284"/>
      <c r="G234" s="295"/>
      <c r="H234" s="296"/>
      <c r="I234" s="297"/>
      <c r="J234" s="292"/>
      <c r="K234" s="284"/>
      <c r="L234" s="284"/>
      <c r="M234" s="295"/>
      <c r="N234" s="296"/>
      <c r="O234" s="296"/>
      <c r="P234" s="284"/>
      <c r="Q234" s="298"/>
      <c r="R234" s="292"/>
      <c r="S234" s="299"/>
      <c r="T234" s="300"/>
      <c r="U234" s="317" t="str">
        <f t="shared" si="85"/>
        <v/>
      </c>
      <c r="V234" s="301"/>
      <c r="W234" s="137" t="str">
        <f t="shared" si="86"/>
        <v/>
      </c>
      <c r="X234" s="589" t="str">
        <f t="shared" si="104"/>
        <v/>
      </c>
      <c r="Y234" s="581"/>
      <c r="Z234" s="251" t="str">
        <f t="shared" si="87"/>
        <v/>
      </c>
      <c r="AA234" s="138" t="str">
        <f t="shared" si="112"/>
        <v/>
      </c>
      <c r="AB234" s="243" t="str">
        <f t="shared" si="105"/>
        <v/>
      </c>
      <c r="AC234" s="141" t="str">
        <f t="shared" si="88"/>
        <v/>
      </c>
      <c r="AD234" s="138" t="str">
        <f t="shared" si="106"/>
        <v/>
      </c>
      <c r="AE234" s="243" t="str">
        <f t="shared" si="89"/>
        <v/>
      </c>
      <c r="AF234" s="342" t="str">
        <f>IF(AM234="Row Not Used","",INDEX(SpaceTable[Annual Hours],(MATCH(B234,SpaceTable[Space Name Concatenated Helper],0))))</f>
        <v/>
      </c>
      <c r="AG234" s="205" t="str">
        <f t="shared" si="90"/>
        <v/>
      </c>
      <c r="AH234" s="234" t="str">
        <f t="shared" si="91"/>
        <v/>
      </c>
      <c r="AI234" s="205" t="str">
        <f t="shared" si="92"/>
        <v/>
      </c>
      <c r="AJ234" s="234" t="str">
        <f t="shared" si="93"/>
        <v/>
      </c>
      <c r="AK234" s="144" t="str">
        <f>IF(AM234="Row Not Used","",INDEX(SpaceTable[Row],(MATCH(B234,SpaceTable[Space Name Concatenated Helper],0))))</f>
        <v/>
      </c>
      <c r="AL234" s="238" t="str">
        <f>IF(AM234="Row Not Used","",INDEX(SpaceTable[HVAC Factor],(MATCH(B234,SpaceTable[Space Name Concatenated Helper],0))))</f>
        <v/>
      </c>
      <c r="AM234" s="520" t="str">
        <f t="shared" si="94"/>
        <v>Row Not Used</v>
      </c>
      <c r="AN234" s="512" t="e" cm="1">
        <f t="array" ref="AN234">INDEX(BallastFactorTable[Ballast Factor],MATCH(1,(BallastFactorTable[Fixture Class]=D234)*(BallastFactorTable[Fixture Category]=E234)*(BallastFactorTable[Fixture Sub-category]=F234),0))</f>
        <v>#N/A</v>
      </c>
      <c r="AO234" s="143" t="str">
        <f t="shared" si="107"/>
        <v/>
      </c>
      <c r="AP234" s="501" t="e" cm="1">
        <f t="array" ref="AP234">INDEX(BallastFactorTable[Wattage Range Name],MATCH(1,(BallastFactorTable[Fixture Class]=D234)*(BallastFactorTable[Fixture Category]=E234)*(BallastFactorTable[Fixture Sub-category]=F234),0))</f>
        <v>#N/A</v>
      </c>
      <c r="AQ234" s="515" t="str">
        <f t="shared" ca="1" si="95"/>
        <v>Okay</v>
      </c>
      <c r="AR234" s="512">
        <f t="shared" si="96"/>
        <v>0</v>
      </c>
      <c r="AS234" s="511" t="str">
        <f>IF(OR(Measures!AM234="Row Not Used",Measures!C234="Controls Only",Measures!C234="Decommissioning"),"",_xlfn.CONCAT(P234," ",Q234))</f>
        <v/>
      </c>
      <c r="AT234" s="264" t="str">
        <f t="shared" si="97"/>
        <v>None</v>
      </c>
      <c r="AU234" s="229">
        <f>IF(OR(AM234="Row Not Used",AM234="Controls Only"),0,INDEX(IncentiveRateTable[Incentive Rate],MATCH(AT234,IncentiveRateTable[Incentive Name],0)))</f>
        <v>0</v>
      </c>
      <c r="AV234" s="133" t="str">
        <f>IF(OR(AM234="Row Not Used",AM234="Controls Only"),"None",INDEX(IncentiveRateTable[Incentive Unit],MATCH(AT234,IncentiveRateTable[Incentive Name],0)))</f>
        <v>None</v>
      </c>
      <c r="AW234" s="578">
        <f t="shared" si="108"/>
        <v>0</v>
      </c>
      <c r="AX234" s="264" t="str">
        <f t="shared" si="98"/>
        <v>None</v>
      </c>
      <c r="AY234" s="229">
        <f>IF(OR(AM234="Row Not Used",AM234="Fixtures Only",AM234="Decommissioning"),0,INDEX(IncentiveRateTable[Incentive Rate],MATCH(AX234,IncentiveRateTable[Incentive Name],0)))</f>
        <v>0</v>
      </c>
      <c r="AZ234" s="133" t="str">
        <f>IF(OR(AM234="Row Not Used",AM234="Fixtures Only",AM234="Decommissioning"),"None",INDEX(IncentiveRateTable[Incentive Unit],MATCH(AX234,IncentiveRateTable[Incentive Name],0)))</f>
        <v>None</v>
      </c>
      <c r="BA234" s="465">
        <f t="shared" si="99"/>
        <v>0</v>
      </c>
      <c r="BB234" s="264" t="e" cm="1">
        <f t="array" ref="BB234">INDEX(BallastFactorTable[Commercial BPA Reference Number],MATCH(1,(BallastFactorTable[Fixture Class]=J234)*(BallastFactorTable[Fixture Category]=K234)*(BallastFactorTable[Fixture Sub-category]=L234),0))</f>
        <v>#N/A</v>
      </c>
      <c r="BC234" s="133" t="e" cm="1">
        <f t="array" ref="BC234">INDEX(BallastFactorTable[Industrial BPA Reference Number],MATCH(1,(BallastFactorTable[Fixture Class]=J234)*(BallastFactorTable[Fixture Category]=K234)*(BallastFactorTable[Fixture Sub-category]=L234),0))</f>
        <v>#N/A</v>
      </c>
      <c r="BD234" s="264" t="str">
        <f t="shared" si="100"/>
        <v>Sector is blank</v>
      </c>
      <c r="BE234" s="269" t="str">
        <f>IF(ISBLANK(SectorField),"Sector is blank",IF(AM234="Row Not Used","",IF(OR(R234="No Controls",ISBLANK(R234)),"",INDEX(ControlsBPARefNoTable[Reference Number],MATCH(SectorField,ControlsBPARefNoTable[Sector],0)))))</f>
        <v>Sector is blank</v>
      </c>
      <c r="BF234" s="530" t="str">
        <f t="shared" si="101"/>
        <v/>
      </c>
      <c r="BG234" s="132" t="str">
        <f t="shared" si="102"/>
        <v/>
      </c>
      <c r="BH234" s="531" t="str">
        <f t="shared" si="103"/>
        <v/>
      </c>
      <c r="BI234" s="532"/>
      <c r="BJ234" s="538" t="str">
        <f t="shared" si="109"/>
        <v/>
      </c>
      <c r="BK234" s="539" t="str">
        <f t="shared" si="110"/>
        <v/>
      </c>
      <c r="BL234" s="547" t="str">
        <f t="shared" si="111"/>
        <v/>
      </c>
    </row>
    <row r="235" spans="1:64" x14ac:dyDescent="0.3">
      <c r="A235" s="133">
        <v>228</v>
      </c>
      <c r="B235" s="294"/>
      <c r="C235" s="313"/>
      <c r="D235" s="292"/>
      <c r="E235" s="284"/>
      <c r="F235" s="284"/>
      <c r="G235" s="295"/>
      <c r="H235" s="296"/>
      <c r="I235" s="297"/>
      <c r="J235" s="292"/>
      <c r="K235" s="284"/>
      <c r="L235" s="284"/>
      <c r="M235" s="295"/>
      <c r="N235" s="296"/>
      <c r="O235" s="296"/>
      <c r="P235" s="284"/>
      <c r="Q235" s="298"/>
      <c r="R235" s="292"/>
      <c r="S235" s="299"/>
      <c r="T235" s="300"/>
      <c r="U235" s="317" t="str">
        <f t="shared" si="85"/>
        <v/>
      </c>
      <c r="V235" s="301"/>
      <c r="W235" s="136" t="str">
        <f t="shared" si="86"/>
        <v/>
      </c>
      <c r="X235" s="588" t="str">
        <f t="shared" si="104"/>
        <v/>
      </c>
      <c r="Y235" s="580"/>
      <c r="Z235" s="251" t="str">
        <f t="shared" si="87"/>
        <v/>
      </c>
      <c r="AA235" s="138" t="str">
        <f t="shared" si="112"/>
        <v/>
      </c>
      <c r="AB235" s="243" t="str">
        <f t="shared" si="105"/>
        <v/>
      </c>
      <c r="AC235" s="141" t="str">
        <f t="shared" si="88"/>
        <v/>
      </c>
      <c r="AD235" s="138" t="str">
        <f t="shared" si="106"/>
        <v/>
      </c>
      <c r="AE235" s="243" t="str">
        <f t="shared" si="89"/>
        <v/>
      </c>
      <c r="AF235" s="342" t="str">
        <f>IF(AM235="Row Not Used","",INDEX(SpaceTable[Annual Hours],(MATCH(B235,SpaceTable[Space Name Concatenated Helper],0))))</f>
        <v/>
      </c>
      <c r="AG235" s="205" t="str">
        <f t="shared" si="90"/>
        <v/>
      </c>
      <c r="AH235" s="234" t="str">
        <f t="shared" si="91"/>
        <v/>
      </c>
      <c r="AI235" s="205" t="str">
        <f t="shared" si="92"/>
        <v/>
      </c>
      <c r="AJ235" s="234" t="str">
        <f t="shared" si="93"/>
        <v/>
      </c>
      <c r="AK235" s="144" t="str">
        <f>IF(AM235="Row Not Used","",INDEX(SpaceTable[Row],(MATCH(B235,SpaceTable[Space Name Concatenated Helper],0))))</f>
        <v/>
      </c>
      <c r="AL235" s="238" t="str">
        <f>IF(AM235="Row Not Used","",INDEX(SpaceTable[HVAC Factor],(MATCH(B235,SpaceTable[Space Name Concatenated Helper],0))))</f>
        <v/>
      </c>
      <c r="AM235" s="520" t="str">
        <f t="shared" si="94"/>
        <v>Row Not Used</v>
      </c>
      <c r="AN235" s="512" t="e" cm="1">
        <f t="array" ref="AN235">INDEX(BallastFactorTable[Ballast Factor],MATCH(1,(BallastFactorTable[Fixture Class]=D235)*(BallastFactorTable[Fixture Category]=E235)*(BallastFactorTable[Fixture Sub-category]=F235),0))</f>
        <v>#N/A</v>
      </c>
      <c r="AO235" s="143" t="str">
        <f t="shared" si="107"/>
        <v/>
      </c>
      <c r="AP235" s="501" t="e" cm="1">
        <f t="array" ref="AP235">INDEX(BallastFactorTable[Wattage Range Name],MATCH(1,(BallastFactorTable[Fixture Class]=D235)*(BallastFactorTable[Fixture Category]=E235)*(BallastFactorTable[Fixture Sub-category]=F235),0))</f>
        <v>#N/A</v>
      </c>
      <c r="AQ235" s="515" t="str">
        <f t="shared" ca="1" si="95"/>
        <v>Okay</v>
      </c>
      <c r="AR235" s="512">
        <f t="shared" si="96"/>
        <v>0</v>
      </c>
      <c r="AS235" s="511" t="str">
        <f>IF(OR(Measures!AM235="Row Not Used",Measures!C235="Controls Only",Measures!C235="Decommissioning"),"",_xlfn.CONCAT(P235," ",Q235))</f>
        <v/>
      </c>
      <c r="AT235" s="264" t="str">
        <f t="shared" si="97"/>
        <v>None</v>
      </c>
      <c r="AU235" s="229">
        <f>IF(OR(AM235="Row Not Used",AM235="Controls Only"),0,INDEX(IncentiveRateTable[Incentive Rate],MATCH(AT235,IncentiveRateTable[Incentive Name],0)))</f>
        <v>0</v>
      </c>
      <c r="AV235" s="133" t="str">
        <f>IF(OR(AM235="Row Not Used",AM235="Controls Only"),"None",INDEX(IncentiveRateTable[Incentive Unit],MATCH(AT235,IncentiveRateTable[Incentive Name],0)))</f>
        <v>None</v>
      </c>
      <c r="AW235" s="578">
        <f t="shared" si="108"/>
        <v>0</v>
      </c>
      <c r="AX235" s="264" t="str">
        <f t="shared" si="98"/>
        <v>None</v>
      </c>
      <c r="AY235" s="229">
        <f>IF(OR(AM235="Row Not Used",AM235="Fixtures Only",AM235="Decommissioning"),0,INDEX(IncentiveRateTable[Incentive Rate],MATCH(AX235,IncentiveRateTable[Incentive Name],0)))</f>
        <v>0</v>
      </c>
      <c r="AZ235" s="133" t="str">
        <f>IF(OR(AM235="Row Not Used",AM235="Fixtures Only",AM235="Decommissioning"),"None",INDEX(IncentiveRateTable[Incentive Unit],MATCH(AX235,IncentiveRateTable[Incentive Name],0)))</f>
        <v>None</v>
      </c>
      <c r="BA235" s="465">
        <f t="shared" si="99"/>
        <v>0</v>
      </c>
      <c r="BB235" s="264" t="e" cm="1">
        <f t="array" ref="BB235">INDEX(BallastFactorTable[Commercial BPA Reference Number],MATCH(1,(BallastFactorTable[Fixture Class]=J235)*(BallastFactorTable[Fixture Category]=K235)*(BallastFactorTable[Fixture Sub-category]=L235),0))</f>
        <v>#N/A</v>
      </c>
      <c r="BC235" s="133" t="e" cm="1">
        <f t="array" ref="BC235">INDEX(BallastFactorTable[Industrial BPA Reference Number],MATCH(1,(BallastFactorTable[Fixture Class]=J235)*(BallastFactorTable[Fixture Category]=K235)*(BallastFactorTable[Fixture Sub-category]=L235),0))</f>
        <v>#N/A</v>
      </c>
      <c r="BD235" s="264" t="str">
        <f t="shared" si="100"/>
        <v>Sector is blank</v>
      </c>
      <c r="BE235" s="269" t="str">
        <f>IF(ISBLANK(SectorField),"Sector is blank",IF(AM235="Row Not Used","",IF(OR(R235="No Controls",ISBLANK(R235)),"",INDEX(ControlsBPARefNoTable[Reference Number],MATCH(SectorField,ControlsBPARefNoTable[Sector],0)))))</f>
        <v>Sector is blank</v>
      </c>
      <c r="BF235" s="530" t="str">
        <f t="shared" si="101"/>
        <v/>
      </c>
      <c r="BG235" s="132" t="str">
        <f t="shared" si="102"/>
        <v/>
      </c>
      <c r="BH235" s="531" t="str">
        <f t="shared" si="103"/>
        <v/>
      </c>
      <c r="BI235" s="532"/>
      <c r="BJ235" s="538" t="str">
        <f t="shared" si="109"/>
        <v/>
      </c>
      <c r="BK235" s="539" t="str">
        <f t="shared" si="110"/>
        <v/>
      </c>
      <c r="BL235" s="547" t="str">
        <f t="shared" si="111"/>
        <v/>
      </c>
    </row>
    <row r="236" spans="1:64" x14ac:dyDescent="0.3">
      <c r="A236" s="133">
        <v>229</v>
      </c>
      <c r="B236" s="294"/>
      <c r="C236" s="313"/>
      <c r="D236" s="292"/>
      <c r="E236" s="284"/>
      <c r="F236" s="284"/>
      <c r="G236" s="295"/>
      <c r="H236" s="296"/>
      <c r="I236" s="297"/>
      <c r="J236" s="292"/>
      <c r="K236" s="284"/>
      <c r="L236" s="284"/>
      <c r="M236" s="295"/>
      <c r="N236" s="296"/>
      <c r="O236" s="296"/>
      <c r="P236" s="284"/>
      <c r="Q236" s="298"/>
      <c r="R236" s="292"/>
      <c r="S236" s="299"/>
      <c r="T236" s="300"/>
      <c r="U236" s="317" t="str">
        <f t="shared" si="85"/>
        <v/>
      </c>
      <c r="V236" s="301"/>
      <c r="W236" s="137" t="str">
        <f t="shared" si="86"/>
        <v/>
      </c>
      <c r="X236" s="589" t="str">
        <f t="shared" si="104"/>
        <v/>
      </c>
      <c r="Y236" s="581"/>
      <c r="Z236" s="251" t="str">
        <f t="shared" si="87"/>
        <v/>
      </c>
      <c r="AA236" s="138" t="str">
        <f t="shared" si="112"/>
        <v/>
      </c>
      <c r="AB236" s="243" t="str">
        <f t="shared" si="105"/>
        <v/>
      </c>
      <c r="AC236" s="141" t="str">
        <f t="shared" si="88"/>
        <v/>
      </c>
      <c r="AD236" s="138" t="str">
        <f t="shared" si="106"/>
        <v/>
      </c>
      <c r="AE236" s="243" t="str">
        <f t="shared" si="89"/>
        <v/>
      </c>
      <c r="AF236" s="342" t="str">
        <f>IF(AM236="Row Not Used","",INDEX(SpaceTable[Annual Hours],(MATCH(B236,SpaceTable[Space Name Concatenated Helper],0))))</f>
        <v/>
      </c>
      <c r="AG236" s="205" t="str">
        <f t="shared" si="90"/>
        <v/>
      </c>
      <c r="AH236" s="234" t="str">
        <f t="shared" si="91"/>
        <v/>
      </c>
      <c r="AI236" s="205" t="str">
        <f t="shared" si="92"/>
        <v/>
      </c>
      <c r="AJ236" s="234" t="str">
        <f t="shared" si="93"/>
        <v/>
      </c>
      <c r="AK236" s="144" t="str">
        <f>IF(AM236="Row Not Used","",INDEX(SpaceTable[Row],(MATCH(B236,SpaceTable[Space Name Concatenated Helper],0))))</f>
        <v/>
      </c>
      <c r="AL236" s="238" t="str">
        <f>IF(AM236="Row Not Used","",INDEX(SpaceTable[HVAC Factor],(MATCH(B236,SpaceTable[Space Name Concatenated Helper],0))))</f>
        <v/>
      </c>
      <c r="AM236" s="520" t="str">
        <f t="shared" si="94"/>
        <v>Row Not Used</v>
      </c>
      <c r="AN236" s="512" t="e" cm="1">
        <f t="array" ref="AN236">INDEX(BallastFactorTable[Ballast Factor],MATCH(1,(BallastFactorTable[Fixture Class]=D236)*(BallastFactorTable[Fixture Category]=E236)*(BallastFactorTable[Fixture Sub-category]=F236),0))</f>
        <v>#N/A</v>
      </c>
      <c r="AO236" s="143" t="str">
        <f t="shared" si="107"/>
        <v/>
      </c>
      <c r="AP236" s="501" t="e" cm="1">
        <f t="array" ref="AP236">INDEX(BallastFactorTable[Wattage Range Name],MATCH(1,(BallastFactorTable[Fixture Class]=D236)*(BallastFactorTable[Fixture Category]=E236)*(BallastFactorTable[Fixture Sub-category]=F236),0))</f>
        <v>#N/A</v>
      </c>
      <c r="AQ236" s="515" t="str">
        <f t="shared" ca="1" si="95"/>
        <v>Okay</v>
      </c>
      <c r="AR236" s="512">
        <f t="shared" si="96"/>
        <v>0</v>
      </c>
      <c r="AS236" s="511" t="str">
        <f>IF(OR(Measures!AM236="Row Not Used",Measures!C236="Controls Only",Measures!C236="Decommissioning"),"",_xlfn.CONCAT(P236," ",Q236))</f>
        <v/>
      </c>
      <c r="AT236" s="264" t="str">
        <f t="shared" si="97"/>
        <v>None</v>
      </c>
      <c r="AU236" s="229">
        <f>IF(OR(AM236="Row Not Used",AM236="Controls Only"),0,INDEX(IncentiveRateTable[Incentive Rate],MATCH(AT236,IncentiveRateTable[Incentive Name],0)))</f>
        <v>0</v>
      </c>
      <c r="AV236" s="133" t="str">
        <f>IF(OR(AM236="Row Not Used",AM236="Controls Only"),"None",INDEX(IncentiveRateTable[Incentive Unit],MATCH(AT236,IncentiveRateTable[Incentive Name],0)))</f>
        <v>None</v>
      </c>
      <c r="AW236" s="578">
        <f t="shared" si="108"/>
        <v>0</v>
      </c>
      <c r="AX236" s="264" t="str">
        <f t="shared" si="98"/>
        <v>None</v>
      </c>
      <c r="AY236" s="229">
        <f>IF(OR(AM236="Row Not Used",AM236="Fixtures Only",AM236="Decommissioning"),0,INDEX(IncentiveRateTable[Incentive Rate],MATCH(AX236,IncentiveRateTable[Incentive Name],0)))</f>
        <v>0</v>
      </c>
      <c r="AZ236" s="133" t="str">
        <f>IF(OR(AM236="Row Not Used",AM236="Fixtures Only",AM236="Decommissioning"),"None",INDEX(IncentiveRateTable[Incentive Unit],MATCH(AX236,IncentiveRateTable[Incentive Name],0)))</f>
        <v>None</v>
      </c>
      <c r="BA236" s="465">
        <f t="shared" si="99"/>
        <v>0</v>
      </c>
      <c r="BB236" s="264" t="e" cm="1">
        <f t="array" ref="BB236">INDEX(BallastFactorTable[Commercial BPA Reference Number],MATCH(1,(BallastFactorTable[Fixture Class]=J236)*(BallastFactorTable[Fixture Category]=K236)*(BallastFactorTable[Fixture Sub-category]=L236),0))</f>
        <v>#N/A</v>
      </c>
      <c r="BC236" s="133" t="e" cm="1">
        <f t="array" ref="BC236">INDEX(BallastFactorTable[Industrial BPA Reference Number],MATCH(1,(BallastFactorTable[Fixture Class]=J236)*(BallastFactorTable[Fixture Category]=K236)*(BallastFactorTable[Fixture Sub-category]=L236),0))</f>
        <v>#N/A</v>
      </c>
      <c r="BD236" s="264" t="str">
        <f t="shared" si="100"/>
        <v>Sector is blank</v>
      </c>
      <c r="BE236" s="269" t="str">
        <f>IF(ISBLANK(SectorField),"Sector is blank",IF(AM236="Row Not Used","",IF(OR(R236="No Controls",ISBLANK(R236)),"",INDEX(ControlsBPARefNoTable[Reference Number],MATCH(SectorField,ControlsBPARefNoTable[Sector],0)))))</f>
        <v>Sector is blank</v>
      </c>
      <c r="BF236" s="530" t="str">
        <f t="shared" si="101"/>
        <v/>
      </c>
      <c r="BG236" s="132" t="str">
        <f t="shared" si="102"/>
        <v/>
      </c>
      <c r="BH236" s="531" t="str">
        <f t="shared" si="103"/>
        <v/>
      </c>
      <c r="BI236" s="532"/>
      <c r="BJ236" s="538" t="str">
        <f t="shared" si="109"/>
        <v/>
      </c>
      <c r="BK236" s="539" t="str">
        <f t="shared" si="110"/>
        <v/>
      </c>
      <c r="BL236" s="547" t="str">
        <f t="shared" si="111"/>
        <v/>
      </c>
    </row>
    <row r="237" spans="1:64" x14ac:dyDescent="0.3">
      <c r="A237" s="133">
        <v>230</v>
      </c>
      <c r="B237" s="294"/>
      <c r="C237" s="313"/>
      <c r="D237" s="292"/>
      <c r="E237" s="284"/>
      <c r="F237" s="284"/>
      <c r="G237" s="295"/>
      <c r="H237" s="296"/>
      <c r="I237" s="297"/>
      <c r="J237" s="292"/>
      <c r="K237" s="284"/>
      <c r="L237" s="284"/>
      <c r="M237" s="295"/>
      <c r="N237" s="296"/>
      <c r="O237" s="296"/>
      <c r="P237" s="284"/>
      <c r="Q237" s="298"/>
      <c r="R237" s="292"/>
      <c r="S237" s="299"/>
      <c r="T237" s="300"/>
      <c r="U237" s="317" t="str">
        <f t="shared" si="85"/>
        <v/>
      </c>
      <c r="V237" s="301"/>
      <c r="W237" s="136" t="str">
        <f t="shared" si="86"/>
        <v/>
      </c>
      <c r="X237" s="588" t="str">
        <f t="shared" si="104"/>
        <v/>
      </c>
      <c r="Y237" s="580"/>
      <c r="Z237" s="251" t="str">
        <f t="shared" si="87"/>
        <v/>
      </c>
      <c r="AA237" s="138" t="str">
        <f t="shared" si="112"/>
        <v/>
      </c>
      <c r="AB237" s="243" t="str">
        <f t="shared" si="105"/>
        <v/>
      </c>
      <c r="AC237" s="141" t="str">
        <f t="shared" si="88"/>
        <v/>
      </c>
      <c r="AD237" s="138" t="str">
        <f t="shared" si="106"/>
        <v/>
      </c>
      <c r="AE237" s="243" t="str">
        <f t="shared" si="89"/>
        <v/>
      </c>
      <c r="AF237" s="342" t="str">
        <f>IF(AM237="Row Not Used","",INDEX(SpaceTable[Annual Hours],(MATCH(B237,SpaceTable[Space Name Concatenated Helper],0))))</f>
        <v/>
      </c>
      <c r="AG237" s="205" t="str">
        <f t="shared" si="90"/>
        <v/>
      </c>
      <c r="AH237" s="234" t="str">
        <f t="shared" si="91"/>
        <v/>
      </c>
      <c r="AI237" s="205" t="str">
        <f t="shared" si="92"/>
        <v/>
      </c>
      <c r="AJ237" s="234" t="str">
        <f t="shared" si="93"/>
        <v/>
      </c>
      <c r="AK237" s="144" t="str">
        <f>IF(AM237="Row Not Used","",INDEX(SpaceTable[Row],(MATCH(B237,SpaceTable[Space Name Concatenated Helper],0))))</f>
        <v/>
      </c>
      <c r="AL237" s="238" t="str">
        <f>IF(AM237="Row Not Used","",INDEX(SpaceTable[HVAC Factor],(MATCH(B237,SpaceTable[Space Name Concatenated Helper],0))))</f>
        <v/>
      </c>
      <c r="AM237" s="520" t="str">
        <f t="shared" si="94"/>
        <v>Row Not Used</v>
      </c>
      <c r="AN237" s="512" t="e" cm="1">
        <f t="array" ref="AN237">INDEX(BallastFactorTable[Ballast Factor],MATCH(1,(BallastFactorTable[Fixture Class]=D237)*(BallastFactorTable[Fixture Category]=E237)*(BallastFactorTable[Fixture Sub-category]=F237),0))</f>
        <v>#N/A</v>
      </c>
      <c r="AO237" s="143" t="str">
        <f t="shared" si="107"/>
        <v/>
      </c>
      <c r="AP237" s="501" t="e" cm="1">
        <f t="array" ref="AP237">INDEX(BallastFactorTable[Wattage Range Name],MATCH(1,(BallastFactorTable[Fixture Class]=D237)*(BallastFactorTable[Fixture Category]=E237)*(BallastFactorTable[Fixture Sub-category]=F237),0))</f>
        <v>#N/A</v>
      </c>
      <c r="AQ237" s="515" t="str">
        <f t="shared" ca="1" si="95"/>
        <v>Okay</v>
      </c>
      <c r="AR237" s="512">
        <f t="shared" si="96"/>
        <v>0</v>
      </c>
      <c r="AS237" s="511" t="str">
        <f>IF(OR(Measures!AM237="Row Not Used",Measures!C237="Controls Only",Measures!C237="Decommissioning"),"",_xlfn.CONCAT(P237," ",Q237))</f>
        <v/>
      </c>
      <c r="AT237" s="264" t="str">
        <f t="shared" si="97"/>
        <v>None</v>
      </c>
      <c r="AU237" s="229">
        <f>IF(OR(AM237="Row Not Used",AM237="Controls Only"),0,INDEX(IncentiveRateTable[Incentive Rate],MATCH(AT237,IncentiveRateTable[Incentive Name],0)))</f>
        <v>0</v>
      </c>
      <c r="AV237" s="133" t="str">
        <f>IF(OR(AM237="Row Not Used",AM237="Controls Only"),"None",INDEX(IncentiveRateTable[Incentive Unit],MATCH(AT237,IncentiveRateTable[Incentive Name],0)))</f>
        <v>None</v>
      </c>
      <c r="AW237" s="578">
        <f t="shared" si="108"/>
        <v>0</v>
      </c>
      <c r="AX237" s="264" t="str">
        <f t="shared" si="98"/>
        <v>None</v>
      </c>
      <c r="AY237" s="229">
        <f>IF(OR(AM237="Row Not Used",AM237="Fixtures Only",AM237="Decommissioning"),0,INDEX(IncentiveRateTable[Incentive Rate],MATCH(AX237,IncentiveRateTable[Incentive Name],0)))</f>
        <v>0</v>
      </c>
      <c r="AZ237" s="133" t="str">
        <f>IF(OR(AM237="Row Not Used",AM237="Fixtures Only",AM237="Decommissioning"),"None",INDEX(IncentiveRateTable[Incentive Unit],MATCH(AX237,IncentiveRateTable[Incentive Name],0)))</f>
        <v>None</v>
      </c>
      <c r="BA237" s="465">
        <f t="shared" si="99"/>
        <v>0</v>
      </c>
      <c r="BB237" s="264" t="e" cm="1">
        <f t="array" ref="BB237">INDEX(BallastFactorTable[Commercial BPA Reference Number],MATCH(1,(BallastFactorTable[Fixture Class]=J237)*(BallastFactorTable[Fixture Category]=K237)*(BallastFactorTable[Fixture Sub-category]=L237),0))</f>
        <v>#N/A</v>
      </c>
      <c r="BC237" s="133" t="e" cm="1">
        <f t="array" ref="BC237">INDEX(BallastFactorTable[Industrial BPA Reference Number],MATCH(1,(BallastFactorTable[Fixture Class]=J237)*(BallastFactorTable[Fixture Category]=K237)*(BallastFactorTable[Fixture Sub-category]=L237),0))</f>
        <v>#N/A</v>
      </c>
      <c r="BD237" s="264" t="str">
        <f t="shared" si="100"/>
        <v>Sector is blank</v>
      </c>
      <c r="BE237" s="269" t="str">
        <f>IF(ISBLANK(SectorField),"Sector is blank",IF(AM237="Row Not Used","",IF(OR(R237="No Controls",ISBLANK(R237)),"",INDEX(ControlsBPARefNoTable[Reference Number],MATCH(SectorField,ControlsBPARefNoTable[Sector],0)))))</f>
        <v>Sector is blank</v>
      </c>
      <c r="BF237" s="530" t="str">
        <f t="shared" si="101"/>
        <v/>
      </c>
      <c r="BG237" s="132" t="str">
        <f t="shared" si="102"/>
        <v/>
      </c>
      <c r="BH237" s="531" t="str">
        <f t="shared" si="103"/>
        <v/>
      </c>
      <c r="BI237" s="532"/>
      <c r="BJ237" s="538" t="str">
        <f t="shared" si="109"/>
        <v/>
      </c>
      <c r="BK237" s="539" t="str">
        <f t="shared" si="110"/>
        <v/>
      </c>
      <c r="BL237" s="547" t="str">
        <f t="shared" si="111"/>
        <v/>
      </c>
    </row>
    <row r="238" spans="1:64" x14ac:dyDescent="0.3">
      <c r="A238" s="133">
        <v>231</v>
      </c>
      <c r="B238" s="294"/>
      <c r="C238" s="313"/>
      <c r="D238" s="292"/>
      <c r="E238" s="284"/>
      <c r="F238" s="284"/>
      <c r="G238" s="295"/>
      <c r="H238" s="296"/>
      <c r="I238" s="297"/>
      <c r="J238" s="292"/>
      <c r="K238" s="284"/>
      <c r="L238" s="284"/>
      <c r="M238" s="295"/>
      <c r="N238" s="296"/>
      <c r="O238" s="296"/>
      <c r="P238" s="284"/>
      <c r="Q238" s="298"/>
      <c r="R238" s="292"/>
      <c r="S238" s="299"/>
      <c r="T238" s="300"/>
      <c r="U238" s="317" t="str">
        <f t="shared" si="85"/>
        <v/>
      </c>
      <c r="V238" s="301"/>
      <c r="W238" s="137" t="str">
        <f t="shared" si="86"/>
        <v/>
      </c>
      <c r="X238" s="589" t="str">
        <f t="shared" si="104"/>
        <v/>
      </c>
      <c r="Y238" s="581"/>
      <c r="Z238" s="251" t="str">
        <f t="shared" si="87"/>
        <v/>
      </c>
      <c r="AA238" s="138" t="str">
        <f t="shared" si="112"/>
        <v/>
      </c>
      <c r="AB238" s="243" t="str">
        <f t="shared" si="105"/>
        <v/>
      </c>
      <c r="AC238" s="141" t="str">
        <f t="shared" si="88"/>
        <v/>
      </c>
      <c r="AD238" s="138" t="str">
        <f t="shared" si="106"/>
        <v/>
      </c>
      <c r="AE238" s="243" t="str">
        <f t="shared" si="89"/>
        <v/>
      </c>
      <c r="AF238" s="342" t="str">
        <f>IF(AM238="Row Not Used","",INDEX(SpaceTable[Annual Hours],(MATCH(B238,SpaceTable[Space Name Concatenated Helper],0))))</f>
        <v/>
      </c>
      <c r="AG238" s="205" t="str">
        <f t="shared" si="90"/>
        <v/>
      </c>
      <c r="AH238" s="234" t="str">
        <f t="shared" si="91"/>
        <v/>
      </c>
      <c r="AI238" s="205" t="str">
        <f t="shared" si="92"/>
        <v/>
      </c>
      <c r="AJ238" s="234" t="str">
        <f t="shared" si="93"/>
        <v/>
      </c>
      <c r="AK238" s="144" t="str">
        <f>IF(AM238="Row Not Used","",INDEX(SpaceTable[Row],(MATCH(B238,SpaceTable[Space Name Concatenated Helper],0))))</f>
        <v/>
      </c>
      <c r="AL238" s="238" t="str">
        <f>IF(AM238="Row Not Used","",INDEX(SpaceTable[HVAC Factor],(MATCH(B238,SpaceTable[Space Name Concatenated Helper],0))))</f>
        <v/>
      </c>
      <c r="AM238" s="520" t="str">
        <f t="shared" si="94"/>
        <v>Row Not Used</v>
      </c>
      <c r="AN238" s="512" t="e" cm="1">
        <f t="array" ref="AN238">INDEX(BallastFactorTable[Ballast Factor],MATCH(1,(BallastFactorTable[Fixture Class]=D238)*(BallastFactorTable[Fixture Category]=E238)*(BallastFactorTable[Fixture Sub-category]=F238),0))</f>
        <v>#N/A</v>
      </c>
      <c r="AO238" s="143" t="str">
        <f t="shared" si="107"/>
        <v/>
      </c>
      <c r="AP238" s="501" t="e" cm="1">
        <f t="array" ref="AP238">INDEX(BallastFactorTable[Wattage Range Name],MATCH(1,(BallastFactorTable[Fixture Class]=D238)*(BallastFactorTable[Fixture Category]=E238)*(BallastFactorTable[Fixture Sub-category]=F238),0))</f>
        <v>#N/A</v>
      </c>
      <c r="AQ238" s="515" t="str">
        <f t="shared" ca="1" si="95"/>
        <v>Okay</v>
      </c>
      <c r="AR238" s="512">
        <f t="shared" si="96"/>
        <v>0</v>
      </c>
      <c r="AS238" s="511" t="str">
        <f>IF(OR(Measures!AM238="Row Not Used",Measures!C238="Controls Only",Measures!C238="Decommissioning"),"",_xlfn.CONCAT(P238," ",Q238))</f>
        <v/>
      </c>
      <c r="AT238" s="264" t="str">
        <f t="shared" si="97"/>
        <v>None</v>
      </c>
      <c r="AU238" s="229">
        <f>IF(OR(AM238="Row Not Used",AM238="Controls Only"),0,INDEX(IncentiveRateTable[Incentive Rate],MATCH(AT238,IncentiveRateTable[Incentive Name],0)))</f>
        <v>0</v>
      </c>
      <c r="AV238" s="133" t="str">
        <f>IF(OR(AM238="Row Not Used",AM238="Controls Only"),"None",INDEX(IncentiveRateTable[Incentive Unit],MATCH(AT238,IncentiveRateTable[Incentive Name],0)))</f>
        <v>None</v>
      </c>
      <c r="AW238" s="578">
        <f t="shared" si="108"/>
        <v>0</v>
      </c>
      <c r="AX238" s="264" t="str">
        <f t="shared" si="98"/>
        <v>None</v>
      </c>
      <c r="AY238" s="229">
        <f>IF(OR(AM238="Row Not Used",AM238="Fixtures Only",AM238="Decommissioning"),0,INDEX(IncentiveRateTable[Incentive Rate],MATCH(AX238,IncentiveRateTable[Incentive Name],0)))</f>
        <v>0</v>
      </c>
      <c r="AZ238" s="133" t="str">
        <f>IF(OR(AM238="Row Not Used",AM238="Fixtures Only",AM238="Decommissioning"),"None",INDEX(IncentiveRateTable[Incentive Unit],MATCH(AX238,IncentiveRateTable[Incentive Name],0)))</f>
        <v>None</v>
      </c>
      <c r="BA238" s="465">
        <f t="shared" si="99"/>
        <v>0</v>
      </c>
      <c r="BB238" s="264" t="e" cm="1">
        <f t="array" ref="BB238">INDEX(BallastFactorTable[Commercial BPA Reference Number],MATCH(1,(BallastFactorTable[Fixture Class]=J238)*(BallastFactorTable[Fixture Category]=K238)*(BallastFactorTable[Fixture Sub-category]=L238),0))</f>
        <v>#N/A</v>
      </c>
      <c r="BC238" s="133" t="e" cm="1">
        <f t="array" ref="BC238">INDEX(BallastFactorTable[Industrial BPA Reference Number],MATCH(1,(BallastFactorTable[Fixture Class]=J238)*(BallastFactorTable[Fixture Category]=K238)*(BallastFactorTable[Fixture Sub-category]=L238),0))</f>
        <v>#N/A</v>
      </c>
      <c r="BD238" s="264" t="str">
        <f t="shared" si="100"/>
        <v>Sector is blank</v>
      </c>
      <c r="BE238" s="269" t="str">
        <f>IF(ISBLANK(SectorField),"Sector is blank",IF(AM238="Row Not Used","",IF(OR(R238="No Controls",ISBLANK(R238)),"",INDEX(ControlsBPARefNoTable[Reference Number],MATCH(SectorField,ControlsBPARefNoTable[Sector],0)))))</f>
        <v>Sector is blank</v>
      </c>
      <c r="BF238" s="530" t="str">
        <f t="shared" si="101"/>
        <v/>
      </c>
      <c r="BG238" s="132" t="str">
        <f t="shared" si="102"/>
        <v/>
      </c>
      <c r="BH238" s="531" t="str">
        <f t="shared" si="103"/>
        <v/>
      </c>
      <c r="BI238" s="532"/>
      <c r="BJ238" s="538" t="str">
        <f t="shared" si="109"/>
        <v/>
      </c>
      <c r="BK238" s="539" t="str">
        <f t="shared" si="110"/>
        <v/>
      </c>
      <c r="BL238" s="547" t="str">
        <f t="shared" si="111"/>
        <v/>
      </c>
    </row>
    <row r="239" spans="1:64" x14ac:dyDescent="0.3">
      <c r="A239" s="133">
        <v>232</v>
      </c>
      <c r="B239" s="294"/>
      <c r="C239" s="313"/>
      <c r="D239" s="292"/>
      <c r="E239" s="284"/>
      <c r="F239" s="284"/>
      <c r="G239" s="295"/>
      <c r="H239" s="296"/>
      <c r="I239" s="297"/>
      <c r="J239" s="292"/>
      <c r="K239" s="284"/>
      <c r="L239" s="284"/>
      <c r="M239" s="295"/>
      <c r="N239" s="296"/>
      <c r="O239" s="296"/>
      <c r="P239" s="284"/>
      <c r="Q239" s="298"/>
      <c r="R239" s="292"/>
      <c r="S239" s="299"/>
      <c r="T239" s="300"/>
      <c r="U239" s="317" t="str">
        <f t="shared" si="85"/>
        <v/>
      </c>
      <c r="V239" s="301"/>
      <c r="W239" s="136" t="str">
        <f t="shared" si="86"/>
        <v/>
      </c>
      <c r="X239" s="588" t="str">
        <f t="shared" si="104"/>
        <v/>
      </c>
      <c r="Y239" s="580"/>
      <c r="Z239" s="251" t="str">
        <f t="shared" si="87"/>
        <v/>
      </c>
      <c r="AA239" s="138" t="str">
        <f t="shared" si="112"/>
        <v/>
      </c>
      <c r="AB239" s="243" t="str">
        <f t="shared" si="105"/>
        <v/>
      </c>
      <c r="AC239" s="141" t="str">
        <f t="shared" si="88"/>
        <v/>
      </c>
      <c r="AD239" s="138" t="str">
        <f t="shared" si="106"/>
        <v/>
      </c>
      <c r="AE239" s="243" t="str">
        <f t="shared" si="89"/>
        <v/>
      </c>
      <c r="AF239" s="342" t="str">
        <f>IF(AM239="Row Not Used","",INDEX(SpaceTable[Annual Hours],(MATCH(B239,SpaceTable[Space Name Concatenated Helper],0))))</f>
        <v/>
      </c>
      <c r="AG239" s="205" t="str">
        <f t="shared" si="90"/>
        <v/>
      </c>
      <c r="AH239" s="234" t="str">
        <f t="shared" si="91"/>
        <v/>
      </c>
      <c r="AI239" s="205" t="str">
        <f t="shared" si="92"/>
        <v/>
      </c>
      <c r="AJ239" s="234" t="str">
        <f t="shared" si="93"/>
        <v/>
      </c>
      <c r="AK239" s="144" t="str">
        <f>IF(AM239="Row Not Used","",INDEX(SpaceTable[Row],(MATCH(B239,SpaceTable[Space Name Concatenated Helper],0))))</f>
        <v/>
      </c>
      <c r="AL239" s="238" t="str">
        <f>IF(AM239="Row Not Used","",INDEX(SpaceTable[HVAC Factor],(MATCH(B239,SpaceTable[Space Name Concatenated Helper],0))))</f>
        <v/>
      </c>
      <c r="AM239" s="520" t="str">
        <f t="shared" si="94"/>
        <v>Row Not Used</v>
      </c>
      <c r="AN239" s="512" t="e" cm="1">
        <f t="array" ref="AN239">INDEX(BallastFactorTable[Ballast Factor],MATCH(1,(BallastFactorTable[Fixture Class]=D239)*(BallastFactorTable[Fixture Category]=E239)*(BallastFactorTable[Fixture Sub-category]=F239),0))</f>
        <v>#N/A</v>
      </c>
      <c r="AO239" s="143" t="str">
        <f t="shared" si="107"/>
        <v/>
      </c>
      <c r="AP239" s="501" t="e" cm="1">
        <f t="array" ref="AP239">INDEX(BallastFactorTable[Wattage Range Name],MATCH(1,(BallastFactorTable[Fixture Class]=D239)*(BallastFactorTable[Fixture Category]=E239)*(BallastFactorTable[Fixture Sub-category]=F239),0))</f>
        <v>#N/A</v>
      </c>
      <c r="AQ239" s="515" t="str">
        <f t="shared" ca="1" si="95"/>
        <v>Okay</v>
      </c>
      <c r="AR239" s="512">
        <f t="shared" si="96"/>
        <v>0</v>
      </c>
      <c r="AS239" s="511" t="str">
        <f>IF(OR(Measures!AM239="Row Not Used",Measures!C239="Controls Only",Measures!C239="Decommissioning"),"",_xlfn.CONCAT(P239," ",Q239))</f>
        <v/>
      </c>
      <c r="AT239" s="264" t="str">
        <f t="shared" si="97"/>
        <v>None</v>
      </c>
      <c r="AU239" s="229">
        <f>IF(OR(AM239="Row Not Used",AM239="Controls Only"),0,INDEX(IncentiveRateTable[Incentive Rate],MATCH(AT239,IncentiveRateTable[Incentive Name],0)))</f>
        <v>0</v>
      </c>
      <c r="AV239" s="133" t="str">
        <f>IF(OR(AM239="Row Not Used",AM239="Controls Only"),"None",INDEX(IncentiveRateTable[Incentive Unit],MATCH(AT239,IncentiveRateTable[Incentive Name],0)))</f>
        <v>None</v>
      </c>
      <c r="AW239" s="578">
        <f t="shared" si="108"/>
        <v>0</v>
      </c>
      <c r="AX239" s="264" t="str">
        <f t="shared" si="98"/>
        <v>None</v>
      </c>
      <c r="AY239" s="229">
        <f>IF(OR(AM239="Row Not Used",AM239="Fixtures Only",AM239="Decommissioning"),0,INDEX(IncentiveRateTable[Incentive Rate],MATCH(AX239,IncentiveRateTable[Incentive Name],0)))</f>
        <v>0</v>
      </c>
      <c r="AZ239" s="133" t="str">
        <f>IF(OR(AM239="Row Not Used",AM239="Fixtures Only",AM239="Decommissioning"),"None",INDEX(IncentiveRateTable[Incentive Unit],MATCH(AX239,IncentiveRateTable[Incentive Name],0)))</f>
        <v>None</v>
      </c>
      <c r="BA239" s="465">
        <f t="shared" si="99"/>
        <v>0</v>
      </c>
      <c r="BB239" s="264" t="e" cm="1">
        <f t="array" ref="BB239">INDEX(BallastFactorTable[Commercial BPA Reference Number],MATCH(1,(BallastFactorTable[Fixture Class]=J239)*(BallastFactorTable[Fixture Category]=K239)*(BallastFactorTable[Fixture Sub-category]=L239),0))</f>
        <v>#N/A</v>
      </c>
      <c r="BC239" s="133" t="e" cm="1">
        <f t="array" ref="BC239">INDEX(BallastFactorTable[Industrial BPA Reference Number],MATCH(1,(BallastFactorTable[Fixture Class]=J239)*(BallastFactorTable[Fixture Category]=K239)*(BallastFactorTable[Fixture Sub-category]=L239),0))</f>
        <v>#N/A</v>
      </c>
      <c r="BD239" s="264" t="str">
        <f t="shared" si="100"/>
        <v>Sector is blank</v>
      </c>
      <c r="BE239" s="269" t="str">
        <f>IF(ISBLANK(SectorField),"Sector is blank",IF(AM239="Row Not Used","",IF(OR(R239="No Controls",ISBLANK(R239)),"",INDEX(ControlsBPARefNoTable[Reference Number],MATCH(SectorField,ControlsBPARefNoTable[Sector],0)))))</f>
        <v>Sector is blank</v>
      </c>
      <c r="BF239" s="530" t="str">
        <f t="shared" si="101"/>
        <v/>
      </c>
      <c r="BG239" s="132" t="str">
        <f t="shared" si="102"/>
        <v/>
      </c>
      <c r="BH239" s="531" t="str">
        <f t="shared" si="103"/>
        <v/>
      </c>
      <c r="BI239" s="532"/>
      <c r="BJ239" s="538" t="str">
        <f t="shared" si="109"/>
        <v/>
      </c>
      <c r="BK239" s="539" t="str">
        <f t="shared" si="110"/>
        <v/>
      </c>
      <c r="BL239" s="547" t="str">
        <f t="shared" si="111"/>
        <v/>
      </c>
    </row>
    <row r="240" spans="1:64" x14ac:dyDescent="0.3">
      <c r="A240" s="133">
        <v>233</v>
      </c>
      <c r="B240" s="294"/>
      <c r="C240" s="313"/>
      <c r="D240" s="292"/>
      <c r="E240" s="284"/>
      <c r="F240" s="284"/>
      <c r="G240" s="295"/>
      <c r="H240" s="296"/>
      <c r="I240" s="297"/>
      <c r="J240" s="292"/>
      <c r="K240" s="284"/>
      <c r="L240" s="284"/>
      <c r="M240" s="295"/>
      <c r="N240" s="296"/>
      <c r="O240" s="296"/>
      <c r="P240" s="284"/>
      <c r="Q240" s="298"/>
      <c r="R240" s="292"/>
      <c r="S240" s="299"/>
      <c r="T240" s="300"/>
      <c r="U240" s="317" t="str">
        <f t="shared" si="85"/>
        <v/>
      </c>
      <c r="V240" s="301"/>
      <c r="W240" s="137" t="str">
        <f t="shared" si="86"/>
        <v/>
      </c>
      <c r="X240" s="589" t="str">
        <f t="shared" si="104"/>
        <v/>
      </c>
      <c r="Y240" s="581"/>
      <c r="Z240" s="251" t="str">
        <f t="shared" si="87"/>
        <v/>
      </c>
      <c r="AA240" s="138" t="str">
        <f t="shared" si="112"/>
        <v/>
      </c>
      <c r="AB240" s="243" t="str">
        <f t="shared" si="105"/>
        <v/>
      </c>
      <c r="AC240" s="141" t="str">
        <f t="shared" si="88"/>
        <v/>
      </c>
      <c r="AD240" s="138" t="str">
        <f t="shared" si="106"/>
        <v/>
      </c>
      <c r="AE240" s="243" t="str">
        <f t="shared" si="89"/>
        <v/>
      </c>
      <c r="AF240" s="342" t="str">
        <f>IF(AM240="Row Not Used","",INDEX(SpaceTable[Annual Hours],(MATCH(B240,SpaceTable[Space Name Concatenated Helper],0))))</f>
        <v/>
      </c>
      <c r="AG240" s="205" t="str">
        <f t="shared" si="90"/>
        <v/>
      </c>
      <c r="AH240" s="234" t="str">
        <f t="shared" si="91"/>
        <v/>
      </c>
      <c r="AI240" s="205" t="str">
        <f t="shared" si="92"/>
        <v/>
      </c>
      <c r="AJ240" s="234" t="str">
        <f t="shared" si="93"/>
        <v/>
      </c>
      <c r="AK240" s="144" t="str">
        <f>IF(AM240="Row Not Used","",INDEX(SpaceTable[Row],(MATCH(B240,SpaceTable[Space Name Concatenated Helper],0))))</f>
        <v/>
      </c>
      <c r="AL240" s="238" t="str">
        <f>IF(AM240="Row Not Used","",INDEX(SpaceTable[HVAC Factor],(MATCH(B240,SpaceTable[Space Name Concatenated Helper],0))))</f>
        <v/>
      </c>
      <c r="AM240" s="520" t="str">
        <f t="shared" si="94"/>
        <v>Row Not Used</v>
      </c>
      <c r="AN240" s="512" t="e" cm="1">
        <f t="array" ref="AN240">INDEX(BallastFactorTable[Ballast Factor],MATCH(1,(BallastFactorTable[Fixture Class]=D240)*(BallastFactorTable[Fixture Category]=E240)*(BallastFactorTable[Fixture Sub-category]=F240),0))</f>
        <v>#N/A</v>
      </c>
      <c r="AO240" s="143" t="str">
        <f t="shared" si="107"/>
        <v/>
      </c>
      <c r="AP240" s="501" t="e" cm="1">
        <f t="array" ref="AP240">INDEX(BallastFactorTable[Wattage Range Name],MATCH(1,(BallastFactorTable[Fixture Class]=D240)*(BallastFactorTable[Fixture Category]=E240)*(BallastFactorTable[Fixture Sub-category]=F240),0))</f>
        <v>#N/A</v>
      </c>
      <c r="AQ240" s="515" t="str">
        <f t="shared" ca="1" si="95"/>
        <v>Okay</v>
      </c>
      <c r="AR240" s="512">
        <f t="shared" si="96"/>
        <v>0</v>
      </c>
      <c r="AS240" s="511" t="str">
        <f>IF(OR(Measures!AM240="Row Not Used",Measures!C240="Controls Only",Measures!C240="Decommissioning"),"",_xlfn.CONCAT(P240," ",Q240))</f>
        <v/>
      </c>
      <c r="AT240" s="264" t="str">
        <f t="shared" si="97"/>
        <v>None</v>
      </c>
      <c r="AU240" s="229">
        <f>IF(OR(AM240="Row Not Used",AM240="Controls Only"),0,INDEX(IncentiveRateTable[Incentive Rate],MATCH(AT240,IncentiveRateTable[Incentive Name],0)))</f>
        <v>0</v>
      </c>
      <c r="AV240" s="133" t="str">
        <f>IF(OR(AM240="Row Not Used",AM240="Controls Only"),"None",INDEX(IncentiveRateTable[Incentive Unit],MATCH(AT240,IncentiveRateTable[Incentive Name],0)))</f>
        <v>None</v>
      </c>
      <c r="AW240" s="578">
        <f t="shared" si="108"/>
        <v>0</v>
      </c>
      <c r="AX240" s="264" t="str">
        <f t="shared" si="98"/>
        <v>None</v>
      </c>
      <c r="AY240" s="229">
        <f>IF(OR(AM240="Row Not Used",AM240="Fixtures Only",AM240="Decommissioning"),0,INDEX(IncentiveRateTable[Incentive Rate],MATCH(AX240,IncentiveRateTable[Incentive Name],0)))</f>
        <v>0</v>
      </c>
      <c r="AZ240" s="133" t="str">
        <f>IF(OR(AM240="Row Not Used",AM240="Fixtures Only",AM240="Decommissioning"),"None",INDEX(IncentiveRateTable[Incentive Unit],MATCH(AX240,IncentiveRateTable[Incentive Name],0)))</f>
        <v>None</v>
      </c>
      <c r="BA240" s="465">
        <f t="shared" si="99"/>
        <v>0</v>
      </c>
      <c r="BB240" s="264" t="e" cm="1">
        <f t="array" ref="BB240">INDEX(BallastFactorTable[Commercial BPA Reference Number],MATCH(1,(BallastFactorTable[Fixture Class]=J240)*(BallastFactorTable[Fixture Category]=K240)*(BallastFactorTable[Fixture Sub-category]=L240),0))</f>
        <v>#N/A</v>
      </c>
      <c r="BC240" s="133" t="e" cm="1">
        <f t="array" ref="BC240">INDEX(BallastFactorTable[Industrial BPA Reference Number],MATCH(1,(BallastFactorTable[Fixture Class]=J240)*(BallastFactorTable[Fixture Category]=K240)*(BallastFactorTable[Fixture Sub-category]=L240),0))</f>
        <v>#N/A</v>
      </c>
      <c r="BD240" s="264" t="str">
        <f t="shared" si="100"/>
        <v>Sector is blank</v>
      </c>
      <c r="BE240" s="269" t="str">
        <f>IF(ISBLANK(SectorField),"Sector is blank",IF(AM240="Row Not Used","",IF(OR(R240="No Controls",ISBLANK(R240)),"",INDEX(ControlsBPARefNoTable[Reference Number],MATCH(SectorField,ControlsBPARefNoTable[Sector],0)))))</f>
        <v>Sector is blank</v>
      </c>
      <c r="BF240" s="530" t="str">
        <f t="shared" si="101"/>
        <v/>
      </c>
      <c r="BG240" s="132" t="str">
        <f t="shared" si="102"/>
        <v/>
      </c>
      <c r="BH240" s="531" t="str">
        <f t="shared" si="103"/>
        <v/>
      </c>
      <c r="BI240" s="532"/>
      <c r="BJ240" s="538" t="str">
        <f t="shared" si="109"/>
        <v/>
      </c>
      <c r="BK240" s="539" t="str">
        <f t="shared" si="110"/>
        <v/>
      </c>
      <c r="BL240" s="547" t="str">
        <f t="shared" si="111"/>
        <v/>
      </c>
    </row>
    <row r="241" spans="1:64" x14ac:dyDescent="0.3">
      <c r="A241" s="133">
        <v>234</v>
      </c>
      <c r="B241" s="294"/>
      <c r="C241" s="313"/>
      <c r="D241" s="292"/>
      <c r="E241" s="284"/>
      <c r="F241" s="284"/>
      <c r="G241" s="295"/>
      <c r="H241" s="296"/>
      <c r="I241" s="297"/>
      <c r="J241" s="292"/>
      <c r="K241" s="284"/>
      <c r="L241" s="284"/>
      <c r="M241" s="295"/>
      <c r="N241" s="296"/>
      <c r="O241" s="296"/>
      <c r="P241" s="284"/>
      <c r="Q241" s="298"/>
      <c r="R241" s="292"/>
      <c r="S241" s="299"/>
      <c r="T241" s="300"/>
      <c r="U241" s="317" t="str">
        <f t="shared" si="85"/>
        <v/>
      </c>
      <c r="V241" s="301"/>
      <c r="W241" s="136" t="str">
        <f t="shared" si="86"/>
        <v/>
      </c>
      <c r="X241" s="588" t="str">
        <f t="shared" si="104"/>
        <v/>
      </c>
      <c r="Y241" s="580"/>
      <c r="Z241" s="251" t="str">
        <f t="shared" si="87"/>
        <v/>
      </c>
      <c r="AA241" s="138" t="str">
        <f t="shared" si="112"/>
        <v/>
      </c>
      <c r="AB241" s="243" t="str">
        <f t="shared" si="105"/>
        <v/>
      </c>
      <c r="AC241" s="141" t="str">
        <f t="shared" si="88"/>
        <v/>
      </c>
      <c r="AD241" s="138" t="str">
        <f t="shared" si="106"/>
        <v/>
      </c>
      <c r="AE241" s="243" t="str">
        <f t="shared" si="89"/>
        <v/>
      </c>
      <c r="AF241" s="342" t="str">
        <f>IF(AM241="Row Not Used","",INDEX(SpaceTable[Annual Hours],(MATCH(B241,SpaceTable[Space Name Concatenated Helper],0))))</f>
        <v/>
      </c>
      <c r="AG241" s="205" t="str">
        <f t="shared" si="90"/>
        <v/>
      </c>
      <c r="AH241" s="234" t="str">
        <f t="shared" si="91"/>
        <v/>
      </c>
      <c r="AI241" s="205" t="str">
        <f t="shared" si="92"/>
        <v/>
      </c>
      <c r="AJ241" s="234" t="str">
        <f t="shared" si="93"/>
        <v/>
      </c>
      <c r="AK241" s="144" t="str">
        <f>IF(AM241="Row Not Used","",INDEX(SpaceTable[Row],(MATCH(B241,SpaceTable[Space Name Concatenated Helper],0))))</f>
        <v/>
      </c>
      <c r="AL241" s="238" t="str">
        <f>IF(AM241="Row Not Used","",INDEX(SpaceTable[HVAC Factor],(MATCH(B241,SpaceTable[Space Name Concatenated Helper],0))))</f>
        <v/>
      </c>
      <c r="AM241" s="520" t="str">
        <f t="shared" si="94"/>
        <v>Row Not Used</v>
      </c>
      <c r="AN241" s="512" t="e" cm="1">
        <f t="array" ref="AN241">INDEX(BallastFactorTable[Ballast Factor],MATCH(1,(BallastFactorTable[Fixture Class]=D241)*(BallastFactorTable[Fixture Category]=E241)*(BallastFactorTable[Fixture Sub-category]=F241),0))</f>
        <v>#N/A</v>
      </c>
      <c r="AO241" s="143" t="str">
        <f t="shared" si="107"/>
        <v/>
      </c>
      <c r="AP241" s="501" t="e" cm="1">
        <f t="array" ref="AP241">INDEX(BallastFactorTable[Wattage Range Name],MATCH(1,(BallastFactorTable[Fixture Class]=D241)*(BallastFactorTable[Fixture Category]=E241)*(BallastFactorTable[Fixture Sub-category]=F241),0))</f>
        <v>#N/A</v>
      </c>
      <c r="AQ241" s="515" t="str">
        <f t="shared" ca="1" si="95"/>
        <v>Okay</v>
      </c>
      <c r="AR241" s="512">
        <f t="shared" si="96"/>
        <v>0</v>
      </c>
      <c r="AS241" s="511" t="str">
        <f>IF(OR(Measures!AM241="Row Not Used",Measures!C241="Controls Only",Measures!C241="Decommissioning"),"",_xlfn.CONCAT(P241," ",Q241))</f>
        <v/>
      </c>
      <c r="AT241" s="264" t="str">
        <f t="shared" si="97"/>
        <v>None</v>
      </c>
      <c r="AU241" s="229">
        <f>IF(OR(AM241="Row Not Used",AM241="Controls Only"),0,INDEX(IncentiveRateTable[Incentive Rate],MATCH(AT241,IncentiveRateTable[Incentive Name],0)))</f>
        <v>0</v>
      </c>
      <c r="AV241" s="133" t="str">
        <f>IF(OR(AM241="Row Not Used",AM241="Controls Only"),"None",INDEX(IncentiveRateTable[Incentive Unit],MATCH(AT241,IncentiveRateTable[Incentive Name],0)))</f>
        <v>None</v>
      </c>
      <c r="AW241" s="578">
        <f t="shared" si="108"/>
        <v>0</v>
      </c>
      <c r="AX241" s="264" t="str">
        <f t="shared" si="98"/>
        <v>None</v>
      </c>
      <c r="AY241" s="229">
        <f>IF(OR(AM241="Row Not Used",AM241="Fixtures Only",AM241="Decommissioning"),0,INDEX(IncentiveRateTable[Incentive Rate],MATCH(AX241,IncentiveRateTable[Incentive Name],0)))</f>
        <v>0</v>
      </c>
      <c r="AZ241" s="133" t="str">
        <f>IF(OR(AM241="Row Not Used",AM241="Fixtures Only",AM241="Decommissioning"),"None",INDEX(IncentiveRateTable[Incentive Unit],MATCH(AX241,IncentiveRateTable[Incentive Name],0)))</f>
        <v>None</v>
      </c>
      <c r="BA241" s="465">
        <f t="shared" si="99"/>
        <v>0</v>
      </c>
      <c r="BB241" s="264" t="e" cm="1">
        <f t="array" ref="BB241">INDEX(BallastFactorTable[Commercial BPA Reference Number],MATCH(1,(BallastFactorTable[Fixture Class]=J241)*(BallastFactorTable[Fixture Category]=K241)*(BallastFactorTable[Fixture Sub-category]=L241),0))</f>
        <v>#N/A</v>
      </c>
      <c r="BC241" s="133" t="e" cm="1">
        <f t="array" ref="BC241">INDEX(BallastFactorTable[Industrial BPA Reference Number],MATCH(1,(BallastFactorTable[Fixture Class]=J241)*(BallastFactorTable[Fixture Category]=K241)*(BallastFactorTable[Fixture Sub-category]=L241),0))</f>
        <v>#N/A</v>
      </c>
      <c r="BD241" s="264" t="str">
        <f t="shared" si="100"/>
        <v>Sector is blank</v>
      </c>
      <c r="BE241" s="269" t="str">
        <f>IF(ISBLANK(SectorField),"Sector is blank",IF(AM241="Row Not Used","",IF(OR(R241="No Controls",ISBLANK(R241)),"",INDEX(ControlsBPARefNoTable[Reference Number],MATCH(SectorField,ControlsBPARefNoTable[Sector],0)))))</f>
        <v>Sector is blank</v>
      </c>
      <c r="BF241" s="530" t="str">
        <f t="shared" si="101"/>
        <v/>
      </c>
      <c r="BG241" s="132" t="str">
        <f t="shared" si="102"/>
        <v/>
      </c>
      <c r="BH241" s="531" t="str">
        <f t="shared" si="103"/>
        <v/>
      </c>
      <c r="BI241" s="532"/>
      <c r="BJ241" s="538" t="str">
        <f t="shared" si="109"/>
        <v/>
      </c>
      <c r="BK241" s="539" t="str">
        <f t="shared" si="110"/>
        <v/>
      </c>
      <c r="BL241" s="547" t="str">
        <f t="shared" si="111"/>
        <v/>
      </c>
    </row>
    <row r="242" spans="1:64" x14ac:dyDescent="0.3">
      <c r="A242" s="133">
        <v>235</v>
      </c>
      <c r="B242" s="294"/>
      <c r="C242" s="313"/>
      <c r="D242" s="292"/>
      <c r="E242" s="284"/>
      <c r="F242" s="284"/>
      <c r="G242" s="295"/>
      <c r="H242" s="296"/>
      <c r="I242" s="297"/>
      <c r="J242" s="292"/>
      <c r="K242" s="284"/>
      <c r="L242" s="284"/>
      <c r="M242" s="295"/>
      <c r="N242" s="296"/>
      <c r="O242" s="296"/>
      <c r="P242" s="284"/>
      <c r="Q242" s="298"/>
      <c r="R242" s="292"/>
      <c r="S242" s="299"/>
      <c r="T242" s="300"/>
      <c r="U242" s="317" t="str">
        <f t="shared" si="85"/>
        <v/>
      </c>
      <c r="V242" s="301"/>
      <c r="W242" s="137" t="str">
        <f t="shared" si="86"/>
        <v/>
      </c>
      <c r="X242" s="589" t="str">
        <f t="shared" si="104"/>
        <v/>
      </c>
      <c r="Y242" s="581"/>
      <c r="Z242" s="251" t="str">
        <f t="shared" si="87"/>
        <v/>
      </c>
      <c r="AA242" s="138" t="str">
        <f t="shared" si="112"/>
        <v/>
      </c>
      <c r="AB242" s="243" t="str">
        <f t="shared" si="105"/>
        <v/>
      </c>
      <c r="AC242" s="141" t="str">
        <f t="shared" si="88"/>
        <v/>
      </c>
      <c r="AD242" s="138" t="str">
        <f t="shared" si="106"/>
        <v/>
      </c>
      <c r="AE242" s="243" t="str">
        <f t="shared" si="89"/>
        <v/>
      </c>
      <c r="AF242" s="342" t="str">
        <f>IF(AM242="Row Not Used","",INDEX(SpaceTable[Annual Hours],(MATCH(B242,SpaceTable[Space Name Concatenated Helper],0))))</f>
        <v/>
      </c>
      <c r="AG242" s="205" t="str">
        <f t="shared" si="90"/>
        <v/>
      </c>
      <c r="AH242" s="234" t="str">
        <f t="shared" si="91"/>
        <v/>
      </c>
      <c r="AI242" s="205" t="str">
        <f t="shared" si="92"/>
        <v/>
      </c>
      <c r="AJ242" s="234" t="str">
        <f t="shared" si="93"/>
        <v/>
      </c>
      <c r="AK242" s="144" t="str">
        <f>IF(AM242="Row Not Used","",INDEX(SpaceTable[Row],(MATCH(B242,SpaceTable[Space Name Concatenated Helper],0))))</f>
        <v/>
      </c>
      <c r="AL242" s="238" t="str">
        <f>IF(AM242="Row Not Used","",INDEX(SpaceTable[HVAC Factor],(MATCH(B242,SpaceTable[Space Name Concatenated Helper],0))))</f>
        <v/>
      </c>
      <c r="AM242" s="520" t="str">
        <f t="shared" si="94"/>
        <v>Row Not Used</v>
      </c>
      <c r="AN242" s="512" t="e" cm="1">
        <f t="array" ref="AN242">INDEX(BallastFactorTable[Ballast Factor],MATCH(1,(BallastFactorTable[Fixture Class]=D242)*(BallastFactorTable[Fixture Category]=E242)*(BallastFactorTable[Fixture Sub-category]=F242),0))</f>
        <v>#N/A</v>
      </c>
      <c r="AO242" s="143" t="str">
        <f t="shared" si="107"/>
        <v/>
      </c>
      <c r="AP242" s="501" t="e" cm="1">
        <f t="array" ref="AP242">INDEX(BallastFactorTable[Wattage Range Name],MATCH(1,(BallastFactorTable[Fixture Class]=D242)*(BallastFactorTable[Fixture Category]=E242)*(BallastFactorTable[Fixture Sub-category]=F242),0))</f>
        <v>#N/A</v>
      </c>
      <c r="AQ242" s="515" t="str">
        <f t="shared" ca="1" si="95"/>
        <v>Okay</v>
      </c>
      <c r="AR242" s="512">
        <f t="shared" si="96"/>
        <v>0</v>
      </c>
      <c r="AS242" s="511" t="str">
        <f>IF(OR(Measures!AM242="Row Not Used",Measures!C242="Controls Only",Measures!C242="Decommissioning"),"",_xlfn.CONCAT(P242," ",Q242))</f>
        <v/>
      </c>
      <c r="AT242" s="264" t="str">
        <f t="shared" si="97"/>
        <v>None</v>
      </c>
      <c r="AU242" s="229">
        <f>IF(OR(AM242="Row Not Used",AM242="Controls Only"),0,INDEX(IncentiveRateTable[Incentive Rate],MATCH(AT242,IncentiveRateTable[Incentive Name],0)))</f>
        <v>0</v>
      </c>
      <c r="AV242" s="133" t="str">
        <f>IF(OR(AM242="Row Not Used",AM242="Controls Only"),"None",INDEX(IncentiveRateTable[Incentive Unit],MATCH(AT242,IncentiveRateTable[Incentive Name],0)))</f>
        <v>None</v>
      </c>
      <c r="AW242" s="578">
        <f t="shared" si="108"/>
        <v>0</v>
      </c>
      <c r="AX242" s="264" t="str">
        <f t="shared" si="98"/>
        <v>None</v>
      </c>
      <c r="AY242" s="229">
        <f>IF(OR(AM242="Row Not Used",AM242="Fixtures Only",AM242="Decommissioning"),0,INDEX(IncentiveRateTable[Incentive Rate],MATCH(AX242,IncentiveRateTable[Incentive Name],0)))</f>
        <v>0</v>
      </c>
      <c r="AZ242" s="133" t="str">
        <f>IF(OR(AM242="Row Not Used",AM242="Fixtures Only",AM242="Decommissioning"),"None",INDEX(IncentiveRateTable[Incentive Unit],MATCH(AX242,IncentiveRateTable[Incentive Name],0)))</f>
        <v>None</v>
      </c>
      <c r="BA242" s="465">
        <f t="shared" si="99"/>
        <v>0</v>
      </c>
      <c r="BB242" s="264" t="e" cm="1">
        <f t="array" ref="BB242">INDEX(BallastFactorTable[Commercial BPA Reference Number],MATCH(1,(BallastFactorTable[Fixture Class]=J242)*(BallastFactorTable[Fixture Category]=K242)*(BallastFactorTable[Fixture Sub-category]=L242),0))</f>
        <v>#N/A</v>
      </c>
      <c r="BC242" s="133" t="e" cm="1">
        <f t="array" ref="BC242">INDEX(BallastFactorTable[Industrial BPA Reference Number],MATCH(1,(BallastFactorTable[Fixture Class]=J242)*(BallastFactorTable[Fixture Category]=K242)*(BallastFactorTable[Fixture Sub-category]=L242),0))</f>
        <v>#N/A</v>
      </c>
      <c r="BD242" s="264" t="str">
        <f t="shared" si="100"/>
        <v>Sector is blank</v>
      </c>
      <c r="BE242" s="269" t="str">
        <f>IF(ISBLANK(SectorField),"Sector is blank",IF(AM242="Row Not Used","",IF(OR(R242="No Controls",ISBLANK(R242)),"",INDEX(ControlsBPARefNoTable[Reference Number],MATCH(SectorField,ControlsBPARefNoTable[Sector],0)))))</f>
        <v>Sector is blank</v>
      </c>
      <c r="BF242" s="530" t="str">
        <f t="shared" si="101"/>
        <v/>
      </c>
      <c r="BG242" s="132" t="str">
        <f t="shared" si="102"/>
        <v/>
      </c>
      <c r="BH242" s="531" t="str">
        <f t="shared" si="103"/>
        <v/>
      </c>
      <c r="BI242" s="532"/>
      <c r="BJ242" s="538" t="str">
        <f t="shared" si="109"/>
        <v/>
      </c>
      <c r="BK242" s="539" t="str">
        <f t="shared" si="110"/>
        <v/>
      </c>
      <c r="BL242" s="547" t="str">
        <f t="shared" si="111"/>
        <v/>
      </c>
    </row>
    <row r="243" spans="1:64" x14ac:dyDescent="0.3">
      <c r="A243" s="133">
        <v>236</v>
      </c>
      <c r="B243" s="294"/>
      <c r="C243" s="313"/>
      <c r="D243" s="292"/>
      <c r="E243" s="284"/>
      <c r="F243" s="284"/>
      <c r="G243" s="295"/>
      <c r="H243" s="296"/>
      <c r="I243" s="297"/>
      <c r="J243" s="292"/>
      <c r="K243" s="284"/>
      <c r="L243" s="284"/>
      <c r="M243" s="295"/>
      <c r="N243" s="296"/>
      <c r="O243" s="296"/>
      <c r="P243" s="284"/>
      <c r="Q243" s="298"/>
      <c r="R243" s="292"/>
      <c r="S243" s="299"/>
      <c r="T243" s="300"/>
      <c r="U243" s="317" t="str">
        <f t="shared" si="85"/>
        <v/>
      </c>
      <c r="V243" s="301"/>
      <c r="W243" s="136" t="str">
        <f t="shared" si="86"/>
        <v/>
      </c>
      <c r="X243" s="588" t="str">
        <f t="shared" si="104"/>
        <v/>
      </c>
      <c r="Y243" s="580"/>
      <c r="Z243" s="251" t="str">
        <f t="shared" si="87"/>
        <v/>
      </c>
      <c r="AA243" s="138" t="str">
        <f t="shared" si="112"/>
        <v/>
      </c>
      <c r="AB243" s="243" t="str">
        <f t="shared" si="105"/>
        <v/>
      </c>
      <c r="AC243" s="141" t="str">
        <f t="shared" si="88"/>
        <v/>
      </c>
      <c r="AD243" s="138" t="str">
        <f t="shared" si="106"/>
        <v/>
      </c>
      <c r="AE243" s="243" t="str">
        <f t="shared" si="89"/>
        <v/>
      </c>
      <c r="AF243" s="342" t="str">
        <f>IF(AM243="Row Not Used","",INDEX(SpaceTable[Annual Hours],(MATCH(B243,SpaceTable[Space Name Concatenated Helper],0))))</f>
        <v/>
      </c>
      <c r="AG243" s="205" t="str">
        <f t="shared" si="90"/>
        <v/>
      </c>
      <c r="AH243" s="234" t="str">
        <f t="shared" si="91"/>
        <v/>
      </c>
      <c r="AI243" s="205" t="str">
        <f t="shared" si="92"/>
        <v/>
      </c>
      <c r="AJ243" s="234" t="str">
        <f t="shared" si="93"/>
        <v/>
      </c>
      <c r="AK243" s="144" t="str">
        <f>IF(AM243="Row Not Used","",INDEX(SpaceTable[Row],(MATCH(B243,SpaceTable[Space Name Concatenated Helper],0))))</f>
        <v/>
      </c>
      <c r="AL243" s="238" t="str">
        <f>IF(AM243="Row Not Used","",INDEX(SpaceTable[HVAC Factor],(MATCH(B243,SpaceTable[Space Name Concatenated Helper],0))))</f>
        <v/>
      </c>
      <c r="AM243" s="520" t="str">
        <f t="shared" si="94"/>
        <v>Row Not Used</v>
      </c>
      <c r="AN243" s="512" t="e" cm="1">
        <f t="array" ref="AN243">INDEX(BallastFactorTable[Ballast Factor],MATCH(1,(BallastFactorTable[Fixture Class]=D243)*(BallastFactorTable[Fixture Category]=E243)*(BallastFactorTable[Fixture Sub-category]=F243),0))</f>
        <v>#N/A</v>
      </c>
      <c r="AO243" s="143" t="str">
        <f t="shared" si="107"/>
        <v/>
      </c>
      <c r="AP243" s="501" t="e" cm="1">
        <f t="array" ref="AP243">INDEX(BallastFactorTable[Wattage Range Name],MATCH(1,(BallastFactorTable[Fixture Class]=D243)*(BallastFactorTable[Fixture Category]=E243)*(BallastFactorTable[Fixture Sub-category]=F243),0))</f>
        <v>#N/A</v>
      </c>
      <c r="AQ243" s="515" t="str">
        <f t="shared" ca="1" si="95"/>
        <v>Okay</v>
      </c>
      <c r="AR243" s="512">
        <f t="shared" si="96"/>
        <v>0</v>
      </c>
      <c r="AS243" s="511" t="str">
        <f>IF(OR(Measures!AM243="Row Not Used",Measures!C243="Controls Only",Measures!C243="Decommissioning"),"",_xlfn.CONCAT(P243," ",Q243))</f>
        <v/>
      </c>
      <c r="AT243" s="264" t="str">
        <f t="shared" si="97"/>
        <v>None</v>
      </c>
      <c r="AU243" s="229">
        <f>IF(OR(AM243="Row Not Used",AM243="Controls Only"),0,INDEX(IncentiveRateTable[Incentive Rate],MATCH(AT243,IncentiveRateTable[Incentive Name],0)))</f>
        <v>0</v>
      </c>
      <c r="AV243" s="133" t="str">
        <f>IF(OR(AM243="Row Not Used",AM243="Controls Only"),"None",INDEX(IncentiveRateTable[Incentive Unit],MATCH(AT243,IncentiveRateTable[Incentive Name],0)))</f>
        <v>None</v>
      </c>
      <c r="AW243" s="578">
        <f t="shared" si="108"/>
        <v>0</v>
      </c>
      <c r="AX243" s="264" t="str">
        <f t="shared" si="98"/>
        <v>None</v>
      </c>
      <c r="AY243" s="229">
        <f>IF(OR(AM243="Row Not Used",AM243="Fixtures Only",AM243="Decommissioning"),0,INDEX(IncentiveRateTable[Incentive Rate],MATCH(AX243,IncentiveRateTable[Incentive Name],0)))</f>
        <v>0</v>
      </c>
      <c r="AZ243" s="133" t="str">
        <f>IF(OR(AM243="Row Not Used",AM243="Fixtures Only",AM243="Decommissioning"),"None",INDEX(IncentiveRateTable[Incentive Unit],MATCH(AX243,IncentiveRateTable[Incentive Name],0)))</f>
        <v>None</v>
      </c>
      <c r="BA243" s="465">
        <f t="shared" si="99"/>
        <v>0</v>
      </c>
      <c r="BB243" s="264" t="e" cm="1">
        <f t="array" ref="BB243">INDEX(BallastFactorTable[Commercial BPA Reference Number],MATCH(1,(BallastFactorTable[Fixture Class]=J243)*(BallastFactorTable[Fixture Category]=K243)*(BallastFactorTable[Fixture Sub-category]=L243),0))</f>
        <v>#N/A</v>
      </c>
      <c r="BC243" s="133" t="e" cm="1">
        <f t="array" ref="BC243">INDEX(BallastFactorTable[Industrial BPA Reference Number],MATCH(1,(BallastFactorTable[Fixture Class]=J243)*(BallastFactorTable[Fixture Category]=K243)*(BallastFactorTable[Fixture Sub-category]=L243),0))</f>
        <v>#N/A</v>
      </c>
      <c r="BD243" s="264" t="str">
        <f t="shared" si="100"/>
        <v>Sector is blank</v>
      </c>
      <c r="BE243" s="269" t="str">
        <f>IF(ISBLANK(SectorField),"Sector is blank",IF(AM243="Row Not Used","",IF(OR(R243="No Controls",ISBLANK(R243)),"",INDEX(ControlsBPARefNoTable[Reference Number],MATCH(SectorField,ControlsBPARefNoTable[Sector],0)))))</f>
        <v>Sector is blank</v>
      </c>
      <c r="BF243" s="530" t="str">
        <f t="shared" si="101"/>
        <v/>
      </c>
      <c r="BG243" s="132" t="str">
        <f t="shared" si="102"/>
        <v/>
      </c>
      <c r="BH243" s="531" t="str">
        <f t="shared" si="103"/>
        <v/>
      </c>
      <c r="BI243" s="532"/>
      <c r="BJ243" s="538" t="str">
        <f t="shared" si="109"/>
        <v/>
      </c>
      <c r="BK243" s="539" t="str">
        <f t="shared" si="110"/>
        <v/>
      </c>
      <c r="BL243" s="547" t="str">
        <f t="shared" si="111"/>
        <v/>
      </c>
    </row>
    <row r="244" spans="1:64" x14ac:dyDescent="0.3">
      <c r="A244" s="133">
        <v>237</v>
      </c>
      <c r="B244" s="294"/>
      <c r="C244" s="313"/>
      <c r="D244" s="292"/>
      <c r="E244" s="284"/>
      <c r="F244" s="284"/>
      <c r="G244" s="295"/>
      <c r="H244" s="296"/>
      <c r="I244" s="297"/>
      <c r="J244" s="292"/>
      <c r="K244" s="284"/>
      <c r="L244" s="284"/>
      <c r="M244" s="295"/>
      <c r="N244" s="296"/>
      <c r="O244" s="296"/>
      <c r="P244" s="284"/>
      <c r="Q244" s="298"/>
      <c r="R244" s="292"/>
      <c r="S244" s="299"/>
      <c r="T244" s="300"/>
      <c r="U244" s="317" t="str">
        <f t="shared" si="85"/>
        <v/>
      </c>
      <c r="V244" s="301"/>
      <c r="W244" s="137" t="str">
        <f t="shared" si="86"/>
        <v/>
      </c>
      <c r="X244" s="589" t="str">
        <f t="shared" si="104"/>
        <v/>
      </c>
      <c r="Y244" s="581"/>
      <c r="Z244" s="251" t="str">
        <f t="shared" si="87"/>
        <v/>
      </c>
      <c r="AA244" s="138" t="str">
        <f t="shared" si="112"/>
        <v/>
      </c>
      <c r="AB244" s="243" t="str">
        <f t="shared" si="105"/>
        <v/>
      </c>
      <c r="AC244" s="141" t="str">
        <f t="shared" si="88"/>
        <v/>
      </c>
      <c r="AD244" s="138" t="str">
        <f t="shared" si="106"/>
        <v/>
      </c>
      <c r="AE244" s="243" t="str">
        <f t="shared" si="89"/>
        <v/>
      </c>
      <c r="AF244" s="342" t="str">
        <f>IF(AM244="Row Not Used","",INDEX(SpaceTable[Annual Hours],(MATCH(B244,SpaceTable[Space Name Concatenated Helper],0))))</f>
        <v/>
      </c>
      <c r="AG244" s="205" t="str">
        <f t="shared" si="90"/>
        <v/>
      </c>
      <c r="AH244" s="234" t="str">
        <f t="shared" si="91"/>
        <v/>
      </c>
      <c r="AI244" s="205" t="str">
        <f t="shared" si="92"/>
        <v/>
      </c>
      <c r="AJ244" s="234" t="str">
        <f t="shared" si="93"/>
        <v/>
      </c>
      <c r="AK244" s="144" t="str">
        <f>IF(AM244="Row Not Used","",INDEX(SpaceTable[Row],(MATCH(B244,SpaceTable[Space Name Concatenated Helper],0))))</f>
        <v/>
      </c>
      <c r="AL244" s="238" t="str">
        <f>IF(AM244="Row Not Used","",INDEX(SpaceTable[HVAC Factor],(MATCH(B244,SpaceTable[Space Name Concatenated Helper],0))))</f>
        <v/>
      </c>
      <c r="AM244" s="520" t="str">
        <f t="shared" si="94"/>
        <v>Row Not Used</v>
      </c>
      <c r="AN244" s="512" t="e" cm="1">
        <f t="array" ref="AN244">INDEX(BallastFactorTable[Ballast Factor],MATCH(1,(BallastFactorTable[Fixture Class]=D244)*(BallastFactorTable[Fixture Category]=E244)*(BallastFactorTable[Fixture Sub-category]=F244),0))</f>
        <v>#N/A</v>
      </c>
      <c r="AO244" s="143" t="str">
        <f t="shared" si="107"/>
        <v/>
      </c>
      <c r="AP244" s="501" t="e" cm="1">
        <f t="array" ref="AP244">INDEX(BallastFactorTable[Wattage Range Name],MATCH(1,(BallastFactorTable[Fixture Class]=D244)*(BallastFactorTable[Fixture Category]=E244)*(BallastFactorTable[Fixture Sub-category]=F244),0))</f>
        <v>#N/A</v>
      </c>
      <c r="AQ244" s="515" t="str">
        <f t="shared" ca="1" si="95"/>
        <v>Okay</v>
      </c>
      <c r="AR244" s="512">
        <f t="shared" si="96"/>
        <v>0</v>
      </c>
      <c r="AS244" s="511" t="str">
        <f>IF(OR(Measures!AM244="Row Not Used",Measures!C244="Controls Only",Measures!C244="Decommissioning"),"",_xlfn.CONCAT(P244," ",Q244))</f>
        <v/>
      </c>
      <c r="AT244" s="264" t="str">
        <f t="shared" si="97"/>
        <v>None</v>
      </c>
      <c r="AU244" s="229">
        <f>IF(OR(AM244="Row Not Used",AM244="Controls Only"),0,INDEX(IncentiveRateTable[Incentive Rate],MATCH(AT244,IncentiveRateTable[Incentive Name],0)))</f>
        <v>0</v>
      </c>
      <c r="AV244" s="133" t="str">
        <f>IF(OR(AM244="Row Not Used",AM244="Controls Only"),"None",INDEX(IncentiveRateTable[Incentive Unit],MATCH(AT244,IncentiveRateTable[Incentive Name],0)))</f>
        <v>None</v>
      </c>
      <c r="AW244" s="578">
        <f t="shared" si="108"/>
        <v>0</v>
      </c>
      <c r="AX244" s="264" t="str">
        <f t="shared" si="98"/>
        <v>None</v>
      </c>
      <c r="AY244" s="229">
        <f>IF(OR(AM244="Row Not Used",AM244="Fixtures Only",AM244="Decommissioning"),0,INDEX(IncentiveRateTable[Incentive Rate],MATCH(AX244,IncentiveRateTable[Incentive Name],0)))</f>
        <v>0</v>
      </c>
      <c r="AZ244" s="133" t="str">
        <f>IF(OR(AM244="Row Not Used",AM244="Fixtures Only",AM244="Decommissioning"),"None",INDEX(IncentiveRateTable[Incentive Unit],MATCH(AX244,IncentiveRateTable[Incentive Name],0)))</f>
        <v>None</v>
      </c>
      <c r="BA244" s="465">
        <f t="shared" si="99"/>
        <v>0</v>
      </c>
      <c r="BB244" s="264" t="e" cm="1">
        <f t="array" ref="BB244">INDEX(BallastFactorTable[Commercial BPA Reference Number],MATCH(1,(BallastFactorTable[Fixture Class]=J244)*(BallastFactorTable[Fixture Category]=K244)*(BallastFactorTable[Fixture Sub-category]=L244),0))</f>
        <v>#N/A</v>
      </c>
      <c r="BC244" s="133" t="e" cm="1">
        <f t="array" ref="BC244">INDEX(BallastFactorTable[Industrial BPA Reference Number],MATCH(1,(BallastFactorTable[Fixture Class]=J244)*(BallastFactorTable[Fixture Category]=K244)*(BallastFactorTable[Fixture Sub-category]=L244),0))</f>
        <v>#N/A</v>
      </c>
      <c r="BD244" s="264" t="str">
        <f t="shared" si="100"/>
        <v>Sector is blank</v>
      </c>
      <c r="BE244" s="269" t="str">
        <f>IF(ISBLANK(SectorField),"Sector is blank",IF(AM244="Row Not Used","",IF(OR(R244="No Controls",ISBLANK(R244)),"",INDEX(ControlsBPARefNoTable[Reference Number],MATCH(SectorField,ControlsBPARefNoTable[Sector],0)))))</f>
        <v>Sector is blank</v>
      </c>
      <c r="BF244" s="530" t="str">
        <f t="shared" si="101"/>
        <v/>
      </c>
      <c r="BG244" s="132" t="str">
        <f t="shared" si="102"/>
        <v/>
      </c>
      <c r="BH244" s="531" t="str">
        <f t="shared" si="103"/>
        <v/>
      </c>
      <c r="BI244" s="532"/>
      <c r="BJ244" s="538" t="str">
        <f t="shared" si="109"/>
        <v/>
      </c>
      <c r="BK244" s="539" t="str">
        <f t="shared" si="110"/>
        <v/>
      </c>
      <c r="BL244" s="547" t="str">
        <f t="shared" si="111"/>
        <v/>
      </c>
    </row>
    <row r="245" spans="1:64" x14ac:dyDescent="0.3">
      <c r="A245" s="133">
        <v>238</v>
      </c>
      <c r="B245" s="294"/>
      <c r="C245" s="313"/>
      <c r="D245" s="292"/>
      <c r="E245" s="284"/>
      <c r="F245" s="284"/>
      <c r="G245" s="295"/>
      <c r="H245" s="296"/>
      <c r="I245" s="297"/>
      <c r="J245" s="292"/>
      <c r="K245" s="284"/>
      <c r="L245" s="284"/>
      <c r="M245" s="295"/>
      <c r="N245" s="296"/>
      <c r="O245" s="296"/>
      <c r="P245" s="284"/>
      <c r="Q245" s="298"/>
      <c r="R245" s="292"/>
      <c r="S245" s="299"/>
      <c r="T245" s="300"/>
      <c r="U245" s="317" t="str">
        <f t="shared" si="85"/>
        <v/>
      </c>
      <c r="V245" s="301"/>
      <c r="W245" s="136" t="str">
        <f t="shared" si="86"/>
        <v/>
      </c>
      <c r="X245" s="588" t="str">
        <f t="shared" si="104"/>
        <v/>
      </c>
      <c r="Y245" s="580"/>
      <c r="Z245" s="251" t="str">
        <f t="shared" si="87"/>
        <v/>
      </c>
      <c r="AA245" s="138" t="str">
        <f t="shared" si="112"/>
        <v/>
      </c>
      <c r="AB245" s="243" t="str">
        <f t="shared" si="105"/>
        <v/>
      </c>
      <c r="AC245" s="141" t="str">
        <f t="shared" si="88"/>
        <v/>
      </c>
      <c r="AD245" s="138" t="str">
        <f t="shared" si="106"/>
        <v/>
      </c>
      <c r="AE245" s="243" t="str">
        <f t="shared" si="89"/>
        <v/>
      </c>
      <c r="AF245" s="342" t="str">
        <f>IF(AM245="Row Not Used","",INDEX(SpaceTable[Annual Hours],(MATCH(B245,SpaceTable[Space Name Concatenated Helper],0))))</f>
        <v/>
      </c>
      <c r="AG245" s="205" t="str">
        <f t="shared" si="90"/>
        <v/>
      </c>
      <c r="AH245" s="234" t="str">
        <f t="shared" si="91"/>
        <v/>
      </c>
      <c r="AI245" s="205" t="str">
        <f t="shared" si="92"/>
        <v/>
      </c>
      <c r="AJ245" s="234" t="str">
        <f t="shared" si="93"/>
        <v/>
      </c>
      <c r="AK245" s="144" t="str">
        <f>IF(AM245="Row Not Used","",INDEX(SpaceTable[Row],(MATCH(B245,SpaceTable[Space Name Concatenated Helper],0))))</f>
        <v/>
      </c>
      <c r="AL245" s="238" t="str">
        <f>IF(AM245="Row Not Used","",INDEX(SpaceTable[HVAC Factor],(MATCH(B245,SpaceTable[Space Name Concatenated Helper],0))))</f>
        <v/>
      </c>
      <c r="AM245" s="520" t="str">
        <f t="shared" si="94"/>
        <v>Row Not Used</v>
      </c>
      <c r="AN245" s="512" t="e" cm="1">
        <f t="array" ref="AN245">INDEX(BallastFactorTable[Ballast Factor],MATCH(1,(BallastFactorTable[Fixture Class]=D245)*(BallastFactorTable[Fixture Category]=E245)*(BallastFactorTable[Fixture Sub-category]=F245),0))</f>
        <v>#N/A</v>
      </c>
      <c r="AO245" s="143" t="str">
        <f t="shared" si="107"/>
        <v/>
      </c>
      <c r="AP245" s="501" t="e" cm="1">
        <f t="array" ref="AP245">INDEX(BallastFactorTable[Wattage Range Name],MATCH(1,(BallastFactorTable[Fixture Class]=D245)*(BallastFactorTable[Fixture Category]=E245)*(BallastFactorTable[Fixture Sub-category]=F245),0))</f>
        <v>#N/A</v>
      </c>
      <c r="AQ245" s="515" t="str">
        <f t="shared" ca="1" si="95"/>
        <v>Okay</v>
      </c>
      <c r="AR245" s="512">
        <f t="shared" si="96"/>
        <v>0</v>
      </c>
      <c r="AS245" s="511" t="str">
        <f>IF(OR(Measures!AM245="Row Not Used",Measures!C245="Controls Only",Measures!C245="Decommissioning"),"",_xlfn.CONCAT(P245," ",Q245))</f>
        <v/>
      </c>
      <c r="AT245" s="264" t="str">
        <f t="shared" si="97"/>
        <v>None</v>
      </c>
      <c r="AU245" s="229">
        <f>IF(OR(AM245="Row Not Used",AM245="Controls Only"),0,INDEX(IncentiveRateTable[Incentive Rate],MATCH(AT245,IncentiveRateTable[Incentive Name],0)))</f>
        <v>0</v>
      </c>
      <c r="AV245" s="133" t="str">
        <f>IF(OR(AM245="Row Not Used",AM245="Controls Only"),"None",INDEX(IncentiveRateTable[Incentive Unit],MATCH(AT245,IncentiveRateTable[Incentive Name],0)))</f>
        <v>None</v>
      </c>
      <c r="AW245" s="578">
        <f t="shared" si="108"/>
        <v>0</v>
      </c>
      <c r="AX245" s="264" t="str">
        <f t="shared" si="98"/>
        <v>None</v>
      </c>
      <c r="AY245" s="229">
        <f>IF(OR(AM245="Row Not Used",AM245="Fixtures Only",AM245="Decommissioning"),0,INDEX(IncentiveRateTable[Incentive Rate],MATCH(AX245,IncentiveRateTable[Incentive Name],0)))</f>
        <v>0</v>
      </c>
      <c r="AZ245" s="133" t="str">
        <f>IF(OR(AM245="Row Not Used",AM245="Fixtures Only",AM245="Decommissioning"),"None",INDEX(IncentiveRateTable[Incentive Unit],MATCH(AX245,IncentiveRateTable[Incentive Name],0)))</f>
        <v>None</v>
      </c>
      <c r="BA245" s="465">
        <f t="shared" si="99"/>
        <v>0</v>
      </c>
      <c r="BB245" s="264" t="e" cm="1">
        <f t="array" ref="BB245">INDEX(BallastFactorTable[Commercial BPA Reference Number],MATCH(1,(BallastFactorTable[Fixture Class]=J245)*(BallastFactorTable[Fixture Category]=K245)*(BallastFactorTable[Fixture Sub-category]=L245),0))</f>
        <v>#N/A</v>
      </c>
      <c r="BC245" s="133" t="e" cm="1">
        <f t="array" ref="BC245">INDEX(BallastFactorTable[Industrial BPA Reference Number],MATCH(1,(BallastFactorTable[Fixture Class]=J245)*(BallastFactorTable[Fixture Category]=K245)*(BallastFactorTable[Fixture Sub-category]=L245),0))</f>
        <v>#N/A</v>
      </c>
      <c r="BD245" s="264" t="str">
        <f t="shared" si="100"/>
        <v>Sector is blank</v>
      </c>
      <c r="BE245" s="269" t="str">
        <f>IF(ISBLANK(SectorField),"Sector is blank",IF(AM245="Row Not Used","",IF(OR(R245="No Controls",ISBLANK(R245)),"",INDEX(ControlsBPARefNoTable[Reference Number],MATCH(SectorField,ControlsBPARefNoTable[Sector],0)))))</f>
        <v>Sector is blank</v>
      </c>
      <c r="BF245" s="530" t="str">
        <f t="shared" si="101"/>
        <v/>
      </c>
      <c r="BG245" s="132" t="str">
        <f t="shared" si="102"/>
        <v/>
      </c>
      <c r="BH245" s="531" t="str">
        <f t="shared" si="103"/>
        <v/>
      </c>
      <c r="BI245" s="532"/>
      <c r="BJ245" s="538" t="str">
        <f t="shared" si="109"/>
        <v/>
      </c>
      <c r="BK245" s="539" t="str">
        <f t="shared" si="110"/>
        <v/>
      </c>
      <c r="BL245" s="547" t="str">
        <f t="shared" si="111"/>
        <v/>
      </c>
    </row>
    <row r="246" spans="1:64" x14ac:dyDescent="0.3">
      <c r="A246" s="133">
        <v>239</v>
      </c>
      <c r="B246" s="294"/>
      <c r="C246" s="313"/>
      <c r="D246" s="292"/>
      <c r="E246" s="284"/>
      <c r="F246" s="284"/>
      <c r="G246" s="295"/>
      <c r="H246" s="296"/>
      <c r="I246" s="297"/>
      <c r="J246" s="292"/>
      <c r="K246" s="284"/>
      <c r="L246" s="284"/>
      <c r="M246" s="295"/>
      <c r="N246" s="296"/>
      <c r="O246" s="296"/>
      <c r="P246" s="284"/>
      <c r="Q246" s="298"/>
      <c r="R246" s="292"/>
      <c r="S246" s="299"/>
      <c r="T246" s="300"/>
      <c r="U246" s="317" t="str">
        <f t="shared" si="85"/>
        <v/>
      </c>
      <c r="V246" s="301"/>
      <c r="W246" s="137" t="str">
        <f t="shared" si="86"/>
        <v/>
      </c>
      <c r="X246" s="589" t="str">
        <f t="shared" si="104"/>
        <v/>
      </c>
      <c r="Y246" s="581"/>
      <c r="Z246" s="251" t="str">
        <f t="shared" si="87"/>
        <v/>
      </c>
      <c r="AA246" s="138" t="str">
        <f t="shared" si="112"/>
        <v/>
      </c>
      <c r="AB246" s="243" t="str">
        <f t="shared" si="105"/>
        <v/>
      </c>
      <c r="AC246" s="141" t="str">
        <f t="shared" si="88"/>
        <v/>
      </c>
      <c r="AD246" s="138" t="str">
        <f t="shared" si="106"/>
        <v/>
      </c>
      <c r="AE246" s="243" t="str">
        <f t="shared" si="89"/>
        <v/>
      </c>
      <c r="AF246" s="342" t="str">
        <f>IF(AM246="Row Not Used","",INDEX(SpaceTable[Annual Hours],(MATCH(B246,SpaceTable[Space Name Concatenated Helper],0))))</f>
        <v/>
      </c>
      <c r="AG246" s="205" t="str">
        <f t="shared" si="90"/>
        <v/>
      </c>
      <c r="AH246" s="234" t="str">
        <f t="shared" si="91"/>
        <v/>
      </c>
      <c r="AI246" s="205" t="str">
        <f t="shared" si="92"/>
        <v/>
      </c>
      <c r="AJ246" s="234" t="str">
        <f t="shared" si="93"/>
        <v/>
      </c>
      <c r="AK246" s="144" t="str">
        <f>IF(AM246="Row Not Used","",INDEX(SpaceTable[Row],(MATCH(B246,SpaceTable[Space Name Concatenated Helper],0))))</f>
        <v/>
      </c>
      <c r="AL246" s="238" t="str">
        <f>IF(AM246="Row Not Used","",INDEX(SpaceTable[HVAC Factor],(MATCH(B246,SpaceTable[Space Name Concatenated Helper],0))))</f>
        <v/>
      </c>
      <c r="AM246" s="520" t="str">
        <f t="shared" si="94"/>
        <v>Row Not Used</v>
      </c>
      <c r="AN246" s="512" t="e" cm="1">
        <f t="array" ref="AN246">INDEX(BallastFactorTable[Ballast Factor],MATCH(1,(BallastFactorTable[Fixture Class]=D246)*(BallastFactorTable[Fixture Category]=E246)*(BallastFactorTable[Fixture Sub-category]=F246),0))</f>
        <v>#N/A</v>
      </c>
      <c r="AO246" s="143" t="str">
        <f t="shared" si="107"/>
        <v/>
      </c>
      <c r="AP246" s="501" t="e" cm="1">
        <f t="array" ref="AP246">INDEX(BallastFactorTable[Wattage Range Name],MATCH(1,(BallastFactorTable[Fixture Class]=D246)*(BallastFactorTable[Fixture Category]=E246)*(BallastFactorTable[Fixture Sub-category]=F246),0))</f>
        <v>#N/A</v>
      </c>
      <c r="AQ246" s="515" t="str">
        <f t="shared" ca="1" si="95"/>
        <v>Okay</v>
      </c>
      <c r="AR246" s="512">
        <f t="shared" si="96"/>
        <v>0</v>
      </c>
      <c r="AS246" s="511" t="str">
        <f>IF(OR(Measures!AM246="Row Not Used",Measures!C246="Controls Only",Measures!C246="Decommissioning"),"",_xlfn.CONCAT(P246," ",Q246))</f>
        <v/>
      </c>
      <c r="AT246" s="264" t="str">
        <f t="shared" si="97"/>
        <v>None</v>
      </c>
      <c r="AU246" s="229">
        <f>IF(OR(AM246="Row Not Used",AM246="Controls Only"),0,INDEX(IncentiveRateTable[Incentive Rate],MATCH(AT246,IncentiveRateTable[Incentive Name],0)))</f>
        <v>0</v>
      </c>
      <c r="AV246" s="133" t="str">
        <f>IF(OR(AM246="Row Not Used",AM246="Controls Only"),"None",INDEX(IncentiveRateTable[Incentive Unit],MATCH(AT246,IncentiveRateTable[Incentive Name],0)))</f>
        <v>None</v>
      </c>
      <c r="AW246" s="578">
        <f t="shared" si="108"/>
        <v>0</v>
      </c>
      <c r="AX246" s="264" t="str">
        <f t="shared" si="98"/>
        <v>None</v>
      </c>
      <c r="AY246" s="229">
        <f>IF(OR(AM246="Row Not Used",AM246="Fixtures Only",AM246="Decommissioning"),0,INDEX(IncentiveRateTable[Incentive Rate],MATCH(AX246,IncentiveRateTable[Incentive Name],0)))</f>
        <v>0</v>
      </c>
      <c r="AZ246" s="133" t="str">
        <f>IF(OR(AM246="Row Not Used",AM246="Fixtures Only",AM246="Decommissioning"),"None",INDEX(IncentiveRateTable[Incentive Unit],MATCH(AX246,IncentiveRateTable[Incentive Name],0)))</f>
        <v>None</v>
      </c>
      <c r="BA246" s="465">
        <f t="shared" si="99"/>
        <v>0</v>
      </c>
      <c r="BB246" s="264" t="e" cm="1">
        <f t="array" ref="BB246">INDEX(BallastFactorTable[Commercial BPA Reference Number],MATCH(1,(BallastFactorTable[Fixture Class]=J246)*(BallastFactorTable[Fixture Category]=K246)*(BallastFactorTable[Fixture Sub-category]=L246),0))</f>
        <v>#N/A</v>
      </c>
      <c r="BC246" s="133" t="e" cm="1">
        <f t="array" ref="BC246">INDEX(BallastFactorTable[Industrial BPA Reference Number],MATCH(1,(BallastFactorTable[Fixture Class]=J246)*(BallastFactorTable[Fixture Category]=K246)*(BallastFactorTable[Fixture Sub-category]=L246),0))</f>
        <v>#N/A</v>
      </c>
      <c r="BD246" s="264" t="str">
        <f t="shared" si="100"/>
        <v>Sector is blank</v>
      </c>
      <c r="BE246" s="269" t="str">
        <f>IF(ISBLANK(SectorField),"Sector is blank",IF(AM246="Row Not Used","",IF(OR(R246="No Controls",ISBLANK(R246)),"",INDEX(ControlsBPARefNoTable[Reference Number],MATCH(SectorField,ControlsBPARefNoTable[Sector],0)))))</f>
        <v>Sector is blank</v>
      </c>
      <c r="BF246" s="530" t="str">
        <f t="shared" si="101"/>
        <v/>
      </c>
      <c r="BG246" s="132" t="str">
        <f t="shared" si="102"/>
        <v/>
      </c>
      <c r="BH246" s="531" t="str">
        <f t="shared" si="103"/>
        <v/>
      </c>
      <c r="BI246" s="532"/>
      <c r="BJ246" s="538" t="str">
        <f t="shared" si="109"/>
        <v/>
      </c>
      <c r="BK246" s="539" t="str">
        <f t="shared" si="110"/>
        <v/>
      </c>
      <c r="BL246" s="547" t="str">
        <f t="shared" si="111"/>
        <v/>
      </c>
    </row>
    <row r="247" spans="1:64" x14ac:dyDescent="0.3">
      <c r="A247" s="133">
        <v>240</v>
      </c>
      <c r="B247" s="294"/>
      <c r="C247" s="313"/>
      <c r="D247" s="292"/>
      <c r="E247" s="284"/>
      <c r="F247" s="284"/>
      <c r="G247" s="295"/>
      <c r="H247" s="296"/>
      <c r="I247" s="297"/>
      <c r="J247" s="292"/>
      <c r="K247" s="284"/>
      <c r="L247" s="284"/>
      <c r="M247" s="295"/>
      <c r="N247" s="296"/>
      <c r="O247" s="296"/>
      <c r="P247" s="284"/>
      <c r="Q247" s="298"/>
      <c r="R247" s="292"/>
      <c r="S247" s="299"/>
      <c r="T247" s="300"/>
      <c r="U247" s="317" t="str">
        <f t="shared" si="85"/>
        <v/>
      </c>
      <c r="V247" s="301"/>
      <c r="W247" s="136" t="str">
        <f t="shared" si="86"/>
        <v/>
      </c>
      <c r="X247" s="588" t="str">
        <f t="shared" si="104"/>
        <v/>
      </c>
      <c r="Y247" s="580"/>
      <c r="Z247" s="251" t="str">
        <f t="shared" si="87"/>
        <v/>
      </c>
      <c r="AA247" s="138" t="str">
        <f t="shared" si="112"/>
        <v/>
      </c>
      <c r="AB247" s="243" t="str">
        <f t="shared" si="105"/>
        <v/>
      </c>
      <c r="AC247" s="141" t="str">
        <f t="shared" si="88"/>
        <v/>
      </c>
      <c r="AD247" s="138" t="str">
        <f t="shared" si="106"/>
        <v/>
      </c>
      <c r="AE247" s="243" t="str">
        <f t="shared" si="89"/>
        <v/>
      </c>
      <c r="AF247" s="342" t="str">
        <f>IF(AM247="Row Not Used","",INDEX(SpaceTable[Annual Hours],(MATCH(B247,SpaceTable[Space Name Concatenated Helper],0))))</f>
        <v/>
      </c>
      <c r="AG247" s="205" t="str">
        <f t="shared" si="90"/>
        <v/>
      </c>
      <c r="AH247" s="234" t="str">
        <f t="shared" si="91"/>
        <v/>
      </c>
      <c r="AI247" s="205" t="str">
        <f t="shared" si="92"/>
        <v/>
      </c>
      <c r="AJ247" s="234" t="str">
        <f t="shared" si="93"/>
        <v/>
      </c>
      <c r="AK247" s="144" t="str">
        <f>IF(AM247="Row Not Used","",INDEX(SpaceTable[Row],(MATCH(B247,SpaceTable[Space Name Concatenated Helper],0))))</f>
        <v/>
      </c>
      <c r="AL247" s="238" t="str">
        <f>IF(AM247="Row Not Used","",INDEX(SpaceTable[HVAC Factor],(MATCH(B247,SpaceTable[Space Name Concatenated Helper],0))))</f>
        <v/>
      </c>
      <c r="AM247" s="520" t="str">
        <f t="shared" si="94"/>
        <v>Row Not Used</v>
      </c>
      <c r="AN247" s="512" t="e" cm="1">
        <f t="array" ref="AN247">INDEX(BallastFactorTable[Ballast Factor],MATCH(1,(BallastFactorTable[Fixture Class]=D247)*(BallastFactorTable[Fixture Category]=E247)*(BallastFactorTable[Fixture Sub-category]=F247),0))</f>
        <v>#N/A</v>
      </c>
      <c r="AO247" s="143" t="str">
        <f t="shared" si="107"/>
        <v/>
      </c>
      <c r="AP247" s="501" t="e" cm="1">
        <f t="array" ref="AP247">INDEX(BallastFactorTable[Wattage Range Name],MATCH(1,(BallastFactorTable[Fixture Class]=D247)*(BallastFactorTable[Fixture Category]=E247)*(BallastFactorTable[Fixture Sub-category]=F247),0))</f>
        <v>#N/A</v>
      </c>
      <c r="AQ247" s="515" t="str">
        <f t="shared" ca="1" si="95"/>
        <v>Okay</v>
      </c>
      <c r="AR247" s="512">
        <f t="shared" si="96"/>
        <v>0</v>
      </c>
      <c r="AS247" s="511" t="str">
        <f>IF(OR(Measures!AM247="Row Not Used",Measures!C247="Controls Only",Measures!C247="Decommissioning"),"",_xlfn.CONCAT(P247," ",Q247))</f>
        <v/>
      </c>
      <c r="AT247" s="264" t="str">
        <f t="shared" si="97"/>
        <v>None</v>
      </c>
      <c r="AU247" s="229">
        <f>IF(OR(AM247="Row Not Used",AM247="Controls Only"),0,INDEX(IncentiveRateTable[Incentive Rate],MATCH(AT247,IncentiveRateTable[Incentive Name],0)))</f>
        <v>0</v>
      </c>
      <c r="AV247" s="133" t="str">
        <f>IF(OR(AM247="Row Not Used",AM247="Controls Only"),"None",INDEX(IncentiveRateTable[Incentive Unit],MATCH(AT247,IncentiveRateTable[Incentive Name],0)))</f>
        <v>None</v>
      </c>
      <c r="AW247" s="578">
        <f t="shared" si="108"/>
        <v>0</v>
      </c>
      <c r="AX247" s="264" t="str">
        <f t="shared" si="98"/>
        <v>None</v>
      </c>
      <c r="AY247" s="229">
        <f>IF(OR(AM247="Row Not Used",AM247="Fixtures Only",AM247="Decommissioning"),0,INDEX(IncentiveRateTable[Incentive Rate],MATCH(AX247,IncentiveRateTable[Incentive Name],0)))</f>
        <v>0</v>
      </c>
      <c r="AZ247" s="133" t="str">
        <f>IF(OR(AM247="Row Not Used",AM247="Fixtures Only",AM247="Decommissioning"),"None",INDEX(IncentiveRateTable[Incentive Unit],MATCH(AX247,IncentiveRateTable[Incentive Name],0)))</f>
        <v>None</v>
      </c>
      <c r="BA247" s="465">
        <f t="shared" si="99"/>
        <v>0</v>
      </c>
      <c r="BB247" s="264" t="e" cm="1">
        <f t="array" ref="BB247">INDEX(BallastFactorTable[Commercial BPA Reference Number],MATCH(1,(BallastFactorTable[Fixture Class]=J247)*(BallastFactorTable[Fixture Category]=K247)*(BallastFactorTable[Fixture Sub-category]=L247),0))</f>
        <v>#N/A</v>
      </c>
      <c r="BC247" s="133" t="e" cm="1">
        <f t="array" ref="BC247">INDEX(BallastFactorTable[Industrial BPA Reference Number],MATCH(1,(BallastFactorTable[Fixture Class]=J247)*(BallastFactorTable[Fixture Category]=K247)*(BallastFactorTable[Fixture Sub-category]=L247),0))</f>
        <v>#N/A</v>
      </c>
      <c r="BD247" s="264" t="str">
        <f t="shared" si="100"/>
        <v>Sector is blank</v>
      </c>
      <c r="BE247" s="269" t="str">
        <f>IF(ISBLANK(SectorField),"Sector is blank",IF(AM247="Row Not Used","",IF(OR(R247="No Controls",ISBLANK(R247)),"",INDEX(ControlsBPARefNoTable[Reference Number],MATCH(SectorField,ControlsBPARefNoTable[Sector],0)))))</f>
        <v>Sector is blank</v>
      </c>
      <c r="BF247" s="530" t="str">
        <f t="shared" si="101"/>
        <v/>
      </c>
      <c r="BG247" s="132" t="str">
        <f t="shared" si="102"/>
        <v/>
      </c>
      <c r="BH247" s="531" t="str">
        <f t="shared" si="103"/>
        <v/>
      </c>
      <c r="BI247" s="532"/>
      <c r="BJ247" s="538" t="str">
        <f t="shared" si="109"/>
        <v/>
      </c>
      <c r="BK247" s="539" t="str">
        <f t="shared" si="110"/>
        <v/>
      </c>
      <c r="BL247" s="547" t="str">
        <f t="shared" si="111"/>
        <v/>
      </c>
    </row>
    <row r="248" spans="1:64" x14ac:dyDescent="0.3">
      <c r="A248" s="133">
        <v>241</v>
      </c>
      <c r="B248" s="294"/>
      <c r="C248" s="313"/>
      <c r="D248" s="292"/>
      <c r="E248" s="284"/>
      <c r="F248" s="284"/>
      <c r="G248" s="295"/>
      <c r="H248" s="296"/>
      <c r="I248" s="297"/>
      <c r="J248" s="292"/>
      <c r="K248" s="284"/>
      <c r="L248" s="284"/>
      <c r="M248" s="295"/>
      <c r="N248" s="296"/>
      <c r="O248" s="296"/>
      <c r="P248" s="284"/>
      <c r="Q248" s="298"/>
      <c r="R248" s="292"/>
      <c r="S248" s="299"/>
      <c r="T248" s="300"/>
      <c r="U248" s="317" t="str">
        <f t="shared" si="85"/>
        <v/>
      </c>
      <c r="V248" s="301"/>
      <c r="W248" s="137" t="str">
        <f t="shared" si="86"/>
        <v/>
      </c>
      <c r="X248" s="589" t="str">
        <f t="shared" si="104"/>
        <v/>
      </c>
      <c r="Y248" s="581"/>
      <c r="Z248" s="251" t="str">
        <f t="shared" si="87"/>
        <v/>
      </c>
      <c r="AA248" s="138" t="str">
        <f t="shared" si="112"/>
        <v/>
      </c>
      <c r="AB248" s="243" t="str">
        <f t="shared" si="105"/>
        <v/>
      </c>
      <c r="AC248" s="141" t="str">
        <f t="shared" si="88"/>
        <v/>
      </c>
      <c r="AD248" s="138" t="str">
        <f t="shared" si="106"/>
        <v/>
      </c>
      <c r="AE248" s="243" t="str">
        <f t="shared" si="89"/>
        <v/>
      </c>
      <c r="AF248" s="342" t="str">
        <f>IF(AM248="Row Not Used","",INDEX(SpaceTable[Annual Hours],(MATCH(B248,SpaceTable[Space Name Concatenated Helper],0))))</f>
        <v/>
      </c>
      <c r="AG248" s="205" t="str">
        <f t="shared" si="90"/>
        <v/>
      </c>
      <c r="AH248" s="234" t="str">
        <f t="shared" si="91"/>
        <v/>
      </c>
      <c r="AI248" s="205" t="str">
        <f t="shared" si="92"/>
        <v/>
      </c>
      <c r="AJ248" s="234" t="str">
        <f t="shared" si="93"/>
        <v/>
      </c>
      <c r="AK248" s="144" t="str">
        <f>IF(AM248="Row Not Used","",INDEX(SpaceTable[Row],(MATCH(B248,SpaceTable[Space Name Concatenated Helper],0))))</f>
        <v/>
      </c>
      <c r="AL248" s="238" t="str">
        <f>IF(AM248="Row Not Used","",INDEX(SpaceTable[HVAC Factor],(MATCH(B248,SpaceTable[Space Name Concatenated Helper],0))))</f>
        <v/>
      </c>
      <c r="AM248" s="520" t="str">
        <f t="shared" si="94"/>
        <v>Row Not Used</v>
      </c>
      <c r="AN248" s="512" t="e" cm="1">
        <f t="array" ref="AN248">INDEX(BallastFactorTable[Ballast Factor],MATCH(1,(BallastFactorTable[Fixture Class]=D248)*(BallastFactorTable[Fixture Category]=E248)*(BallastFactorTable[Fixture Sub-category]=F248),0))</f>
        <v>#N/A</v>
      </c>
      <c r="AO248" s="143" t="str">
        <f t="shared" si="107"/>
        <v/>
      </c>
      <c r="AP248" s="501" t="e" cm="1">
        <f t="array" ref="AP248">INDEX(BallastFactorTable[Wattage Range Name],MATCH(1,(BallastFactorTable[Fixture Class]=D248)*(BallastFactorTable[Fixture Category]=E248)*(BallastFactorTable[Fixture Sub-category]=F248),0))</f>
        <v>#N/A</v>
      </c>
      <c r="AQ248" s="515" t="str">
        <f t="shared" ca="1" si="95"/>
        <v>Okay</v>
      </c>
      <c r="AR248" s="512">
        <f t="shared" si="96"/>
        <v>0</v>
      </c>
      <c r="AS248" s="511" t="str">
        <f>IF(OR(Measures!AM248="Row Not Used",Measures!C248="Controls Only",Measures!C248="Decommissioning"),"",_xlfn.CONCAT(P248," ",Q248))</f>
        <v/>
      </c>
      <c r="AT248" s="264" t="str">
        <f t="shared" si="97"/>
        <v>None</v>
      </c>
      <c r="AU248" s="229">
        <f>IF(OR(AM248="Row Not Used",AM248="Controls Only"),0,INDEX(IncentiveRateTable[Incentive Rate],MATCH(AT248,IncentiveRateTable[Incentive Name],0)))</f>
        <v>0</v>
      </c>
      <c r="AV248" s="133" t="str">
        <f>IF(OR(AM248="Row Not Used",AM248="Controls Only"),"None",INDEX(IncentiveRateTable[Incentive Unit],MATCH(AT248,IncentiveRateTable[Incentive Name],0)))</f>
        <v>None</v>
      </c>
      <c r="AW248" s="578">
        <f t="shared" si="108"/>
        <v>0</v>
      </c>
      <c r="AX248" s="264" t="str">
        <f t="shared" si="98"/>
        <v>None</v>
      </c>
      <c r="AY248" s="229">
        <f>IF(OR(AM248="Row Not Used",AM248="Fixtures Only",AM248="Decommissioning"),0,INDEX(IncentiveRateTable[Incentive Rate],MATCH(AX248,IncentiveRateTable[Incentive Name],0)))</f>
        <v>0</v>
      </c>
      <c r="AZ248" s="133" t="str">
        <f>IF(OR(AM248="Row Not Used",AM248="Fixtures Only",AM248="Decommissioning"),"None",INDEX(IncentiveRateTable[Incentive Unit],MATCH(AX248,IncentiveRateTable[Incentive Name],0)))</f>
        <v>None</v>
      </c>
      <c r="BA248" s="465">
        <f t="shared" si="99"/>
        <v>0</v>
      </c>
      <c r="BB248" s="264" t="e" cm="1">
        <f t="array" ref="BB248">INDEX(BallastFactorTable[Commercial BPA Reference Number],MATCH(1,(BallastFactorTable[Fixture Class]=J248)*(BallastFactorTable[Fixture Category]=K248)*(BallastFactorTable[Fixture Sub-category]=L248),0))</f>
        <v>#N/A</v>
      </c>
      <c r="BC248" s="133" t="e" cm="1">
        <f t="array" ref="BC248">INDEX(BallastFactorTable[Industrial BPA Reference Number],MATCH(1,(BallastFactorTable[Fixture Class]=J248)*(BallastFactorTable[Fixture Category]=K248)*(BallastFactorTable[Fixture Sub-category]=L248),0))</f>
        <v>#N/A</v>
      </c>
      <c r="BD248" s="264" t="str">
        <f t="shared" si="100"/>
        <v>Sector is blank</v>
      </c>
      <c r="BE248" s="269" t="str">
        <f>IF(ISBLANK(SectorField),"Sector is blank",IF(AM248="Row Not Used","",IF(OR(R248="No Controls",ISBLANK(R248)),"",INDEX(ControlsBPARefNoTable[Reference Number],MATCH(SectorField,ControlsBPARefNoTable[Sector],0)))))</f>
        <v>Sector is blank</v>
      </c>
      <c r="BF248" s="530" t="str">
        <f t="shared" si="101"/>
        <v/>
      </c>
      <c r="BG248" s="132" t="str">
        <f t="shared" si="102"/>
        <v/>
      </c>
      <c r="BH248" s="531" t="str">
        <f t="shared" si="103"/>
        <v/>
      </c>
      <c r="BI248" s="532"/>
      <c r="BJ248" s="538" t="str">
        <f t="shared" si="109"/>
        <v/>
      </c>
      <c r="BK248" s="539" t="str">
        <f t="shared" si="110"/>
        <v/>
      </c>
      <c r="BL248" s="547" t="str">
        <f t="shared" si="111"/>
        <v/>
      </c>
    </row>
    <row r="249" spans="1:64" x14ac:dyDescent="0.3">
      <c r="A249" s="133">
        <v>242</v>
      </c>
      <c r="B249" s="294"/>
      <c r="C249" s="313"/>
      <c r="D249" s="292"/>
      <c r="E249" s="284"/>
      <c r="F249" s="284"/>
      <c r="G249" s="295"/>
      <c r="H249" s="296"/>
      <c r="I249" s="297"/>
      <c r="J249" s="292"/>
      <c r="K249" s="284"/>
      <c r="L249" s="284"/>
      <c r="M249" s="295"/>
      <c r="N249" s="296"/>
      <c r="O249" s="296"/>
      <c r="P249" s="284"/>
      <c r="Q249" s="298"/>
      <c r="R249" s="292"/>
      <c r="S249" s="299"/>
      <c r="T249" s="300"/>
      <c r="U249" s="317" t="str">
        <f t="shared" si="85"/>
        <v/>
      </c>
      <c r="V249" s="301"/>
      <c r="W249" s="136" t="str">
        <f t="shared" si="86"/>
        <v/>
      </c>
      <c r="X249" s="588" t="str">
        <f t="shared" si="104"/>
        <v/>
      </c>
      <c r="Y249" s="580"/>
      <c r="Z249" s="251" t="str">
        <f t="shared" si="87"/>
        <v/>
      </c>
      <c r="AA249" s="138" t="str">
        <f t="shared" si="112"/>
        <v/>
      </c>
      <c r="AB249" s="243" t="str">
        <f t="shared" si="105"/>
        <v/>
      </c>
      <c r="AC249" s="141" t="str">
        <f t="shared" si="88"/>
        <v/>
      </c>
      <c r="AD249" s="138" t="str">
        <f t="shared" si="106"/>
        <v/>
      </c>
      <c r="AE249" s="243" t="str">
        <f t="shared" si="89"/>
        <v/>
      </c>
      <c r="AF249" s="342" t="str">
        <f>IF(AM249="Row Not Used","",INDEX(SpaceTable[Annual Hours],(MATCH(B249,SpaceTable[Space Name Concatenated Helper],0))))</f>
        <v/>
      </c>
      <c r="AG249" s="205" t="str">
        <f t="shared" si="90"/>
        <v/>
      </c>
      <c r="AH249" s="234" t="str">
        <f t="shared" si="91"/>
        <v/>
      </c>
      <c r="AI249" s="205" t="str">
        <f t="shared" si="92"/>
        <v/>
      </c>
      <c r="AJ249" s="234" t="str">
        <f t="shared" si="93"/>
        <v/>
      </c>
      <c r="AK249" s="144" t="str">
        <f>IF(AM249="Row Not Used","",INDEX(SpaceTable[Row],(MATCH(B249,SpaceTable[Space Name Concatenated Helper],0))))</f>
        <v/>
      </c>
      <c r="AL249" s="238" t="str">
        <f>IF(AM249="Row Not Used","",INDEX(SpaceTable[HVAC Factor],(MATCH(B249,SpaceTable[Space Name Concatenated Helper],0))))</f>
        <v/>
      </c>
      <c r="AM249" s="520" t="str">
        <f t="shared" si="94"/>
        <v>Row Not Used</v>
      </c>
      <c r="AN249" s="512" t="e" cm="1">
        <f t="array" ref="AN249">INDEX(BallastFactorTable[Ballast Factor],MATCH(1,(BallastFactorTable[Fixture Class]=D249)*(BallastFactorTable[Fixture Category]=E249)*(BallastFactorTable[Fixture Sub-category]=F249),0))</f>
        <v>#N/A</v>
      </c>
      <c r="AO249" s="143" t="str">
        <f t="shared" si="107"/>
        <v/>
      </c>
      <c r="AP249" s="501" t="e" cm="1">
        <f t="array" ref="AP249">INDEX(BallastFactorTable[Wattage Range Name],MATCH(1,(BallastFactorTable[Fixture Class]=D249)*(BallastFactorTable[Fixture Category]=E249)*(BallastFactorTable[Fixture Sub-category]=F249),0))</f>
        <v>#N/A</v>
      </c>
      <c r="AQ249" s="515" t="str">
        <f t="shared" ca="1" si="95"/>
        <v>Okay</v>
      </c>
      <c r="AR249" s="512">
        <f t="shared" si="96"/>
        <v>0</v>
      </c>
      <c r="AS249" s="511" t="str">
        <f>IF(OR(Measures!AM249="Row Not Used",Measures!C249="Controls Only",Measures!C249="Decommissioning"),"",_xlfn.CONCAT(P249," ",Q249))</f>
        <v/>
      </c>
      <c r="AT249" s="264" t="str">
        <f t="shared" si="97"/>
        <v>None</v>
      </c>
      <c r="AU249" s="229">
        <f>IF(OR(AM249="Row Not Used",AM249="Controls Only"),0,INDEX(IncentiveRateTable[Incentive Rate],MATCH(AT249,IncentiveRateTable[Incentive Name],0)))</f>
        <v>0</v>
      </c>
      <c r="AV249" s="133" t="str">
        <f>IF(OR(AM249="Row Not Used",AM249="Controls Only"),"None",INDEX(IncentiveRateTable[Incentive Unit],MATCH(AT249,IncentiveRateTable[Incentive Name],0)))</f>
        <v>None</v>
      </c>
      <c r="AW249" s="578">
        <f t="shared" si="108"/>
        <v>0</v>
      </c>
      <c r="AX249" s="264" t="str">
        <f t="shared" si="98"/>
        <v>None</v>
      </c>
      <c r="AY249" s="229">
        <f>IF(OR(AM249="Row Not Used",AM249="Fixtures Only",AM249="Decommissioning"),0,INDEX(IncentiveRateTable[Incentive Rate],MATCH(AX249,IncentiveRateTable[Incentive Name],0)))</f>
        <v>0</v>
      </c>
      <c r="AZ249" s="133" t="str">
        <f>IF(OR(AM249="Row Not Used",AM249="Fixtures Only",AM249="Decommissioning"),"None",INDEX(IncentiveRateTable[Incentive Unit],MATCH(AX249,IncentiveRateTable[Incentive Name],0)))</f>
        <v>None</v>
      </c>
      <c r="BA249" s="465">
        <f t="shared" si="99"/>
        <v>0</v>
      </c>
      <c r="BB249" s="264" t="e" cm="1">
        <f t="array" ref="BB249">INDEX(BallastFactorTable[Commercial BPA Reference Number],MATCH(1,(BallastFactorTable[Fixture Class]=J249)*(BallastFactorTable[Fixture Category]=K249)*(BallastFactorTable[Fixture Sub-category]=L249),0))</f>
        <v>#N/A</v>
      </c>
      <c r="BC249" s="133" t="e" cm="1">
        <f t="array" ref="BC249">INDEX(BallastFactorTable[Industrial BPA Reference Number],MATCH(1,(BallastFactorTable[Fixture Class]=J249)*(BallastFactorTable[Fixture Category]=K249)*(BallastFactorTable[Fixture Sub-category]=L249),0))</f>
        <v>#N/A</v>
      </c>
      <c r="BD249" s="264" t="str">
        <f t="shared" si="100"/>
        <v>Sector is blank</v>
      </c>
      <c r="BE249" s="269" t="str">
        <f>IF(ISBLANK(SectorField),"Sector is blank",IF(AM249="Row Not Used","",IF(OR(R249="No Controls",ISBLANK(R249)),"",INDEX(ControlsBPARefNoTable[Reference Number],MATCH(SectorField,ControlsBPARefNoTable[Sector],0)))))</f>
        <v>Sector is blank</v>
      </c>
      <c r="BF249" s="530" t="str">
        <f t="shared" si="101"/>
        <v/>
      </c>
      <c r="BG249" s="132" t="str">
        <f t="shared" si="102"/>
        <v/>
      </c>
      <c r="BH249" s="531" t="str">
        <f t="shared" si="103"/>
        <v/>
      </c>
      <c r="BI249" s="532"/>
      <c r="BJ249" s="538" t="str">
        <f t="shared" si="109"/>
        <v/>
      </c>
      <c r="BK249" s="539" t="str">
        <f t="shared" si="110"/>
        <v/>
      </c>
      <c r="BL249" s="547" t="str">
        <f t="shared" si="111"/>
        <v/>
      </c>
    </row>
    <row r="250" spans="1:64" x14ac:dyDescent="0.3">
      <c r="A250" s="133">
        <v>243</v>
      </c>
      <c r="B250" s="294"/>
      <c r="C250" s="313"/>
      <c r="D250" s="292"/>
      <c r="E250" s="284"/>
      <c r="F250" s="284"/>
      <c r="G250" s="295"/>
      <c r="H250" s="296"/>
      <c r="I250" s="297"/>
      <c r="J250" s="292"/>
      <c r="K250" s="284"/>
      <c r="L250" s="284"/>
      <c r="M250" s="295"/>
      <c r="N250" s="296"/>
      <c r="O250" s="296"/>
      <c r="P250" s="284"/>
      <c r="Q250" s="298"/>
      <c r="R250" s="292"/>
      <c r="S250" s="299"/>
      <c r="T250" s="300"/>
      <c r="U250" s="317" t="str">
        <f t="shared" si="85"/>
        <v/>
      </c>
      <c r="V250" s="301"/>
      <c r="W250" s="137" t="str">
        <f t="shared" si="86"/>
        <v/>
      </c>
      <c r="X250" s="589" t="str">
        <f t="shared" si="104"/>
        <v/>
      </c>
      <c r="Y250" s="581"/>
      <c r="Z250" s="251" t="str">
        <f t="shared" si="87"/>
        <v/>
      </c>
      <c r="AA250" s="138" t="str">
        <f t="shared" si="112"/>
        <v/>
      </c>
      <c r="AB250" s="243" t="str">
        <f t="shared" si="105"/>
        <v/>
      </c>
      <c r="AC250" s="141" t="str">
        <f t="shared" si="88"/>
        <v/>
      </c>
      <c r="AD250" s="138" t="str">
        <f t="shared" si="106"/>
        <v/>
      </c>
      <c r="AE250" s="243" t="str">
        <f t="shared" si="89"/>
        <v/>
      </c>
      <c r="AF250" s="342" t="str">
        <f>IF(AM250="Row Not Used","",INDEX(SpaceTable[Annual Hours],(MATCH(B250,SpaceTable[Space Name Concatenated Helper],0))))</f>
        <v/>
      </c>
      <c r="AG250" s="205" t="str">
        <f t="shared" si="90"/>
        <v/>
      </c>
      <c r="AH250" s="234" t="str">
        <f t="shared" si="91"/>
        <v/>
      </c>
      <c r="AI250" s="205" t="str">
        <f t="shared" si="92"/>
        <v/>
      </c>
      <c r="AJ250" s="234" t="str">
        <f t="shared" si="93"/>
        <v/>
      </c>
      <c r="AK250" s="144" t="str">
        <f>IF(AM250="Row Not Used","",INDEX(SpaceTable[Row],(MATCH(B250,SpaceTable[Space Name Concatenated Helper],0))))</f>
        <v/>
      </c>
      <c r="AL250" s="238" t="str">
        <f>IF(AM250="Row Not Used","",INDEX(SpaceTable[HVAC Factor],(MATCH(B250,SpaceTable[Space Name Concatenated Helper],0))))</f>
        <v/>
      </c>
      <c r="AM250" s="520" t="str">
        <f t="shared" si="94"/>
        <v>Row Not Used</v>
      </c>
      <c r="AN250" s="512" t="e" cm="1">
        <f t="array" ref="AN250">INDEX(BallastFactorTable[Ballast Factor],MATCH(1,(BallastFactorTable[Fixture Class]=D250)*(BallastFactorTable[Fixture Category]=E250)*(BallastFactorTable[Fixture Sub-category]=F250),0))</f>
        <v>#N/A</v>
      </c>
      <c r="AO250" s="143" t="str">
        <f t="shared" si="107"/>
        <v/>
      </c>
      <c r="AP250" s="501" t="e" cm="1">
        <f t="array" ref="AP250">INDEX(BallastFactorTable[Wattage Range Name],MATCH(1,(BallastFactorTable[Fixture Class]=D250)*(BallastFactorTable[Fixture Category]=E250)*(BallastFactorTable[Fixture Sub-category]=F250),0))</f>
        <v>#N/A</v>
      </c>
      <c r="AQ250" s="515" t="str">
        <f t="shared" ca="1" si="95"/>
        <v>Okay</v>
      </c>
      <c r="AR250" s="512">
        <f t="shared" si="96"/>
        <v>0</v>
      </c>
      <c r="AS250" s="511" t="str">
        <f>IF(OR(Measures!AM250="Row Not Used",Measures!C250="Controls Only",Measures!C250="Decommissioning"),"",_xlfn.CONCAT(P250," ",Q250))</f>
        <v/>
      </c>
      <c r="AT250" s="264" t="str">
        <f t="shared" si="97"/>
        <v>None</v>
      </c>
      <c r="AU250" s="229">
        <f>IF(OR(AM250="Row Not Used",AM250="Controls Only"),0,INDEX(IncentiveRateTable[Incentive Rate],MATCH(AT250,IncentiveRateTable[Incentive Name],0)))</f>
        <v>0</v>
      </c>
      <c r="AV250" s="133" t="str">
        <f>IF(OR(AM250="Row Not Used",AM250="Controls Only"),"None",INDEX(IncentiveRateTable[Incentive Unit],MATCH(AT250,IncentiveRateTable[Incentive Name],0)))</f>
        <v>None</v>
      </c>
      <c r="AW250" s="578">
        <f t="shared" si="108"/>
        <v>0</v>
      </c>
      <c r="AX250" s="264" t="str">
        <f t="shared" si="98"/>
        <v>None</v>
      </c>
      <c r="AY250" s="229">
        <f>IF(OR(AM250="Row Not Used",AM250="Fixtures Only",AM250="Decommissioning"),0,INDEX(IncentiveRateTable[Incentive Rate],MATCH(AX250,IncentiveRateTable[Incentive Name],0)))</f>
        <v>0</v>
      </c>
      <c r="AZ250" s="133" t="str">
        <f>IF(OR(AM250="Row Not Used",AM250="Fixtures Only",AM250="Decommissioning"),"None",INDEX(IncentiveRateTable[Incentive Unit],MATCH(AX250,IncentiveRateTable[Incentive Name],0)))</f>
        <v>None</v>
      </c>
      <c r="BA250" s="465">
        <f t="shared" si="99"/>
        <v>0</v>
      </c>
      <c r="BB250" s="264" t="e" cm="1">
        <f t="array" ref="BB250">INDEX(BallastFactorTable[Commercial BPA Reference Number],MATCH(1,(BallastFactorTable[Fixture Class]=J250)*(BallastFactorTable[Fixture Category]=K250)*(BallastFactorTable[Fixture Sub-category]=L250),0))</f>
        <v>#N/A</v>
      </c>
      <c r="BC250" s="133" t="e" cm="1">
        <f t="array" ref="BC250">INDEX(BallastFactorTable[Industrial BPA Reference Number],MATCH(1,(BallastFactorTable[Fixture Class]=J250)*(BallastFactorTable[Fixture Category]=K250)*(BallastFactorTable[Fixture Sub-category]=L250),0))</f>
        <v>#N/A</v>
      </c>
      <c r="BD250" s="264" t="str">
        <f t="shared" si="100"/>
        <v>Sector is blank</v>
      </c>
      <c r="BE250" s="269" t="str">
        <f>IF(ISBLANK(SectorField),"Sector is blank",IF(AM250="Row Not Used","",IF(OR(R250="No Controls",ISBLANK(R250)),"",INDEX(ControlsBPARefNoTable[Reference Number],MATCH(SectorField,ControlsBPARefNoTable[Sector],0)))))</f>
        <v>Sector is blank</v>
      </c>
      <c r="BF250" s="530" t="str">
        <f t="shared" si="101"/>
        <v/>
      </c>
      <c r="BG250" s="132" t="str">
        <f t="shared" si="102"/>
        <v/>
      </c>
      <c r="BH250" s="531" t="str">
        <f t="shared" si="103"/>
        <v/>
      </c>
      <c r="BI250" s="532"/>
      <c r="BJ250" s="538" t="str">
        <f t="shared" si="109"/>
        <v/>
      </c>
      <c r="BK250" s="539" t="str">
        <f t="shared" si="110"/>
        <v/>
      </c>
      <c r="BL250" s="547" t="str">
        <f t="shared" si="111"/>
        <v/>
      </c>
    </row>
    <row r="251" spans="1:64" x14ac:dyDescent="0.3">
      <c r="A251" s="133">
        <v>244</v>
      </c>
      <c r="B251" s="294"/>
      <c r="C251" s="313"/>
      <c r="D251" s="292"/>
      <c r="E251" s="284"/>
      <c r="F251" s="284"/>
      <c r="G251" s="295"/>
      <c r="H251" s="296"/>
      <c r="I251" s="297"/>
      <c r="J251" s="292"/>
      <c r="K251" s="284"/>
      <c r="L251" s="284"/>
      <c r="M251" s="295"/>
      <c r="N251" s="296"/>
      <c r="O251" s="296"/>
      <c r="P251" s="284"/>
      <c r="Q251" s="298"/>
      <c r="R251" s="292"/>
      <c r="S251" s="299"/>
      <c r="T251" s="300"/>
      <c r="U251" s="317" t="str">
        <f t="shared" si="85"/>
        <v/>
      </c>
      <c r="V251" s="301"/>
      <c r="W251" s="136" t="str">
        <f t="shared" si="86"/>
        <v/>
      </c>
      <c r="X251" s="588" t="str">
        <f t="shared" si="104"/>
        <v/>
      </c>
      <c r="Y251" s="580"/>
      <c r="Z251" s="251" t="str">
        <f t="shared" si="87"/>
        <v/>
      </c>
      <c r="AA251" s="138" t="str">
        <f t="shared" si="112"/>
        <v/>
      </c>
      <c r="AB251" s="243" t="str">
        <f t="shared" si="105"/>
        <v/>
      </c>
      <c r="AC251" s="141" t="str">
        <f t="shared" si="88"/>
        <v/>
      </c>
      <c r="AD251" s="138" t="str">
        <f t="shared" si="106"/>
        <v/>
      </c>
      <c r="AE251" s="243" t="str">
        <f t="shared" si="89"/>
        <v/>
      </c>
      <c r="AF251" s="342" t="str">
        <f>IF(AM251="Row Not Used","",INDEX(SpaceTable[Annual Hours],(MATCH(B251,SpaceTable[Space Name Concatenated Helper],0))))</f>
        <v/>
      </c>
      <c r="AG251" s="205" t="str">
        <f t="shared" si="90"/>
        <v/>
      </c>
      <c r="AH251" s="234" t="str">
        <f t="shared" si="91"/>
        <v/>
      </c>
      <c r="AI251" s="205" t="str">
        <f t="shared" si="92"/>
        <v/>
      </c>
      <c r="AJ251" s="234" t="str">
        <f t="shared" si="93"/>
        <v/>
      </c>
      <c r="AK251" s="144" t="str">
        <f>IF(AM251="Row Not Used","",INDEX(SpaceTable[Row],(MATCH(B251,SpaceTable[Space Name Concatenated Helper],0))))</f>
        <v/>
      </c>
      <c r="AL251" s="238" t="str">
        <f>IF(AM251="Row Not Used","",INDEX(SpaceTable[HVAC Factor],(MATCH(B251,SpaceTable[Space Name Concatenated Helper],0))))</f>
        <v/>
      </c>
      <c r="AM251" s="520" t="str">
        <f t="shared" si="94"/>
        <v>Row Not Used</v>
      </c>
      <c r="AN251" s="512" t="e" cm="1">
        <f t="array" ref="AN251">INDEX(BallastFactorTable[Ballast Factor],MATCH(1,(BallastFactorTable[Fixture Class]=D251)*(BallastFactorTable[Fixture Category]=E251)*(BallastFactorTable[Fixture Sub-category]=F251),0))</f>
        <v>#N/A</v>
      </c>
      <c r="AO251" s="143" t="str">
        <f t="shared" si="107"/>
        <v/>
      </c>
      <c r="AP251" s="501" t="e" cm="1">
        <f t="array" ref="AP251">INDEX(BallastFactorTable[Wattage Range Name],MATCH(1,(BallastFactorTable[Fixture Class]=D251)*(BallastFactorTable[Fixture Category]=E251)*(BallastFactorTable[Fixture Sub-category]=F251),0))</f>
        <v>#N/A</v>
      </c>
      <c r="AQ251" s="515" t="str">
        <f t="shared" ca="1" si="95"/>
        <v>Okay</v>
      </c>
      <c r="AR251" s="512">
        <f t="shared" si="96"/>
        <v>0</v>
      </c>
      <c r="AS251" s="511" t="str">
        <f>IF(OR(Measures!AM251="Row Not Used",Measures!C251="Controls Only",Measures!C251="Decommissioning"),"",_xlfn.CONCAT(P251," ",Q251))</f>
        <v/>
      </c>
      <c r="AT251" s="264" t="str">
        <f t="shared" si="97"/>
        <v>None</v>
      </c>
      <c r="AU251" s="229">
        <f>IF(OR(AM251="Row Not Used",AM251="Controls Only"),0,INDEX(IncentiveRateTable[Incentive Rate],MATCH(AT251,IncentiveRateTable[Incentive Name],0)))</f>
        <v>0</v>
      </c>
      <c r="AV251" s="133" t="str">
        <f>IF(OR(AM251="Row Not Used",AM251="Controls Only"),"None",INDEX(IncentiveRateTable[Incentive Unit],MATCH(AT251,IncentiveRateTable[Incentive Name],0)))</f>
        <v>None</v>
      </c>
      <c r="AW251" s="578">
        <f t="shared" si="108"/>
        <v>0</v>
      </c>
      <c r="AX251" s="264" t="str">
        <f t="shared" si="98"/>
        <v>None</v>
      </c>
      <c r="AY251" s="229">
        <f>IF(OR(AM251="Row Not Used",AM251="Fixtures Only",AM251="Decommissioning"),0,INDEX(IncentiveRateTable[Incentive Rate],MATCH(AX251,IncentiveRateTable[Incentive Name],0)))</f>
        <v>0</v>
      </c>
      <c r="AZ251" s="133" t="str">
        <f>IF(OR(AM251="Row Not Used",AM251="Fixtures Only",AM251="Decommissioning"),"None",INDEX(IncentiveRateTable[Incentive Unit],MATCH(AX251,IncentiveRateTable[Incentive Name],0)))</f>
        <v>None</v>
      </c>
      <c r="BA251" s="465">
        <f t="shared" si="99"/>
        <v>0</v>
      </c>
      <c r="BB251" s="264" t="e" cm="1">
        <f t="array" ref="BB251">INDEX(BallastFactorTable[Commercial BPA Reference Number],MATCH(1,(BallastFactorTable[Fixture Class]=J251)*(BallastFactorTable[Fixture Category]=K251)*(BallastFactorTable[Fixture Sub-category]=L251),0))</f>
        <v>#N/A</v>
      </c>
      <c r="BC251" s="133" t="e" cm="1">
        <f t="array" ref="BC251">INDEX(BallastFactorTable[Industrial BPA Reference Number],MATCH(1,(BallastFactorTable[Fixture Class]=J251)*(BallastFactorTable[Fixture Category]=K251)*(BallastFactorTable[Fixture Sub-category]=L251),0))</f>
        <v>#N/A</v>
      </c>
      <c r="BD251" s="264" t="str">
        <f t="shared" si="100"/>
        <v>Sector is blank</v>
      </c>
      <c r="BE251" s="269" t="str">
        <f>IF(ISBLANK(SectorField),"Sector is blank",IF(AM251="Row Not Used","",IF(OR(R251="No Controls",ISBLANK(R251)),"",INDEX(ControlsBPARefNoTable[Reference Number],MATCH(SectorField,ControlsBPARefNoTable[Sector],0)))))</f>
        <v>Sector is blank</v>
      </c>
      <c r="BF251" s="530" t="str">
        <f t="shared" si="101"/>
        <v/>
      </c>
      <c r="BG251" s="132" t="str">
        <f t="shared" si="102"/>
        <v/>
      </c>
      <c r="BH251" s="531" t="str">
        <f t="shared" si="103"/>
        <v/>
      </c>
      <c r="BI251" s="532"/>
      <c r="BJ251" s="538" t="str">
        <f t="shared" si="109"/>
        <v/>
      </c>
      <c r="BK251" s="539" t="str">
        <f t="shared" si="110"/>
        <v/>
      </c>
      <c r="BL251" s="547" t="str">
        <f t="shared" si="111"/>
        <v/>
      </c>
    </row>
    <row r="252" spans="1:64" x14ac:dyDescent="0.3">
      <c r="A252" s="133">
        <v>245</v>
      </c>
      <c r="B252" s="294"/>
      <c r="C252" s="313"/>
      <c r="D252" s="292"/>
      <c r="E252" s="284"/>
      <c r="F252" s="284"/>
      <c r="G252" s="295"/>
      <c r="H252" s="296"/>
      <c r="I252" s="297"/>
      <c r="J252" s="292"/>
      <c r="K252" s="284"/>
      <c r="L252" s="284"/>
      <c r="M252" s="295"/>
      <c r="N252" s="296"/>
      <c r="O252" s="296"/>
      <c r="P252" s="284"/>
      <c r="Q252" s="298"/>
      <c r="R252" s="292"/>
      <c r="S252" s="299"/>
      <c r="T252" s="300"/>
      <c r="U252" s="317" t="str">
        <f t="shared" si="85"/>
        <v/>
      </c>
      <c r="V252" s="301"/>
      <c r="W252" s="137" t="str">
        <f t="shared" si="86"/>
        <v/>
      </c>
      <c r="X252" s="589" t="str">
        <f t="shared" si="104"/>
        <v/>
      </c>
      <c r="Y252" s="581"/>
      <c r="Z252" s="251" t="str">
        <f t="shared" si="87"/>
        <v/>
      </c>
      <c r="AA252" s="138" t="str">
        <f t="shared" si="112"/>
        <v/>
      </c>
      <c r="AB252" s="243" t="str">
        <f t="shared" si="105"/>
        <v/>
      </c>
      <c r="AC252" s="141" t="str">
        <f t="shared" si="88"/>
        <v/>
      </c>
      <c r="AD252" s="138" t="str">
        <f t="shared" si="106"/>
        <v/>
      </c>
      <c r="AE252" s="243" t="str">
        <f t="shared" si="89"/>
        <v/>
      </c>
      <c r="AF252" s="342" t="str">
        <f>IF(AM252="Row Not Used","",INDEX(SpaceTable[Annual Hours],(MATCH(B252,SpaceTable[Space Name Concatenated Helper],0))))</f>
        <v/>
      </c>
      <c r="AG252" s="205" t="str">
        <f t="shared" si="90"/>
        <v/>
      </c>
      <c r="AH252" s="234" t="str">
        <f t="shared" si="91"/>
        <v/>
      </c>
      <c r="AI252" s="205" t="str">
        <f t="shared" si="92"/>
        <v/>
      </c>
      <c r="AJ252" s="234" t="str">
        <f t="shared" si="93"/>
        <v/>
      </c>
      <c r="AK252" s="144" t="str">
        <f>IF(AM252="Row Not Used","",INDEX(SpaceTable[Row],(MATCH(B252,SpaceTable[Space Name Concatenated Helper],0))))</f>
        <v/>
      </c>
      <c r="AL252" s="238" t="str">
        <f>IF(AM252="Row Not Used","",INDEX(SpaceTable[HVAC Factor],(MATCH(B252,SpaceTable[Space Name Concatenated Helper],0))))</f>
        <v/>
      </c>
      <c r="AM252" s="520" t="str">
        <f t="shared" si="94"/>
        <v>Row Not Used</v>
      </c>
      <c r="AN252" s="512" t="e" cm="1">
        <f t="array" ref="AN252">INDEX(BallastFactorTable[Ballast Factor],MATCH(1,(BallastFactorTable[Fixture Class]=D252)*(BallastFactorTable[Fixture Category]=E252)*(BallastFactorTable[Fixture Sub-category]=F252),0))</f>
        <v>#N/A</v>
      </c>
      <c r="AO252" s="143" t="str">
        <f t="shared" si="107"/>
        <v/>
      </c>
      <c r="AP252" s="501" t="e" cm="1">
        <f t="array" ref="AP252">INDEX(BallastFactorTable[Wattage Range Name],MATCH(1,(BallastFactorTable[Fixture Class]=D252)*(BallastFactorTable[Fixture Category]=E252)*(BallastFactorTable[Fixture Sub-category]=F252),0))</f>
        <v>#N/A</v>
      </c>
      <c r="AQ252" s="515" t="str">
        <f t="shared" ca="1" si="95"/>
        <v>Okay</v>
      </c>
      <c r="AR252" s="512">
        <f t="shared" si="96"/>
        <v>0</v>
      </c>
      <c r="AS252" s="511" t="str">
        <f>IF(OR(Measures!AM252="Row Not Used",Measures!C252="Controls Only",Measures!C252="Decommissioning"),"",_xlfn.CONCAT(P252," ",Q252))</f>
        <v/>
      </c>
      <c r="AT252" s="264" t="str">
        <f t="shared" si="97"/>
        <v>None</v>
      </c>
      <c r="AU252" s="229">
        <f>IF(OR(AM252="Row Not Used",AM252="Controls Only"),0,INDEX(IncentiveRateTable[Incentive Rate],MATCH(AT252,IncentiveRateTable[Incentive Name],0)))</f>
        <v>0</v>
      </c>
      <c r="AV252" s="133" t="str">
        <f>IF(OR(AM252="Row Not Used",AM252="Controls Only"),"None",INDEX(IncentiveRateTable[Incentive Unit],MATCH(AT252,IncentiveRateTable[Incentive Name],0)))</f>
        <v>None</v>
      </c>
      <c r="AW252" s="578">
        <f t="shared" si="108"/>
        <v>0</v>
      </c>
      <c r="AX252" s="264" t="str">
        <f t="shared" si="98"/>
        <v>None</v>
      </c>
      <c r="AY252" s="229">
        <f>IF(OR(AM252="Row Not Used",AM252="Fixtures Only",AM252="Decommissioning"),0,INDEX(IncentiveRateTable[Incentive Rate],MATCH(AX252,IncentiveRateTable[Incentive Name],0)))</f>
        <v>0</v>
      </c>
      <c r="AZ252" s="133" t="str">
        <f>IF(OR(AM252="Row Not Used",AM252="Fixtures Only",AM252="Decommissioning"),"None",INDEX(IncentiveRateTable[Incentive Unit],MATCH(AX252,IncentiveRateTable[Incentive Name],0)))</f>
        <v>None</v>
      </c>
      <c r="BA252" s="465">
        <f t="shared" si="99"/>
        <v>0</v>
      </c>
      <c r="BB252" s="264" t="e" cm="1">
        <f t="array" ref="BB252">INDEX(BallastFactorTable[Commercial BPA Reference Number],MATCH(1,(BallastFactorTable[Fixture Class]=J252)*(BallastFactorTable[Fixture Category]=K252)*(BallastFactorTable[Fixture Sub-category]=L252),0))</f>
        <v>#N/A</v>
      </c>
      <c r="BC252" s="133" t="e" cm="1">
        <f t="array" ref="BC252">INDEX(BallastFactorTable[Industrial BPA Reference Number],MATCH(1,(BallastFactorTable[Fixture Class]=J252)*(BallastFactorTable[Fixture Category]=K252)*(BallastFactorTable[Fixture Sub-category]=L252),0))</f>
        <v>#N/A</v>
      </c>
      <c r="BD252" s="264" t="str">
        <f t="shared" si="100"/>
        <v>Sector is blank</v>
      </c>
      <c r="BE252" s="269" t="str">
        <f>IF(ISBLANK(SectorField),"Sector is blank",IF(AM252="Row Not Used","",IF(OR(R252="No Controls",ISBLANK(R252)),"",INDEX(ControlsBPARefNoTable[Reference Number],MATCH(SectorField,ControlsBPARefNoTable[Sector],0)))))</f>
        <v>Sector is blank</v>
      </c>
      <c r="BF252" s="530" t="str">
        <f t="shared" si="101"/>
        <v/>
      </c>
      <c r="BG252" s="132" t="str">
        <f t="shared" si="102"/>
        <v/>
      </c>
      <c r="BH252" s="531" t="str">
        <f t="shared" si="103"/>
        <v/>
      </c>
      <c r="BI252" s="532"/>
      <c r="BJ252" s="538" t="str">
        <f t="shared" si="109"/>
        <v/>
      </c>
      <c r="BK252" s="539" t="str">
        <f t="shared" si="110"/>
        <v/>
      </c>
      <c r="BL252" s="547" t="str">
        <f t="shared" si="111"/>
        <v/>
      </c>
    </row>
    <row r="253" spans="1:64" x14ac:dyDescent="0.3">
      <c r="A253" s="133">
        <v>246</v>
      </c>
      <c r="B253" s="294"/>
      <c r="C253" s="313"/>
      <c r="D253" s="292"/>
      <c r="E253" s="284"/>
      <c r="F253" s="284"/>
      <c r="G253" s="295"/>
      <c r="H253" s="296"/>
      <c r="I253" s="297"/>
      <c r="J253" s="292"/>
      <c r="K253" s="284"/>
      <c r="L253" s="284"/>
      <c r="M253" s="295"/>
      <c r="N253" s="296"/>
      <c r="O253" s="296"/>
      <c r="P253" s="284"/>
      <c r="Q253" s="298"/>
      <c r="R253" s="292"/>
      <c r="S253" s="299"/>
      <c r="T253" s="300"/>
      <c r="U253" s="317" t="str">
        <f t="shared" si="85"/>
        <v/>
      </c>
      <c r="V253" s="301"/>
      <c r="W253" s="136" t="str">
        <f t="shared" si="86"/>
        <v/>
      </c>
      <c r="X253" s="588" t="str">
        <f t="shared" si="104"/>
        <v/>
      </c>
      <c r="Y253" s="580"/>
      <c r="Z253" s="251" t="str">
        <f t="shared" si="87"/>
        <v/>
      </c>
      <c r="AA253" s="138" t="str">
        <f t="shared" si="112"/>
        <v/>
      </c>
      <c r="AB253" s="243" t="str">
        <f t="shared" si="105"/>
        <v/>
      </c>
      <c r="AC253" s="141" t="str">
        <f t="shared" si="88"/>
        <v/>
      </c>
      <c r="AD253" s="138" t="str">
        <f t="shared" si="106"/>
        <v/>
      </c>
      <c r="AE253" s="243" t="str">
        <f t="shared" si="89"/>
        <v/>
      </c>
      <c r="AF253" s="342" t="str">
        <f>IF(AM253="Row Not Used","",INDEX(SpaceTable[Annual Hours],(MATCH(B253,SpaceTable[Space Name Concatenated Helper],0))))</f>
        <v/>
      </c>
      <c r="AG253" s="205" t="str">
        <f t="shared" si="90"/>
        <v/>
      </c>
      <c r="AH253" s="234" t="str">
        <f t="shared" si="91"/>
        <v/>
      </c>
      <c r="AI253" s="205" t="str">
        <f t="shared" si="92"/>
        <v/>
      </c>
      <c r="AJ253" s="234" t="str">
        <f t="shared" si="93"/>
        <v/>
      </c>
      <c r="AK253" s="144" t="str">
        <f>IF(AM253="Row Not Used","",INDEX(SpaceTable[Row],(MATCH(B253,SpaceTable[Space Name Concatenated Helper],0))))</f>
        <v/>
      </c>
      <c r="AL253" s="238" t="str">
        <f>IF(AM253="Row Not Used","",INDEX(SpaceTable[HVAC Factor],(MATCH(B253,SpaceTable[Space Name Concatenated Helper],0))))</f>
        <v/>
      </c>
      <c r="AM253" s="520" t="str">
        <f t="shared" si="94"/>
        <v>Row Not Used</v>
      </c>
      <c r="AN253" s="512" t="e" cm="1">
        <f t="array" ref="AN253">INDEX(BallastFactorTable[Ballast Factor],MATCH(1,(BallastFactorTable[Fixture Class]=D253)*(BallastFactorTable[Fixture Category]=E253)*(BallastFactorTable[Fixture Sub-category]=F253),0))</f>
        <v>#N/A</v>
      </c>
      <c r="AO253" s="143" t="str">
        <f t="shared" si="107"/>
        <v/>
      </c>
      <c r="AP253" s="501" t="e" cm="1">
        <f t="array" ref="AP253">INDEX(BallastFactorTable[Wattage Range Name],MATCH(1,(BallastFactorTable[Fixture Class]=D253)*(BallastFactorTable[Fixture Category]=E253)*(BallastFactorTable[Fixture Sub-category]=F253),0))</f>
        <v>#N/A</v>
      </c>
      <c r="AQ253" s="515" t="str">
        <f t="shared" ca="1" si="95"/>
        <v>Okay</v>
      </c>
      <c r="AR253" s="512">
        <f t="shared" si="96"/>
        <v>0</v>
      </c>
      <c r="AS253" s="511" t="str">
        <f>IF(OR(Measures!AM253="Row Not Used",Measures!C253="Controls Only",Measures!C253="Decommissioning"),"",_xlfn.CONCAT(P253," ",Q253))</f>
        <v/>
      </c>
      <c r="AT253" s="264" t="str">
        <f t="shared" si="97"/>
        <v>None</v>
      </c>
      <c r="AU253" s="229">
        <f>IF(OR(AM253="Row Not Used",AM253="Controls Only"),0,INDEX(IncentiveRateTable[Incentive Rate],MATCH(AT253,IncentiveRateTable[Incentive Name],0)))</f>
        <v>0</v>
      </c>
      <c r="AV253" s="133" t="str">
        <f>IF(OR(AM253="Row Not Used",AM253="Controls Only"),"None",INDEX(IncentiveRateTable[Incentive Unit],MATCH(AT253,IncentiveRateTable[Incentive Name],0)))</f>
        <v>None</v>
      </c>
      <c r="AW253" s="578">
        <f t="shared" si="108"/>
        <v>0</v>
      </c>
      <c r="AX253" s="264" t="str">
        <f t="shared" si="98"/>
        <v>None</v>
      </c>
      <c r="AY253" s="229">
        <f>IF(OR(AM253="Row Not Used",AM253="Fixtures Only",AM253="Decommissioning"),0,INDEX(IncentiveRateTable[Incentive Rate],MATCH(AX253,IncentiveRateTable[Incentive Name],0)))</f>
        <v>0</v>
      </c>
      <c r="AZ253" s="133" t="str">
        <f>IF(OR(AM253="Row Not Used",AM253="Fixtures Only",AM253="Decommissioning"),"None",INDEX(IncentiveRateTable[Incentive Unit],MATCH(AX253,IncentiveRateTable[Incentive Name],0)))</f>
        <v>None</v>
      </c>
      <c r="BA253" s="465">
        <f t="shared" si="99"/>
        <v>0</v>
      </c>
      <c r="BB253" s="264" t="e" cm="1">
        <f t="array" ref="BB253">INDEX(BallastFactorTable[Commercial BPA Reference Number],MATCH(1,(BallastFactorTable[Fixture Class]=J253)*(BallastFactorTable[Fixture Category]=K253)*(BallastFactorTable[Fixture Sub-category]=L253),0))</f>
        <v>#N/A</v>
      </c>
      <c r="BC253" s="133" t="e" cm="1">
        <f t="array" ref="BC253">INDEX(BallastFactorTable[Industrial BPA Reference Number],MATCH(1,(BallastFactorTable[Fixture Class]=J253)*(BallastFactorTable[Fixture Category]=K253)*(BallastFactorTable[Fixture Sub-category]=L253),0))</f>
        <v>#N/A</v>
      </c>
      <c r="BD253" s="264" t="str">
        <f t="shared" si="100"/>
        <v>Sector is blank</v>
      </c>
      <c r="BE253" s="269" t="str">
        <f>IF(ISBLANK(SectorField),"Sector is blank",IF(AM253="Row Not Used","",IF(OR(R253="No Controls",ISBLANK(R253)),"",INDEX(ControlsBPARefNoTable[Reference Number],MATCH(SectorField,ControlsBPARefNoTable[Sector],0)))))</f>
        <v>Sector is blank</v>
      </c>
      <c r="BF253" s="530" t="str">
        <f t="shared" si="101"/>
        <v/>
      </c>
      <c r="BG253" s="132" t="str">
        <f t="shared" si="102"/>
        <v/>
      </c>
      <c r="BH253" s="531" t="str">
        <f t="shared" si="103"/>
        <v/>
      </c>
      <c r="BI253" s="532"/>
      <c r="BJ253" s="538" t="str">
        <f t="shared" si="109"/>
        <v/>
      </c>
      <c r="BK253" s="539" t="str">
        <f t="shared" si="110"/>
        <v/>
      </c>
      <c r="BL253" s="547" t="str">
        <f t="shared" si="111"/>
        <v/>
      </c>
    </row>
    <row r="254" spans="1:64" x14ac:dyDescent="0.3">
      <c r="A254" s="133">
        <v>247</v>
      </c>
      <c r="B254" s="294"/>
      <c r="C254" s="313"/>
      <c r="D254" s="292"/>
      <c r="E254" s="284"/>
      <c r="F254" s="284"/>
      <c r="G254" s="295"/>
      <c r="H254" s="296"/>
      <c r="I254" s="297"/>
      <c r="J254" s="292"/>
      <c r="K254" s="284"/>
      <c r="L254" s="284"/>
      <c r="M254" s="295"/>
      <c r="N254" s="296"/>
      <c r="O254" s="296"/>
      <c r="P254" s="284"/>
      <c r="Q254" s="298"/>
      <c r="R254" s="292"/>
      <c r="S254" s="299"/>
      <c r="T254" s="300"/>
      <c r="U254" s="317" t="str">
        <f t="shared" si="85"/>
        <v/>
      </c>
      <c r="V254" s="301"/>
      <c r="W254" s="137" t="str">
        <f t="shared" si="86"/>
        <v/>
      </c>
      <c r="X254" s="589" t="str">
        <f t="shared" si="104"/>
        <v/>
      </c>
      <c r="Y254" s="581"/>
      <c r="Z254" s="251" t="str">
        <f t="shared" si="87"/>
        <v/>
      </c>
      <c r="AA254" s="138" t="str">
        <f t="shared" si="112"/>
        <v/>
      </c>
      <c r="AB254" s="243" t="str">
        <f t="shared" si="105"/>
        <v/>
      </c>
      <c r="AC254" s="141" t="str">
        <f t="shared" si="88"/>
        <v/>
      </c>
      <c r="AD254" s="138" t="str">
        <f t="shared" si="106"/>
        <v/>
      </c>
      <c r="AE254" s="243" t="str">
        <f t="shared" si="89"/>
        <v/>
      </c>
      <c r="AF254" s="342" t="str">
        <f>IF(AM254="Row Not Used","",INDEX(SpaceTable[Annual Hours],(MATCH(B254,SpaceTable[Space Name Concatenated Helper],0))))</f>
        <v/>
      </c>
      <c r="AG254" s="205" t="str">
        <f t="shared" si="90"/>
        <v/>
      </c>
      <c r="AH254" s="234" t="str">
        <f t="shared" si="91"/>
        <v/>
      </c>
      <c r="AI254" s="205" t="str">
        <f t="shared" si="92"/>
        <v/>
      </c>
      <c r="AJ254" s="234" t="str">
        <f t="shared" si="93"/>
        <v/>
      </c>
      <c r="AK254" s="144" t="str">
        <f>IF(AM254="Row Not Used","",INDEX(SpaceTable[Row],(MATCH(B254,SpaceTable[Space Name Concatenated Helper],0))))</f>
        <v/>
      </c>
      <c r="AL254" s="238" t="str">
        <f>IF(AM254="Row Not Used","",INDEX(SpaceTable[HVAC Factor],(MATCH(B254,SpaceTable[Space Name Concatenated Helper],0))))</f>
        <v/>
      </c>
      <c r="AM254" s="520" t="str">
        <f t="shared" si="94"/>
        <v>Row Not Used</v>
      </c>
      <c r="AN254" s="512" t="e" cm="1">
        <f t="array" ref="AN254">INDEX(BallastFactorTable[Ballast Factor],MATCH(1,(BallastFactorTable[Fixture Class]=D254)*(BallastFactorTable[Fixture Category]=E254)*(BallastFactorTable[Fixture Sub-category]=F254),0))</f>
        <v>#N/A</v>
      </c>
      <c r="AO254" s="143" t="str">
        <f t="shared" si="107"/>
        <v/>
      </c>
      <c r="AP254" s="501" t="e" cm="1">
        <f t="array" ref="AP254">INDEX(BallastFactorTable[Wattage Range Name],MATCH(1,(BallastFactorTable[Fixture Class]=D254)*(BallastFactorTable[Fixture Category]=E254)*(BallastFactorTable[Fixture Sub-category]=F254),0))</f>
        <v>#N/A</v>
      </c>
      <c r="AQ254" s="515" t="str">
        <f t="shared" ca="1" si="95"/>
        <v>Okay</v>
      </c>
      <c r="AR254" s="512">
        <f t="shared" si="96"/>
        <v>0</v>
      </c>
      <c r="AS254" s="511" t="str">
        <f>IF(OR(Measures!AM254="Row Not Used",Measures!C254="Controls Only",Measures!C254="Decommissioning"),"",_xlfn.CONCAT(P254," ",Q254))</f>
        <v/>
      </c>
      <c r="AT254" s="264" t="str">
        <f t="shared" si="97"/>
        <v>None</v>
      </c>
      <c r="AU254" s="229">
        <f>IF(OR(AM254="Row Not Used",AM254="Controls Only"),0,INDEX(IncentiveRateTable[Incentive Rate],MATCH(AT254,IncentiveRateTable[Incentive Name],0)))</f>
        <v>0</v>
      </c>
      <c r="AV254" s="133" t="str">
        <f>IF(OR(AM254="Row Not Used",AM254="Controls Only"),"None",INDEX(IncentiveRateTable[Incentive Unit],MATCH(AT254,IncentiveRateTable[Incentive Name],0)))</f>
        <v>None</v>
      </c>
      <c r="AW254" s="578">
        <f t="shared" si="108"/>
        <v>0</v>
      </c>
      <c r="AX254" s="264" t="str">
        <f t="shared" si="98"/>
        <v>None</v>
      </c>
      <c r="AY254" s="229">
        <f>IF(OR(AM254="Row Not Used",AM254="Fixtures Only",AM254="Decommissioning"),0,INDEX(IncentiveRateTable[Incentive Rate],MATCH(AX254,IncentiveRateTable[Incentive Name],0)))</f>
        <v>0</v>
      </c>
      <c r="AZ254" s="133" t="str">
        <f>IF(OR(AM254="Row Not Used",AM254="Fixtures Only",AM254="Decommissioning"),"None",INDEX(IncentiveRateTable[Incentive Unit],MATCH(AX254,IncentiveRateTable[Incentive Name],0)))</f>
        <v>None</v>
      </c>
      <c r="BA254" s="465">
        <f t="shared" si="99"/>
        <v>0</v>
      </c>
      <c r="BB254" s="264" t="e" cm="1">
        <f t="array" ref="BB254">INDEX(BallastFactorTable[Commercial BPA Reference Number],MATCH(1,(BallastFactorTable[Fixture Class]=J254)*(BallastFactorTable[Fixture Category]=K254)*(BallastFactorTable[Fixture Sub-category]=L254),0))</f>
        <v>#N/A</v>
      </c>
      <c r="BC254" s="133" t="e" cm="1">
        <f t="array" ref="BC254">INDEX(BallastFactorTable[Industrial BPA Reference Number],MATCH(1,(BallastFactorTable[Fixture Class]=J254)*(BallastFactorTable[Fixture Category]=K254)*(BallastFactorTable[Fixture Sub-category]=L254),0))</f>
        <v>#N/A</v>
      </c>
      <c r="BD254" s="264" t="str">
        <f t="shared" si="100"/>
        <v>Sector is blank</v>
      </c>
      <c r="BE254" s="269" t="str">
        <f>IF(ISBLANK(SectorField),"Sector is blank",IF(AM254="Row Not Used","",IF(OR(R254="No Controls",ISBLANK(R254)),"",INDEX(ControlsBPARefNoTable[Reference Number],MATCH(SectorField,ControlsBPARefNoTable[Sector],0)))))</f>
        <v>Sector is blank</v>
      </c>
      <c r="BF254" s="530" t="str">
        <f t="shared" si="101"/>
        <v/>
      </c>
      <c r="BG254" s="132" t="str">
        <f t="shared" si="102"/>
        <v/>
      </c>
      <c r="BH254" s="531" t="str">
        <f t="shared" si="103"/>
        <v/>
      </c>
      <c r="BI254" s="532"/>
      <c r="BJ254" s="538" t="str">
        <f t="shared" si="109"/>
        <v/>
      </c>
      <c r="BK254" s="539" t="str">
        <f t="shared" si="110"/>
        <v/>
      </c>
      <c r="BL254" s="547" t="str">
        <f t="shared" si="111"/>
        <v/>
      </c>
    </row>
    <row r="255" spans="1:64" x14ac:dyDescent="0.3">
      <c r="A255" s="133">
        <v>248</v>
      </c>
      <c r="B255" s="294"/>
      <c r="C255" s="313"/>
      <c r="D255" s="292"/>
      <c r="E255" s="284"/>
      <c r="F255" s="284"/>
      <c r="G255" s="295"/>
      <c r="H255" s="296"/>
      <c r="I255" s="297"/>
      <c r="J255" s="292"/>
      <c r="K255" s="284"/>
      <c r="L255" s="284"/>
      <c r="M255" s="295"/>
      <c r="N255" s="296"/>
      <c r="O255" s="296"/>
      <c r="P255" s="284"/>
      <c r="Q255" s="298"/>
      <c r="R255" s="292"/>
      <c r="S255" s="299"/>
      <c r="T255" s="300"/>
      <c r="U255" s="317" t="str">
        <f t="shared" si="85"/>
        <v/>
      </c>
      <c r="V255" s="301"/>
      <c r="W255" s="136" t="str">
        <f t="shared" si="86"/>
        <v/>
      </c>
      <c r="X255" s="588" t="str">
        <f t="shared" si="104"/>
        <v/>
      </c>
      <c r="Y255" s="580"/>
      <c r="Z255" s="251" t="str">
        <f t="shared" si="87"/>
        <v/>
      </c>
      <c r="AA255" s="138" t="str">
        <f t="shared" si="112"/>
        <v/>
      </c>
      <c r="AB255" s="243" t="str">
        <f t="shared" si="105"/>
        <v/>
      </c>
      <c r="AC255" s="141" t="str">
        <f t="shared" si="88"/>
        <v/>
      </c>
      <c r="AD255" s="138" t="str">
        <f t="shared" si="106"/>
        <v/>
      </c>
      <c r="AE255" s="243" t="str">
        <f t="shared" si="89"/>
        <v/>
      </c>
      <c r="AF255" s="342" t="str">
        <f>IF(AM255="Row Not Used","",INDEX(SpaceTable[Annual Hours],(MATCH(B255,SpaceTable[Space Name Concatenated Helper],0))))</f>
        <v/>
      </c>
      <c r="AG255" s="205" t="str">
        <f t="shared" si="90"/>
        <v/>
      </c>
      <c r="AH255" s="234" t="str">
        <f t="shared" si="91"/>
        <v/>
      </c>
      <c r="AI255" s="205" t="str">
        <f t="shared" si="92"/>
        <v/>
      </c>
      <c r="AJ255" s="234" t="str">
        <f t="shared" si="93"/>
        <v/>
      </c>
      <c r="AK255" s="144" t="str">
        <f>IF(AM255="Row Not Used","",INDEX(SpaceTable[Row],(MATCH(B255,SpaceTable[Space Name Concatenated Helper],0))))</f>
        <v/>
      </c>
      <c r="AL255" s="238" t="str">
        <f>IF(AM255="Row Not Used","",INDEX(SpaceTable[HVAC Factor],(MATCH(B255,SpaceTable[Space Name Concatenated Helper],0))))</f>
        <v/>
      </c>
      <c r="AM255" s="520" t="str">
        <f t="shared" si="94"/>
        <v>Row Not Used</v>
      </c>
      <c r="AN255" s="512" t="e" cm="1">
        <f t="array" ref="AN255">INDEX(BallastFactorTable[Ballast Factor],MATCH(1,(BallastFactorTable[Fixture Class]=D255)*(BallastFactorTable[Fixture Category]=E255)*(BallastFactorTable[Fixture Sub-category]=F255),0))</f>
        <v>#N/A</v>
      </c>
      <c r="AO255" s="143" t="str">
        <f t="shared" si="107"/>
        <v/>
      </c>
      <c r="AP255" s="501" t="e" cm="1">
        <f t="array" ref="AP255">INDEX(BallastFactorTable[Wattage Range Name],MATCH(1,(BallastFactorTable[Fixture Class]=D255)*(BallastFactorTable[Fixture Category]=E255)*(BallastFactorTable[Fixture Sub-category]=F255),0))</f>
        <v>#N/A</v>
      </c>
      <c r="AQ255" s="515" t="str">
        <f t="shared" ca="1" si="95"/>
        <v>Okay</v>
      </c>
      <c r="AR255" s="512">
        <f t="shared" si="96"/>
        <v>0</v>
      </c>
      <c r="AS255" s="511" t="str">
        <f>IF(OR(Measures!AM255="Row Not Used",Measures!C255="Controls Only",Measures!C255="Decommissioning"),"",_xlfn.CONCAT(P255," ",Q255))</f>
        <v/>
      </c>
      <c r="AT255" s="264" t="str">
        <f t="shared" si="97"/>
        <v>None</v>
      </c>
      <c r="AU255" s="229">
        <f>IF(OR(AM255="Row Not Used",AM255="Controls Only"),0,INDEX(IncentiveRateTable[Incentive Rate],MATCH(AT255,IncentiveRateTable[Incentive Name],0)))</f>
        <v>0</v>
      </c>
      <c r="AV255" s="133" t="str">
        <f>IF(OR(AM255="Row Not Used",AM255="Controls Only"),"None",INDEX(IncentiveRateTable[Incentive Unit],MATCH(AT255,IncentiveRateTable[Incentive Name],0)))</f>
        <v>None</v>
      </c>
      <c r="AW255" s="578">
        <f t="shared" si="108"/>
        <v>0</v>
      </c>
      <c r="AX255" s="264" t="str">
        <f t="shared" si="98"/>
        <v>None</v>
      </c>
      <c r="AY255" s="229">
        <f>IF(OR(AM255="Row Not Used",AM255="Fixtures Only",AM255="Decommissioning"),0,INDEX(IncentiveRateTable[Incentive Rate],MATCH(AX255,IncentiveRateTable[Incentive Name],0)))</f>
        <v>0</v>
      </c>
      <c r="AZ255" s="133" t="str">
        <f>IF(OR(AM255="Row Not Used",AM255="Fixtures Only",AM255="Decommissioning"),"None",INDEX(IncentiveRateTable[Incentive Unit],MATCH(AX255,IncentiveRateTable[Incentive Name],0)))</f>
        <v>None</v>
      </c>
      <c r="BA255" s="465">
        <f t="shared" si="99"/>
        <v>0</v>
      </c>
      <c r="BB255" s="264" t="e" cm="1">
        <f t="array" ref="BB255">INDEX(BallastFactorTable[Commercial BPA Reference Number],MATCH(1,(BallastFactorTable[Fixture Class]=J255)*(BallastFactorTable[Fixture Category]=K255)*(BallastFactorTable[Fixture Sub-category]=L255),0))</f>
        <v>#N/A</v>
      </c>
      <c r="BC255" s="133" t="e" cm="1">
        <f t="array" ref="BC255">INDEX(BallastFactorTable[Industrial BPA Reference Number],MATCH(1,(BallastFactorTable[Fixture Class]=J255)*(BallastFactorTable[Fixture Category]=K255)*(BallastFactorTable[Fixture Sub-category]=L255),0))</f>
        <v>#N/A</v>
      </c>
      <c r="BD255" s="264" t="str">
        <f t="shared" si="100"/>
        <v>Sector is blank</v>
      </c>
      <c r="BE255" s="269" t="str">
        <f>IF(ISBLANK(SectorField),"Sector is blank",IF(AM255="Row Not Used","",IF(OR(R255="No Controls",ISBLANK(R255)),"",INDEX(ControlsBPARefNoTable[Reference Number],MATCH(SectorField,ControlsBPARefNoTable[Sector],0)))))</f>
        <v>Sector is blank</v>
      </c>
      <c r="BF255" s="530" t="str">
        <f t="shared" si="101"/>
        <v/>
      </c>
      <c r="BG255" s="132" t="str">
        <f t="shared" si="102"/>
        <v/>
      </c>
      <c r="BH255" s="531" t="str">
        <f t="shared" si="103"/>
        <v/>
      </c>
      <c r="BI255" s="532"/>
      <c r="BJ255" s="538" t="str">
        <f t="shared" si="109"/>
        <v/>
      </c>
      <c r="BK255" s="539" t="str">
        <f t="shared" si="110"/>
        <v/>
      </c>
      <c r="BL255" s="547" t="str">
        <f t="shared" si="111"/>
        <v/>
      </c>
    </row>
    <row r="256" spans="1:64" x14ac:dyDescent="0.3">
      <c r="A256" s="133">
        <v>249</v>
      </c>
      <c r="B256" s="294"/>
      <c r="C256" s="313"/>
      <c r="D256" s="292"/>
      <c r="E256" s="284"/>
      <c r="F256" s="284"/>
      <c r="G256" s="295"/>
      <c r="H256" s="296"/>
      <c r="I256" s="297"/>
      <c r="J256" s="292"/>
      <c r="K256" s="284"/>
      <c r="L256" s="284"/>
      <c r="M256" s="295"/>
      <c r="N256" s="296"/>
      <c r="O256" s="296"/>
      <c r="P256" s="284"/>
      <c r="Q256" s="298"/>
      <c r="R256" s="292"/>
      <c r="S256" s="299"/>
      <c r="T256" s="300"/>
      <c r="U256" s="317" t="str">
        <f t="shared" si="85"/>
        <v/>
      </c>
      <c r="V256" s="301"/>
      <c r="W256" s="137" t="str">
        <f t="shared" si="86"/>
        <v/>
      </c>
      <c r="X256" s="589" t="str">
        <f t="shared" si="104"/>
        <v/>
      </c>
      <c r="Y256" s="581"/>
      <c r="Z256" s="251" t="str">
        <f t="shared" si="87"/>
        <v/>
      </c>
      <c r="AA256" s="138" t="str">
        <f t="shared" si="112"/>
        <v/>
      </c>
      <c r="AB256" s="243" t="str">
        <f t="shared" si="105"/>
        <v/>
      </c>
      <c r="AC256" s="141" t="str">
        <f t="shared" si="88"/>
        <v/>
      </c>
      <c r="AD256" s="138" t="str">
        <f t="shared" si="106"/>
        <v/>
      </c>
      <c r="AE256" s="243" t="str">
        <f t="shared" si="89"/>
        <v/>
      </c>
      <c r="AF256" s="342" t="str">
        <f>IF(AM256="Row Not Used","",INDEX(SpaceTable[Annual Hours],(MATCH(B256,SpaceTable[Space Name Concatenated Helper],0))))</f>
        <v/>
      </c>
      <c r="AG256" s="205" t="str">
        <f t="shared" si="90"/>
        <v/>
      </c>
      <c r="AH256" s="234" t="str">
        <f t="shared" si="91"/>
        <v/>
      </c>
      <c r="AI256" s="205" t="str">
        <f t="shared" si="92"/>
        <v/>
      </c>
      <c r="AJ256" s="234" t="str">
        <f t="shared" si="93"/>
        <v/>
      </c>
      <c r="AK256" s="144" t="str">
        <f>IF(AM256="Row Not Used","",INDEX(SpaceTable[Row],(MATCH(B256,SpaceTable[Space Name Concatenated Helper],0))))</f>
        <v/>
      </c>
      <c r="AL256" s="238" t="str">
        <f>IF(AM256="Row Not Used","",INDEX(SpaceTable[HVAC Factor],(MATCH(B256,SpaceTable[Space Name Concatenated Helper],0))))</f>
        <v/>
      </c>
      <c r="AM256" s="520" t="str">
        <f t="shared" si="94"/>
        <v>Row Not Used</v>
      </c>
      <c r="AN256" s="512" t="e" cm="1">
        <f t="array" ref="AN256">INDEX(BallastFactorTable[Ballast Factor],MATCH(1,(BallastFactorTable[Fixture Class]=D256)*(BallastFactorTable[Fixture Category]=E256)*(BallastFactorTable[Fixture Sub-category]=F256),0))</f>
        <v>#N/A</v>
      </c>
      <c r="AO256" s="143" t="str">
        <f t="shared" si="107"/>
        <v/>
      </c>
      <c r="AP256" s="501" t="e" cm="1">
        <f t="array" ref="AP256">INDEX(BallastFactorTable[Wattage Range Name],MATCH(1,(BallastFactorTable[Fixture Class]=D256)*(BallastFactorTable[Fixture Category]=E256)*(BallastFactorTable[Fixture Sub-category]=F256),0))</f>
        <v>#N/A</v>
      </c>
      <c r="AQ256" s="515" t="str">
        <f t="shared" ca="1" si="95"/>
        <v>Okay</v>
      </c>
      <c r="AR256" s="512">
        <f t="shared" si="96"/>
        <v>0</v>
      </c>
      <c r="AS256" s="511" t="str">
        <f>IF(OR(Measures!AM256="Row Not Used",Measures!C256="Controls Only",Measures!C256="Decommissioning"),"",_xlfn.CONCAT(P256," ",Q256))</f>
        <v/>
      </c>
      <c r="AT256" s="264" t="str">
        <f t="shared" si="97"/>
        <v>None</v>
      </c>
      <c r="AU256" s="229">
        <f>IF(OR(AM256="Row Not Used",AM256="Controls Only"),0,INDEX(IncentiveRateTable[Incentive Rate],MATCH(AT256,IncentiveRateTable[Incentive Name],0)))</f>
        <v>0</v>
      </c>
      <c r="AV256" s="133" t="str">
        <f>IF(OR(AM256="Row Not Used",AM256="Controls Only"),"None",INDEX(IncentiveRateTable[Incentive Unit],MATCH(AT256,IncentiveRateTable[Incentive Name],0)))</f>
        <v>None</v>
      </c>
      <c r="AW256" s="578">
        <f t="shared" si="108"/>
        <v>0</v>
      </c>
      <c r="AX256" s="264" t="str">
        <f t="shared" si="98"/>
        <v>None</v>
      </c>
      <c r="AY256" s="229">
        <f>IF(OR(AM256="Row Not Used",AM256="Fixtures Only",AM256="Decommissioning"),0,INDEX(IncentiveRateTable[Incentive Rate],MATCH(AX256,IncentiveRateTable[Incentive Name],0)))</f>
        <v>0</v>
      </c>
      <c r="AZ256" s="133" t="str">
        <f>IF(OR(AM256="Row Not Used",AM256="Fixtures Only",AM256="Decommissioning"),"None",INDEX(IncentiveRateTable[Incentive Unit],MATCH(AX256,IncentiveRateTable[Incentive Name],0)))</f>
        <v>None</v>
      </c>
      <c r="BA256" s="465">
        <f t="shared" si="99"/>
        <v>0</v>
      </c>
      <c r="BB256" s="264" t="e" cm="1">
        <f t="array" ref="BB256">INDEX(BallastFactorTable[Commercial BPA Reference Number],MATCH(1,(BallastFactorTable[Fixture Class]=J256)*(BallastFactorTable[Fixture Category]=K256)*(BallastFactorTable[Fixture Sub-category]=L256),0))</f>
        <v>#N/A</v>
      </c>
      <c r="BC256" s="133" t="e" cm="1">
        <f t="array" ref="BC256">INDEX(BallastFactorTable[Industrial BPA Reference Number],MATCH(1,(BallastFactorTable[Fixture Class]=J256)*(BallastFactorTable[Fixture Category]=K256)*(BallastFactorTable[Fixture Sub-category]=L256),0))</f>
        <v>#N/A</v>
      </c>
      <c r="BD256" s="264" t="str">
        <f t="shared" si="100"/>
        <v>Sector is blank</v>
      </c>
      <c r="BE256" s="269" t="str">
        <f>IF(ISBLANK(SectorField),"Sector is blank",IF(AM256="Row Not Used","",IF(OR(R256="No Controls",ISBLANK(R256)),"",INDEX(ControlsBPARefNoTable[Reference Number],MATCH(SectorField,ControlsBPARefNoTable[Sector],0)))))</f>
        <v>Sector is blank</v>
      </c>
      <c r="BF256" s="530" t="str">
        <f t="shared" si="101"/>
        <v/>
      </c>
      <c r="BG256" s="132" t="str">
        <f t="shared" si="102"/>
        <v/>
      </c>
      <c r="BH256" s="531" t="str">
        <f t="shared" si="103"/>
        <v/>
      </c>
      <c r="BI256" s="532"/>
      <c r="BJ256" s="538" t="str">
        <f t="shared" si="109"/>
        <v/>
      </c>
      <c r="BK256" s="539" t="str">
        <f t="shared" si="110"/>
        <v/>
      </c>
      <c r="BL256" s="547" t="str">
        <f t="shared" si="111"/>
        <v/>
      </c>
    </row>
    <row r="257" spans="1:64" x14ac:dyDescent="0.3">
      <c r="A257" s="133">
        <v>250</v>
      </c>
      <c r="B257" s="294"/>
      <c r="C257" s="313"/>
      <c r="D257" s="292"/>
      <c r="E257" s="284"/>
      <c r="F257" s="284"/>
      <c r="G257" s="295"/>
      <c r="H257" s="296"/>
      <c r="I257" s="297"/>
      <c r="J257" s="292"/>
      <c r="K257" s="284"/>
      <c r="L257" s="284"/>
      <c r="M257" s="295"/>
      <c r="N257" s="296"/>
      <c r="O257" s="296"/>
      <c r="P257" s="284"/>
      <c r="Q257" s="298"/>
      <c r="R257" s="292"/>
      <c r="S257" s="299"/>
      <c r="T257" s="300"/>
      <c r="U257" s="317" t="str">
        <f t="shared" si="85"/>
        <v/>
      </c>
      <c r="V257" s="301"/>
      <c r="W257" s="136" t="str">
        <f t="shared" si="86"/>
        <v/>
      </c>
      <c r="X257" s="588" t="str">
        <f t="shared" si="104"/>
        <v/>
      </c>
      <c r="Y257" s="580"/>
      <c r="Z257" s="251" t="str">
        <f t="shared" si="87"/>
        <v/>
      </c>
      <c r="AA257" s="138" t="str">
        <f t="shared" si="112"/>
        <v/>
      </c>
      <c r="AB257" s="243" t="str">
        <f t="shared" si="105"/>
        <v/>
      </c>
      <c r="AC257" s="141" t="str">
        <f t="shared" si="88"/>
        <v/>
      </c>
      <c r="AD257" s="138" t="str">
        <f t="shared" si="106"/>
        <v/>
      </c>
      <c r="AE257" s="243" t="str">
        <f t="shared" si="89"/>
        <v/>
      </c>
      <c r="AF257" s="342" t="str">
        <f>IF(AM257="Row Not Used","",INDEX(SpaceTable[Annual Hours],(MATCH(B257,SpaceTable[Space Name Concatenated Helper],0))))</f>
        <v/>
      </c>
      <c r="AG257" s="205" t="str">
        <f t="shared" si="90"/>
        <v/>
      </c>
      <c r="AH257" s="234" t="str">
        <f t="shared" si="91"/>
        <v/>
      </c>
      <c r="AI257" s="205" t="str">
        <f t="shared" si="92"/>
        <v/>
      </c>
      <c r="AJ257" s="234" t="str">
        <f t="shared" si="93"/>
        <v/>
      </c>
      <c r="AK257" s="144" t="str">
        <f>IF(AM257="Row Not Used","",INDEX(SpaceTable[Row],(MATCH(B257,SpaceTable[Space Name Concatenated Helper],0))))</f>
        <v/>
      </c>
      <c r="AL257" s="238" t="str">
        <f>IF(AM257="Row Not Used","",INDEX(SpaceTable[HVAC Factor],(MATCH(B257,SpaceTable[Space Name Concatenated Helper],0))))</f>
        <v/>
      </c>
      <c r="AM257" s="520" t="str">
        <f t="shared" si="94"/>
        <v>Row Not Used</v>
      </c>
      <c r="AN257" s="512" t="e" cm="1">
        <f t="array" ref="AN257">INDEX(BallastFactorTable[Ballast Factor],MATCH(1,(BallastFactorTable[Fixture Class]=D257)*(BallastFactorTable[Fixture Category]=E257)*(BallastFactorTable[Fixture Sub-category]=F257),0))</f>
        <v>#N/A</v>
      </c>
      <c r="AO257" s="143" t="str">
        <f t="shared" si="107"/>
        <v/>
      </c>
      <c r="AP257" s="501" t="e" cm="1">
        <f t="array" ref="AP257">INDEX(BallastFactorTable[Wattage Range Name],MATCH(1,(BallastFactorTable[Fixture Class]=D257)*(BallastFactorTable[Fixture Category]=E257)*(BallastFactorTable[Fixture Sub-category]=F257),0))</f>
        <v>#N/A</v>
      </c>
      <c r="AQ257" s="515" t="str">
        <f t="shared" ca="1" si="95"/>
        <v>Okay</v>
      </c>
      <c r="AR257" s="512">
        <f t="shared" si="96"/>
        <v>0</v>
      </c>
      <c r="AS257" s="511" t="str">
        <f>IF(OR(Measures!AM257="Row Not Used",Measures!C257="Controls Only",Measures!C257="Decommissioning"),"",_xlfn.CONCAT(P257," ",Q257))</f>
        <v/>
      </c>
      <c r="AT257" s="264" t="str">
        <f t="shared" si="97"/>
        <v>None</v>
      </c>
      <c r="AU257" s="229">
        <f>IF(OR(AM257="Row Not Used",AM257="Controls Only"),0,INDEX(IncentiveRateTable[Incentive Rate],MATCH(AT257,IncentiveRateTable[Incentive Name],0)))</f>
        <v>0</v>
      </c>
      <c r="AV257" s="133" t="str">
        <f>IF(OR(AM257="Row Not Used",AM257="Controls Only"),"None",INDEX(IncentiveRateTable[Incentive Unit],MATCH(AT257,IncentiveRateTable[Incentive Name],0)))</f>
        <v>None</v>
      </c>
      <c r="AW257" s="578">
        <f t="shared" si="108"/>
        <v>0</v>
      </c>
      <c r="AX257" s="264" t="str">
        <f t="shared" si="98"/>
        <v>None</v>
      </c>
      <c r="AY257" s="229">
        <f>IF(OR(AM257="Row Not Used",AM257="Fixtures Only",AM257="Decommissioning"),0,INDEX(IncentiveRateTable[Incentive Rate],MATCH(AX257,IncentiveRateTable[Incentive Name],0)))</f>
        <v>0</v>
      </c>
      <c r="AZ257" s="133" t="str">
        <f>IF(OR(AM257="Row Not Used",AM257="Fixtures Only",AM257="Decommissioning"),"None",INDEX(IncentiveRateTable[Incentive Unit],MATCH(AX257,IncentiveRateTable[Incentive Name],0)))</f>
        <v>None</v>
      </c>
      <c r="BA257" s="465">
        <f t="shared" si="99"/>
        <v>0</v>
      </c>
      <c r="BB257" s="264" t="e" cm="1">
        <f t="array" ref="BB257">INDEX(BallastFactorTable[Commercial BPA Reference Number],MATCH(1,(BallastFactorTable[Fixture Class]=J257)*(BallastFactorTable[Fixture Category]=K257)*(BallastFactorTable[Fixture Sub-category]=L257),0))</f>
        <v>#N/A</v>
      </c>
      <c r="BC257" s="133" t="e" cm="1">
        <f t="array" ref="BC257">INDEX(BallastFactorTable[Industrial BPA Reference Number],MATCH(1,(BallastFactorTable[Fixture Class]=J257)*(BallastFactorTable[Fixture Category]=K257)*(BallastFactorTable[Fixture Sub-category]=L257),0))</f>
        <v>#N/A</v>
      </c>
      <c r="BD257" s="264" t="str">
        <f t="shared" si="100"/>
        <v>Sector is blank</v>
      </c>
      <c r="BE257" s="269" t="str">
        <f>IF(ISBLANK(SectorField),"Sector is blank",IF(AM257="Row Not Used","",IF(OR(R257="No Controls",ISBLANK(R257)),"",INDEX(ControlsBPARefNoTable[Reference Number],MATCH(SectorField,ControlsBPARefNoTable[Sector],0)))))</f>
        <v>Sector is blank</v>
      </c>
      <c r="BF257" s="530" t="str">
        <f t="shared" si="101"/>
        <v/>
      </c>
      <c r="BG257" s="132" t="str">
        <f t="shared" si="102"/>
        <v/>
      </c>
      <c r="BH257" s="531" t="str">
        <f t="shared" si="103"/>
        <v/>
      </c>
      <c r="BI257" s="532"/>
      <c r="BJ257" s="538" t="str">
        <f t="shared" si="109"/>
        <v/>
      </c>
      <c r="BK257" s="539" t="str">
        <f t="shared" si="110"/>
        <v/>
      </c>
      <c r="BL257" s="547" t="str">
        <f t="shared" si="111"/>
        <v/>
      </c>
    </row>
    <row r="258" spans="1:64" x14ac:dyDescent="0.3">
      <c r="A258" s="133">
        <v>251</v>
      </c>
      <c r="B258" s="294"/>
      <c r="C258" s="313"/>
      <c r="D258" s="292"/>
      <c r="E258" s="284"/>
      <c r="F258" s="284"/>
      <c r="G258" s="295"/>
      <c r="H258" s="296"/>
      <c r="I258" s="297"/>
      <c r="J258" s="292"/>
      <c r="K258" s="284"/>
      <c r="L258" s="284"/>
      <c r="M258" s="295"/>
      <c r="N258" s="296"/>
      <c r="O258" s="296"/>
      <c r="P258" s="284"/>
      <c r="Q258" s="298"/>
      <c r="R258" s="292"/>
      <c r="S258" s="299"/>
      <c r="T258" s="300"/>
      <c r="U258" s="317" t="str">
        <f t="shared" si="85"/>
        <v/>
      </c>
      <c r="V258" s="301"/>
      <c r="W258" s="137" t="str">
        <f t="shared" si="86"/>
        <v/>
      </c>
      <c r="X258" s="589" t="str">
        <f t="shared" si="104"/>
        <v/>
      </c>
      <c r="Y258" s="581"/>
      <c r="Z258" s="251" t="str">
        <f t="shared" si="87"/>
        <v/>
      </c>
      <c r="AA258" s="138" t="str">
        <f t="shared" si="112"/>
        <v/>
      </c>
      <c r="AB258" s="243" t="str">
        <f t="shared" si="105"/>
        <v/>
      </c>
      <c r="AC258" s="141" t="str">
        <f t="shared" si="88"/>
        <v/>
      </c>
      <c r="AD258" s="138" t="str">
        <f t="shared" si="106"/>
        <v/>
      </c>
      <c r="AE258" s="243" t="str">
        <f t="shared" si="89"/>
        <v/>
      </c>
      <c r="AF258" s="342" t="str">
        <f>IF(AM258="Row Not Used","",INDEX(SpaceTable[Annual Hours],(MATCH(B258,SpaceTable[Space Name Concatenated Helper],0))))</f>
        <v/>
      </c>
      <c r="AG258" s="205" t="str">
        <f t="shared" si="90"/>
        <v/>
      </c>
      <c r="AH258" s="234" t="str">
        <f t="shared" si="91"/>
        <v/>
      </c>
      <c r="AI258" s="205" t="str">
        <f t="shared" si="92"/>
        <v/>
      </c>
      <c r="AJ258" s="234" t="str">
        <f t="shared" si="93"/>
        <v/>
      </c>
      <c r="AK258" s="144" t="str">
        <f>IF(AM258="Row Not Used","",INDEX(SpaceTable[Row],(MATCH(B258,SpaceTable[Space Name Concatenated Helper],0))))</f>
        <v/>
      </c>
      <c r="AL258" s="238" t="str">
        <f>IF(AM258="Row Not Used","",INDEX(SpaceTable[HVAC Factor],(MATCH(B258,SpaceTable[Space Name Concatenated Helper],0))))</f>
        <v/>
      </c>
      <c r="AM258" s="520" t="str">
        <f t="shared" si="94"/>
        <v>Row Not Used</v>
      </c>
      <c r="AN258" s="512" t="e" cm="1">
        <f t="array" ref="AN258">INDEX(BallastFactorTable[Ballast Factor],MATCH(1,(BallastFactorTable[Fixture Class]=D258)*(BallastFactorTable[Fixture Category]=E258)*(BallastFactorTable[Fixture Sub-category]=F258),0))</f>
        <v>#N/A</v>
      </c>
      <c r="AO258" s="143" t="str">
        <f t="shared" si="107"/>
        <v/>
      </c>
      <c r="AP258" s="501" t="e" cm="1">
        <f t="array" ref="AP258">INDEX(BallastFactorTable[Wattage Range Name],MATCH(1,(BallastFactorTable[Fixture Class]=D258)*(BallastFactorTable[Fixture Category]=E258)*(BallastFactorTable[Fixture Sub-category]=F258),0))</f>
        <v>#N/A</v>
      </c>
      <c r="AQ258" s="515" t="str">
        <f t="shared" ca="1" si="95"/>
        <v>Okay</v>
      </c>
      <c r="AR258" s="512">
        <f t="shared" si="96"/>
        <v>0</v>
      </c>
      <c r="AS258" s="511" t="str">
        <f>IF(OR(Measures!AM258="Row Not Used",Measures!C258="Controls Only",Measures!C258="Decommissioning"),"",_xlfn.CONCAT(P258," ",Q258))</f>
        <v/>
      </c>
      <c r="AT258" s="264" t="str">
        <f t="shared" si="97"/>
        <v>None</v>
      </c>
      <c r="AU258" s="229">
        <f>IF(OR(AM258="Row Not Used",AM258="Controls Only"),0,INDEX(IncentiveRateTable[Incentive Rate],MATCH(AT258,IncentiveRateTable[Incentive Name],0)))</f>
        <v>0</v>
      </c>
      <c r="AV258" s="133" t="str">
        <f>IF(OR(AM258="Row Not Used",AM258="Controls Only"),"None",INDEX(IncentiveRateTable[Incentive Unit],MATCH(AT258,IncentiveRateTable[Incentive Name],0)))</f>
        <v>None</v>
      </c>
      <c r="AW258" s="578">
        <f t="shared" si="108"/>
        <v>0</v>
      </c>
      <c r="AX258" s="264" t="str">
        <f t="shared" si="98"/>
        <v>None</v>
      </c>
      <c r="AY258" s="229">
        <f>IF(OR(AM258="Row Not Used",AM258="Fixtures Only",AM258="Decommissioning"),0,INDEX(IncentiveRateTable[Incentive Rate],MATCH(AX258,IncentiveRateTable[Incentive Name],0)))</f>
        <v>0</v>
      </c>
      <c r="AZ258" s="133" t="str">
        <f>IF(OR(AM258="Row Not Used",AM258="Fixtures Only",AM258="Decommissioning"),"None",INDEX(IncentiveRateTable[Incentive Unit],MATCH(AX258,IncentiveRateTable[Incentive Name],0)))</f>
        <v>None</v>
      </c>
      <c r="BA258" s="465">
        <f t="shared" si="99"/>
        <v>0</v>
      </c>
      <c r="BB258" s="264" t="e" cm="1">
        <f t="array" ref="BB258">INDEX(BallastFactorTable[Commercial BPA Reference Number],MATCH(1,(BallastFactorTable[Fixture Class]=J258)*(BallastFactorTable[Fixture Category]=K258)*(BallastFactorTable[Fixture Sub-category]=L258),0))</f>
        <v>#N/A</v>
      </c>
      <c r="BC258" s="133" t="e" cm="1">
        <f t="array" ref="BC258">INDEX(BallastFactorTable[Industrial BPA Reference Number],MATCH(1,(BallastFactorTable[Fixture Class]=J258)*(BallastFactorTable[Fixture Category]=K258)*(BallastFactorTable[Fixture Sub-category]=L258),0))</f>
        <v>#N/A</v>
      </c>
      <c r="BD258" s="264" t="str">
        <f t="shared" si="100"/>
        <v>Sector is blank</v>
      </c>
      <c r="BE258" s="269" t="str">
        <f>IF(ISBLANK(SectorField),"Sector is blank",IF(AM258="Row Not Used","",IF(OR(R258="No Controls",ISBLANK(R258)),"",INDEX(ControlsBPARefNoTable[Reference Number],MATCH(SectorField,ControlsBPARefNoTable[Sector],0)))))</f>
        <v>Sector is blank</v>
      </c>
      <c r="BF258" s="530" t="str">
        <f t="shared" si="101"/>
        <v/>
      </c>
      <c r="BG258" s="132" t="str">
        <f t="shared" si="102"/>
        <v/>
      </c>
      <c r="BH258" s="531" t="str">
        <f t="shared" si="103"/>
        <v/>
      </c>
      <c r="BI258" s="532"/>
      <c r="BJ258" s="538" t="str">
        <f t="shared" si="109"/>
        <v/>
      </c>
      <c r="BK258" s="539" t="str">
        <f t="shared" si="110"/>
        <v/>
      </c>
      <c r="BL258" s="547" t="str">
        <f t="shared" si="111"/>
        <v/>
      </c>
    </row>
    <row r="259" spans="1:64" x14ac:dyDescent="0.3">
      <c r="A259" s="133">
        <v>252</v>
      </c>
      <c r="B259" s="294"/>
      <c r="C259" s="313"/>
      <c r="D259" s="292"/>
      <c r="E259" s="284"/>
      <c r="F259" s="284"/>
      <c r="G259" s="295"/>
      <c r="H259" s="296"/>
      <c r="I259" s="297"/>
      <c r="J259" s="292"/>
      <c r="K259" s="284"/>
      <c r="L259" s="284"/>
      <c r="M259" s="295"/>
      <c r="N259" s="296"/>
      <c r="O259" s="296"/>
      <c r="P259" s="284"/>
      <c r="Q259" s="298"/>
      <c r="R259" s="292"/>
      <c r="S259" s="299"/>
      <c r="T259" s="300"/>
      <c r="U259" s="317" t="str">
        <f t="shared" si="85"/>
        <v/>
      </c>
      <c r="V259" s="301"/>
      <c r="W259" s="136" t="str">
        <f t="shared" si="86"/>
        <v/>
      </c>
      <c r="X259" s="588" t="str">
        <f t="shared" si="104"/>
        <v/>
      </c>
      <c r="Y259" s="580"/>
      <c r="Z259" s="251" t="str">
        <f t="shared" si="87"/>
        <v/>
      </c>
      <c r="AA259" s="138" t="str">
        <f t="shared" si="112"/>
        <v/>
      </c>
      <c r="AB259" s="243" t="str">
        <f t="shared" si="105"/>
        <v/>
      </c>
      <c r="AC259" s="141" t="str">
        <f t="shared" si="88"/>
        <v/>
      </c>
      <c r="AD259" s="138" t="str">
        <f t="shared" si="106"/>
        <v/>
      </c>
      <c r="AE259" s="243" t="str">
        <f t="shared" si="89"/>
        <v/>
      </c>
      <c r="AF259" s="342" t="str">
        <f>IF(AM259="Row Not Used","",INDEX(SpaceTable[Annual Hours],(MATCH(B259,SpaceTable[Space Name Concatenated Helper],0))))</f>
        <v/>
      </c>
      <c r="AG259" s="205" t="str">
        <f t="shared" si="90"/>
        <v/>
      </c>
      <c r="AH259" s="234" t="str">
        <f t="shared" si="91"/>
        <v/>
      </c>
      <c r="AI259" s="205" t="str">
        <f t="shared" si="92"/>
        <v/>
      </c>
      <c r="AJ259" s="234" t="str">
        <f t="shared" si="93"/>
        <v/>
      </c>
      <c r="AK259" s="144" t="str">
        <f>IF(AM259="Row Not Used","",INDEX(SpaceTable[Row],(MATCH(B259,SpaceTable[Space Name Concatenated Helper],0))))</f>
        <v/>
      </c>
      <c r="AL259" s="238" t="str">
        <f>IF(AM259="Row Not Used","",INDEX(SpaceTable[HVAC Factor],(MATCH(B259,SpaceTable[Space Name Concatenated Helper],0))))</f>
        <v/>
      </c>
      <c r="AM259" s="520" t="str">
        <f t="shared" si="94"/>
        <v>Row Not Used</v>
      </c>
      <c r="AN259" s="512" t="e" cm="1">
        <f t="array" ref="AN259">INDEX(BallastFactorTable[Ballast Factor],MATCH(1,(BallastFactorTable[Fixture Class]=D259)*(BallastFactorTable[Fixture Category]=E259)*(BallastFactorTable[Fixture Sub-category]=F259),0))</f>
        <v>#N/A</v>
      </c>
      <c r="AO259" s="143" t="str">
        <f t="shared" si="107"/>
        <v/>
      </c>
      <c r="AP259" s="501" t="e" cm="1">
        <f t="array" ref="AP259">INDEX(BallastFactorTable[Wattage Range Name],MATCH(1,(BallastFactorTable[Fixture Class]=D259)*(BallastFactorTable[Fixture Category]=E259)*(BallastFactorTable[Fixture Sub-category]=F259),0))</f>
        <v>#N/A</v>
      </c>
      <c r="AQ259" s="515" t="str">
        <f t="shared" ca="1" si="95"/>
        <v>Okay</v>
      </c>
      <c r="AR259" s="512">
        <f t="shared" si="96"/>
        <v>0</v>
      </c>
      <c r="AS259" s="511" t="str">
        <f>IF(OR(Measures!AM259="Row Not Used",Measures!C259="Controls Only",Measures!C259="Decommissioning"),"",_xlfn.CONCAT(P259," ",Q259))</f>
        <v/>
      </c>
      <c r="AT259" s="264" t="str">
        <f t="shared" si="97"/>
        <v>None</v>
      </c>
      <c r="AU259" s="229">
        <f>IF(OR(AM259="Row Not Used",AM259="Controls Only"),0,INDEX(IncentiveRateTable[Incentive Rate],MATCH(AT259,IncentiveRateTable[Incentive Name],0)))</f>
        <v>0</v>
      </c>
      <c r="AV259" s="133" t="str">
        <f>IF(OR(AM259="Row Not Used",AM259="Controls Only"),"None",INDEX(IncentiveRateTable[Incentive Unit],MATCH(AT259,IncentiveRateTable[Incentive Name],0)))</f>
        <v>None</v>
      </c>
      <c r="AW259" s="578">
        <f t="shared" si="108"/>
        <v>0</v>
      </c>
      <c r="AX259" s="264" t="str">
        <f t="shared" si="98"/>
        <v>None</v>
      </c>
      <c r="AY259" s="229">
        <f>IF(OR(AM259="Row Not Used",AM259="Fixtures Only",AM259="Decommissioning"),0,INDEX(IncentiveRateTable[Incentive Rate],MATCH(AX259,IncentiveRateTable[Incentive Name],0)))</f>
        <v>0</v>
      </c>
      <c r="AZ259" s="133" t="str">
        <f>IF(OR(AM259="Row Not Used",AM259="Fixtures Only",AM259="Decommissioning"),"None",INDEX(IncentiveRateTable[Incentive Unit],MATCH(AX259,IncentiveRateTable[Incentive Name],0)))</f>
        <v>None</v>
      </c>
      <c r="BA259" s="465">
        <f t="shared" si="99"/>
        <v>0</v>
      </c>
      <c r="BB259" s="264" t="e" cm="1">
        <f t="array" ref="BB259">INDEX(BallastFactorTable[Commercial BPA Reference Number],MATCH(1,(BallastFactorTable[Fixture Class]=J259)*(BallastFactorTable[Fixture Category]=K259)*(BallastFactorTable[Fixture Sub-category]=L259),0))</f>
        <v>#N/A</v>
      </c>
      <c r="BC259" s="133" t="e" cm="1">
        <f t="array" ref="BC259">INDEX(BallastFactorTable[Industrial BPA Reference Number],MATCH(1,(BallastFactorTable[Fixture Class]=J259)*(BallastFactorTable[Fixture Category]=K259)*(BallastFactorTable[Fixture Sub-category]=L259),0))</f>
        <v>#N/A</v>
      </c>
      <c r="BD259" s="264" t="str">
        <f t="shared" si="100"/>
        <v>Sector is blank</v>
      </c>
      <c r="BE259" s="269" t="str">
        <f>IF(ISBLANK(SectorField),"Sector is blank",IF(AM259="Row Not Used","",IF(OR(R259="No Controls",ISBLANK(R259)),"",INDEX(ControlsBPARefNoTable[Reference Number],MATCH(SectorField,ControlsBPARefNoTable[Sector],0)))))</f>
        <v>Sector is blank</v>
      </c>
      <c r="BF259" s="530" t="str">
        <f t="shared" si="101"/>
        <v/>
      </c>
      <c r="BG259" s="132" t="str">
        <f t="shared" si="102"/>
        <v/>
      </c>
      <c r="BH259" s="531" t="str">
        <f t="shared" si="103"/>
        <v/>
      </c>
      <c r="BI259" s="532"/>
      <c r="BJ259" s="538" t="str">
        <f t="shared" si="109"/>
        <v/>
      </c>
      <c r="BK259" s="539" t="str">
        <f t="shared" si="110"/>
        <v/>
      </c>
      <c r="BL259" s="547" t="str">
        <f t="shared" si="111"/>
        <v/>
      </c>
    </row>
    <row r="260" spans="1:64" x14ac:dyDescent="0.3">
      <c r="A260" s="133">
        <v>253</v>
      </c>
      <c r="B260" s="294"/>
      <c r="C260" s="313"/>
      <c r="D260" s="292"/>
      <c r="E260" s="284"/>
      <c r="F260" s="284"/>
      <c r="G260" s="295"/>
      <c r="H260" s="296"/>
      <c r="I260" s="297"/>
      <c r="J260" s="292"/>
      <c r="K260" s="284"/>
      <c r="L260" s="284"/>
      <c r="M260" s="295"/>
      <c r="N260" s="296"/>
      <c r="O260" s="296"/>
      <c r="P260" s="284"/>
      <c r="Q260" s="298"/>
      <c r="R260" s="292"/>
      <c r="S260" s="299"/>
      <c r="T260" s="300"/>
      <c r="U260" s="317" t="str">
        <f t="shared" si="85"/>
        <v/>
      </c>
      <c r="V260" s="301"/>
      <c r="W260" s="137" t="str">
        <f t="shared" si="86"/>
        <v/>
      </c>
      <c r="X260" s="589" t="str">
        <f t="shared" si="104"/>
        <v/>
      </c>
      <c r="Y260" s="581"/>
      <c r="Z260" s="251" t="str">
        <f t="shared" si="87"/>
        <v/>
      </c>
      <c r="AA260" s="138" t="str">
        <f t="shared" si="112"/>
        <v/>
      </c>
      <c r="AB260" s="243" t="str">
        <f t="shared" si="105"/>
        <v/>
      </c>
      <c r="AC260" s="141" t="str">
        <f t="shared" si="88"/>
        <v/>
      </c>
      <c r="AD260" s="138" t="str">
        <f t="shared" si="106"/>
        <v/>
      </c>
      <c r="AE260" s="243" t="str">
        <f t="shared" si="89"/>
        <v/>
      </c>
      <c r="AF260" s="342" t="str">
        <f>IF(AM260="Row Not Used","",INDEX(SpaceTable[Annual Hours],(MATCH(B260,SpaceTable[Space Name Concatenated Helper],0))))</f>
        <v/>
      </c>
      <c r="AG260" s="205" t="str">
        <f t="shared" si="90"/>
        <v/>
      </c>
      <c r="AH260" s="234" t="str">
        <f t="shared" si="91"/>
        <v/>
      </c>
      <c r="AI260" s="205" t="str">
        <f t="shared" si="92"/>
        <v/>
      </c>
      <c r="AJ260" s="234" t="str">
        <f t="shared" si="93"/>
        <v/>
      </c>
      <c r="AK260" s="144" t="str">
        <f>IF(AM260="Row Not Used","",INDEX(SpaceTable[Row],(MATCH(B260,SpaceTable[Space Name Concatenated Helper],0))))</f>
        <v/>
      </c>
      <c r="AL260" s="238" t="str">
        <f>IF(AM260="Row Not Used","",INDEX(SpaceTable[HVAC Factor],(MATCH(B260,SpaceTable[Space Name Concatenated Helper],0))))</f>
        <v/>
      </c>
      <c r="AM260" s="520" t="str">
        <f t="shared" si="94"/>
        <v>Row Not Used</v>
      </c>
      <c r="AN260" s="512" t="e" cm="1">
        <f t="array" ref="AN260">INDEX(BallastFactorTable[Ballast Factor],MATCH(1,(BallastFactorTable[Fixture Class]=D260)*(BallastFactorTable[Fixture Category]=E260)*(BallastFactorTable[Fixture Sub-category]=F260),0))</f>
        <v>#N/A</v>
      </c>
      <c r="AO260" s="143" t="str">
        <f t="shared" si="107"/>
        <v/>
      </c>
      <c r="AP260" s="501" t="e" cm="1">
        <f t="array" ref="AP260">INDEX(BallastFactorTable[Wattage Range Name],MATCH(1,(BallastFactorTable[Fixture Class]=D260)*(BallastFactorTable[Fixture Category]=E260)*(BallastFactorTable[Fixture Sub-category]=F260),0))</f>
        <v>#N/A</v>
      </c>
      <c r="AQ260" s="515" t="str">
        <f t="shared" ca="1" si="95"/>
        <v>Okay</v>
      </c>
      <c r="AR260" s="512">
        <f t="shared" si="96"/>
        <v>0</v>
      </c>
      <c r="AS260" s="511" t="str">
        <f>IF(OR(Measures!AM260="Row Not Used",Measures!C260="Controls Only",Measures!C260="Decommissioning"),"",_xlfn.CONCAT(P260," ",Q260))</f>
        <v/>
      </c>
      <c r="AT260" s="264" t="str">
        <f t="shared" si="97"/>
        <v>None</v>
      </c>
      <c r="AU260" s="229">
        <f>IF(OR(AM260="Row Not Used",AM260="Controls Only"),0,INDEX(IncentiveRateTable[Incentive Rate],MATCH(AT260,IncentiveRateTable[Incentive Name],0)))</f>
        <v>0</v>
      </c>
      <c r="AV260" s="133" t="str">
        <f>IF(OR(AM260="Row Not Used",AM260="Controls Only"),"None",INDEX(IncentiveRateTable[Incentive Unit],MATCH(AT260,IncentiveRateTable[Incentive Name],0)))</f>
        <v>None</v>
      </c>
      <c r="AW260" s="578">
        <f t="shared" si="108"/>
        <v>0</v>
      </c>
      <c r="AX260" s="264" t="str">
        <f t="shared" si="98"/>
        <v>None</v>
      </c>
      <c r="AY260" s="229">
        <f>IF(OR(AM260="Row Not Used",AM260="Fixtures Only",AM260="Decommissioning"),0,INDEX(IncentiveRateTable[Incentive Rate],MATCH(AX260,IncentiveRateTable[Incentive Name],0)))</f>
        <v>0</v>
      </c>
      <c r="AZ260" s="133" t="str">
        <f>IF(OR(AM260="Row Not Used",AM260="Fixtures Only",AM260="Decommissioning"),"None",INDEX(IncentiveRateTable[Incentive Unit],MATCH(AX260,IncentiveRateTable[Incentive Name],0)))</f>
        <v>None</v>
      </c>
      <c r="BA260" s="465">
        <f t="shared" si="99"/>
        <v>0</v>
      </c>
      <c r="BB260" s="264" t="e" cm="1">
        <f t="array" ref="BB260">INDEX(BallastFactorTable[Commercial BPA Reference Number],MATCH(1,(BallastFactorTable[Fixture Class]=J260)*(BallastFactorTable[Fixture Category]=K260)*(BallastFactorTable[Fixture Sub-category]=L260),0))</f>
        <v>#N/A</v>
      </c>
      <c r="BC260" s="133" t="e" cm="1">
        <f t="array" ref="BC260">INDEX(BallastFactorTable[Industrial BPA Reference Number],MATCH(1,(BallastFactorTable[Fixture Class]=J260)*(BallastFactorTable[Fixture Category]=K260)*(BallastFactorTable[Fixture Sub-category]=L260),0))</f>
        <v>#N/A</v>
      </c>
      <c r="BD260" s="264" t="str">
        <f t="shared" si="100"/>
        <v>Sector is blank</v>
      </c>
      <c r="BE260" s="269" t="str">
        <f>IF(ISBLANK(SectorField),"Sector is blank",IF(AM260="Row Not Used","",IF(OR(R260="No Controls",ISBLANK(R260)),"",INDEX(ControlsBPARefNoTable[Reference Number],MATCH(SectorField,ControlsBPARefNoTable[Sector],0)))))</f>
        <v>Sector is blank</v>
      </c>
      <c r="BF260" s="530" t="str">
        <f t="shared" si="101"/>
        <v/>
      </c>
      <c r="BG260" s="132" t="str">
        <f t="shared" si="102"/>
        <v/>
      </c>
      <c r="BH260" s="531" t="str">
        <f t="shared" si="103"/>
        <v/>
      </c>
      <c r="BI260" s="532"/>
      <c r="BJ260" s="538" t="str">
        <f t="shared" si="109"/>
        <v/>
      </c>
      <c r="BK260" s="539" t="str">
        <f t="shared" si="110"/>
        <v/>
      </c>
      <c r="BL260" s="547" t="str">
        <f t="shared" si="111"/>
        <v/>
      </c>
    </row>
    <row r="261" spans="1:64" x14ac:dyDescent="0.3">
      <c r="A261" s="133">
        <v>254</v>
      </c>
      <c r="B261" s="294"/>
      <c r="C261" s="313"/>
      <c r="D261" s="292"/>
      <c r="E261" s="284"/>
      <c r="F261" s="284"/>
      <c r="G261" s="295"/>
      <c r="H261" s="296"/>
      <c r="I261" s="297"/>
      <c r="J261" s="292"/>
      <c r="K261" s="284"/>
      <c r="L261" s="284"/>
      <c r="M261" s="295"/>
      <c r="N261" s="296"/>
      <c r="O261" s="296"/>
      <c r="P261" s="284"/>
      <c r="Q261" s="298"/>
      <c r="R261" s="292"/>
      <c r="S261" s="299"/>
      <c r="T261" s="300"/>
      <c r="U261" s="317" t="str">
        <f t="shared" si="85"/>
        <v/>
      </c>
      <c r="V261" s="301"/>
      <c r="W261" s="136" t="str">
        <f t="shared" si="86"/>
        <v/>
      </c>
      <c r="X261" s="588" t="str">
        <f t="shared" si="104"/>
        <v/>
      </c>
      <c r="Y261" s="580"/>
      <c r="Z261" s="251" t="str">
        <f t="shared" si="87"/>
        <v/>
      </c>
      <c r="AA261" s="138" t="str">
        <f t="shared" si="112"/>
        <v/>
      </c>
      <c r="AB261" s="243" t="str">
        <f t="shared" si="105"/>
        <v/>
      </c>
      <c r="AC261" s="141" t="str">
        <f t="shared" si="88"/>
        <v/>
      </c>
      <c r="AD261" s="138" t="str">
        <f t="shared" si="106"/>
        <v/>
      </c>
      <c r="AE261" s="243" t="str">
        <f t="shared" si="89"/>
        <v/>
      </c>
      <c r="AF261" s="342" t="str">
        <f>IF(AM261="Row Not Used","",INDEX(SpaceTable[Annual Hours],(MATCH(B261,SpaceTable[Space Name Concatenated Helper],0))))</f>
        <v/>
      </c>
      <c r="AG261" s="205" t="str">
        <f t="shared" si="90"/>
        <v/>
      </c>
      <c r="AH261" s="234" t="str">
        <f t="shared" si="91"/>
        <v/>
      </c>
      <c r="AI261" s="205" t="str">
        <f t="shared" si="92"/>
        <v/>
      </c>
      <c r="AJ261" s="234" t="str">
        <f t="shared" si="93"/>
        <v/>
      </c>
      <c r="AK261" s="144" t="str">
        <f>IF(AM261="Row Not Used","",INDEX(SpaceTable[Row],(MATCH(B261,SpaceTable[Space Name Concatenated Helper],0))))</f>
        <v/>
      </c>
      <c r="AL261" s="238" t="str">
        <f>IF(AM261="Row Not Used","",INDEX(SpaceTable[HVAC Factor],(MATCH(B261,SpaceTable[Space Name Concatenated Helper],0))))</f>
        <v/>
      </c>
      <c r="AM261" s="520" t="str">
        <f t="shared" si="94"/>
        <v>Row Not Used</v>
      </c>
      <c r="AN261" s="512" t="e" cm="1">
        <f t="array" ref="AN261">INDEX(BallastFactorTable[Ballast Factor],MATCH(1,(BallastFactorTable[Fixture Class]=D261)*(BallastFactorTable[Fixture Category]=E261)*(BallastFactorTable[Fixture Sub-category]=F261),0))</f>
        <v>#N/A</v>
      </c>
      <c r="AO261" s="143" t="str">
        <f t="shared" si="107"/>
        <v/>
      </c>
      <c r="AP261" s="501" t="e" cm="1">
        <f t="array" ref="AP261">INDEX(BallastFactorTable[Wattage Range Name],MATCH(1,(BallastFactorTable[Fixture Class]=D261)*(BallastFactorTable[Fixture Category]=E261)*(BallastFactorTable[Fixture Sub-category]=F261),0))</f>
        <v>#N/A</v>
      </c>
      <c r="AQ261" s="515" t="str">
        <f t="shared" ca="1" si="95"/>
        <v>Okay</v>
      </c>
      <c r="AR261" s="512">
        <f t="shared" si="96"/>
        <v>0</v>
      </c>
      <c r="AS261" s="511" t="str">
        <f>IF(OR(Measures!AM261="Row Not Used",Measures!C261="Controls Only",Measures!C261="Decommissioning"),"",_xlfn.CONCAT(P261," ",Q261))</f>
        <v/>
      </c>
      <c r="AT261" s="264" t="str">
        <f t="shared" si="97"/>
        <v>None</v>
      </c>
      <c r="AU261" s="229">
        <f>IF(OR(AM261="Row Not Used",AM261="Controls Only"),0,INDEX(IncentiveRateTable[Incentive Rate],MATCH(AT261,IncentiveRateTable[Incentive Name],0)))</f>
        <v>0</v>
      </c>
      <c r="AV261" s="133" t="str">
        <f>IF(OR(AM261="Row Not Used",AM261="Controls Only"),"None",INDEX(IncentiveRateTable[Incentive Unit],MATCH(AT261,IncentiveRateTable[Incentive Name],0)))</f>
        <v>None</v>
      </c>
      <c r="AW261" s="578">
        <f t="shared" si="108"/>
        <v>0</v>
      </c>
      <c r="AX261" s="264" t="str">
        <f t="shared" si="98"/>
        <v>None</v>
      </c>
      <c r="AY261" s="229">
        <f>IF(OR(AM261="Row Not Used",AM261="Fixtures Only",AM261="Decommissioning"),0,INDEX(IncentiveRateTable[Incentive Rate],MATCH(AX261,IncentiveRateTable[Incentive Name],0)))</f>
        <v>0</v>
      </c>
      <c r="AZ261" s="133" t="str">
        <f>IF(OR(AM261="Row Not Used",AM261="Fixtures Only",AM261="Decommissioning"),"None",INDEX(IncentiveRateTable[Incentive Unit],MATCH(AX261,IncentiveRateTable[Incentive Name],0)))</f>
        <v>None</v>
      </c>
      <c r="BA261" s="465">
        <f t="shared" si="99"/>
        <v>0</v>
      </c>
      <c r="BB261" s="264" t="e" cm="1">
        <f t="array" ref="BB261">INDEX(BallastFactorTable[Commercial BPA Reference Number],MATCH(1,(BallastFactorTable[Fixture Class]=J261)*(BallastFactorTable[Fixture Category]=K261)*(BallastFactorTable[Fixture Sub-category]=L261),0))</f>
        <v>#N/A</v>
      </c>
      <c r="BC261" s="133" t="e" cm="1">
        <f t="array" ref="BC261">INDEX(BallastFactorTable[Industrial BPA Reference Number],MATCH(1,(BallastFactorTable[Fixture Class]=J261)*(BallastFactorTable[Fixture Category]=K261)*(BallastFactorTable[Fixture Sub-category]=L261),0))</f>
        <v>#N/A</v>
      </c>
      <c r="BD261" s="264" t="str">
        <f t="shared" si="100"/>
        <v>Sector is blank</v>
      </c>
      <c r="BE261" s="269" t="str">
        <f>IF(ISBLANK(SectorField),"Sector is blank",IF(AM261="Row Not Used","",IF(OR(R261="No Controls",ISBLANK(R261)),"",INDEX(ControlsBPARefNoTable[Reference Number],MATCH(SectorField,ControlsBPARefNoTable[Sector],0)))))</f>
        <v>Sector is blank</v>
      </c>
      <c r="BF261" s="530" t="str">
        <f t="shared" si="101"/>
        <v/>
      </c>
      <c r="BG261" s="132" t="str">
        <f t="shared" si="102"/>
        <v/>
      </c>
      <c r="BH261" s="531" t="str">
        <f t="shared" si="103"/>
        <v/>
      </c>
      <c r="BI261" s="532"/>
      <c r="BJ261" s="538" t="str">
        <f t="shared" si="109"/>
        <v/>
      </c>
      <c r="BK261" s="539" t="str">
        <f t="shared" si="110"/>
        <v/>
      </c>
      <c r="BL261" s="547" t="str">
        <f t="shared" si="111"/>
        <v/>
      </c>
    </row>
    <row r="262" spans="1:64" x14ac:dyDescent="0.3">
      <c r="A262" s="133">
        <v>255</v>
      </c>
      <c r="B262" s="294"/>
      <c r="C262" s="313"/>
      <c r="D262" s="292"/>
      <c r="E262" s="284"/>
      <c r="F262" s="284"/>
      <c r="G262" s="295"/>
      <c r="H262" s="296"/>
      <c r="I262" s="297"/>
      <c r="J262" s="292"/>
      <c r="K262" s="284"/>
      <c r="L262" s="284"/>
      <c r="M262" s="295"/>
      <c r="N262" s="296"/>
      <c r="O262" s="296"/>
      <c r="P262" s="284"/>
      <c r="Q262" s="298"/>
      <c r="R262" s="292"/>
      <c r="S262" s="299"/>
      <c r="T262" s="300"/>
      <c r="U262" s="317" t="str">
        <f t="shared" si="85"/>
        <v/>
      </c>
      <c r="V262" s="301"/>
      <c r="W262" s="137" t="str">
        <f t="shared" si="86"/>
        <v/>
      </c>
      <c r="X262" s="589" t="str">
        <f t="shared" si="104"/>
        <v/>
      </c>
      <c r="Y262" s="581"/>
      <c r="Z262" s="251" t="str">
        <f t="shared" si="87"/>
        <v/>
      </c>
      <c r="AA262" s="138" t="str">
        <f t="shared" si="112"/>
        <v/>
      </c>
      <c r="AB262" s="243" t="str">
        <f t="shared" si="105"/>
        <v/>
      </c>
      <c r="AC262" s="141" t="str">
        <f t="shared" si="88"/>
        <v/>
      </c>
      <c r="AD262" s="138" t="str">
        <f t="shared" si="106"/>
        <v/>
      </c>
      <c r="AE262" s="243" t="str">
        <f t="shared" si="89"/>
        <v/>
      </c>
      <c r="AF262" s="342" t="str">
        <f>IF(AM262="Row Not Used","",INDEX(SpaceTable[Annual Hours],(MATCH(B262,SpaceTable[Space Name Concatenated Helper],0))))</f>
        <v/>
      </c>
      <c r="AG262" s="205" t="str">
        <f t="shared" si="90"/>
        <v/>
      </c>
      <c r="AH262" s="234" t="str">
        <f t="shared" si="91"/>
        <v/>
      </c>
      <c r="AI262" s="205" t="str">
        <f t="shared" si="92"/>
        <v/>
      </c>
      <c r="AJ262" s="234" t="str">
        <f t="shared" si="93"/>
        <v/>
      </c>
      <c r="AK262" s="144" t="str">
        <f>IF(AM262="Row Not Used","",INDEX(SpaceTable[Row],(MATCH(B262,SpaceTable[Space Name Concatenated Helper],0))))</f>
        <v/>
      </c>
      <c r="AL262" s="238" t="str">
        <f>IF(AM262="Row Not Used","",INDEX(SpaceTable[HVAC Factor],(MATCH(B262,SpaceTable[Space Name Concatenated Helper],0))))</f>
        <v/>
      </c>
      <c r="AM262" s="520" t="str">
        <f t="shared" si="94"/>
        <v>Row Not Used</v>
      </c>
      <c r="AN262" s="512" t="e" cm="1">
        <f t="array" ref="AN262">INDEX(BallastFactorTable[Ballast Factor],MATCH(1,(BallastFactorTable[Fixture Class]=D262)*(BallastFactorTable[Fixture Category]=E262)*(BallastFactorTable[Fixture Sub-category]=F262),0))</f>
        <v>#N/A</v>
      </c>
      <c r="AO262" s="143" t="str">
        <f t="shared" si="107"/>
        <v/>
      </c>
      <c r="AP262" s="501" t="e" cm="1">
        <f t="array" ref="AP262">INDEX(BallastFactorTable[Wattage Range Name],MATCH(1,(BallastFactorTable[Fixture Class]=D262)*(BallastFactorTable[Fixture Category]=E262)*(BallastFactorTable[Fixture Sub-category]=F262),0))</f>
        <v>#N/A</v>
      </c>
      <c r="AQ262" s="515" t="str">
        <f t="shared" ca="1" si="95"/>
        <v>Okay</v>
      </c>
      <c r="AR262" s="512">
        <f t="shared" si="96"/>
        <v>0</v>
      </c>
      <c r="AS262" s="511" t="str">
        <f>IF(OR(Measures!AM262="Row Not Used",Measures!C262="Controls Only",Measures!C262="Decommissioning"),"",_xlfn.CONCAT(P262," ",Q262))</f>
        <v/>
      </c>
      <c r="AT262" s="264" t="str">
        <f t="shared" si="97"/>
        <v>None</v>
      </c>
      <c r="AU262" s="229">
        <f>IF(OR(AM262="Row Not Used",AM262="Controls Only"),0,INDEX(IncentiveRateTable[Incentive Rate],MATCH(AT262,IncentiveRateTable[Incentive Name],0)))</f>
        <v>0</v>
      </c>
      <c r="AV262" s="133" t="str">
        <f>IF(OR(AM262="Row Not Used",AM262="Controls Only"),"None",INDEX(IncentiveRateTable[Incentive Unit],MATCH(AT262,IncentiveRateTable[Incentive Name],0)))</f>
        <v>None</v>
      </c>
      <c r="AW262" s="578">
        <f t="shared" si="108"/>
        <v>0</v>
      </c>
      <c r="AX262" s="264" t="str">
        <f t="shared" si="98"/>
        <v>None</v>
      </c>
      <c r="AY262" s="229">
        <f>IF(OR(AM262="Row Not Used",AM262="Fixtures Only",AM262="Decommissioning"),0,INDEX(IncentiveRateTable[Incentive Rate],MATCH(AX262,IncentiveRateTable[Incentive Name],0)))</f>
        <v>0</v>
      </c>
      <c r="AZ262" s="133" t="str">
        <f>IF(OR(AM262="Row Not Used",AM262="Fixtures Only",AM262="Decommissioning"),"None",INDEX(IncentiveRateTable[Incentive Unit],MATCH(AX262,IncentiveRateTable[Incentive Name],0)))</f>
        <v>None</v>
      </c>
      <c r="BA262" s="465">
        <f t="shared" si="99"/>
        <v>0</v>
      </c>
      <c r="BB262" s="264" t="e" cm="1">
        <f t="array" ref="BB262">INDEX(BallastFactorTable[Commercial BPA Reference Number],MATCH(1,(BallastFactorTable[Fixture Class]=J262)*(BallastFactorTable[Fixture Category]=K262)*(BallastFactorTable[Fixture Sub-category]=L262),0))</f>
        <v>#N/A</v>
      </c>
      <c r="BC262" s="133" t="e" cm="1">
        <f t="array" ref="BC262">INDEX(BallastFactorTable[Industrial BPA Reference Number],MATCH(1,(BallastFactorTable[Fixture Class]=J262)*(BallastFactorTable[Fixture Category]=K262)*(BallastFactorTable[Fixture Sub-category]=L262),0))</f>
        <v>#N/A</v>
      </c>
      <c r="BD262" s="264" t="str">
        <f t="shared" si="100"/>
        <v>Sector is blank</v>
      </c>
      <c r="BE262" s="269" t="str">
        <f>IF(ISBLANK(SectorField),"Sector is blank",IF(AM262="Row Not Used","",IF(OR(R262="No Controls",ISBLANK(R262)),"",INDEX(ControlsBPARefNoTable[Reference Number],MATCH(SectorField,ControlsBPARefNoTable[Sector],0)))))</f>
        <v>Sector is blank</v>
      </c>
      <c r="BF262" s="530" t="str">
        <f t="shared" si="101"/>
        <v/>
      </c>
      <c r="BG262" s="132" t="str">
        <f t="shared" si="102"/>
        <v/>
      </c>
      <c r="BH262" s="531" t="str">
        <f t="shared" si="103"/>
        <v/>
      </c>
      <c r="BI262" s="532"/>
      <c r="BJ262" s="538" t="str">
        <f t="shared" si="109"/>
        <v/>
      </c>
      <c r="BK262" s="539" t="str">
        <f t="shared" si="110"/>
        <v/>
      </c>
      <c r="BL262" s="547" t="str">
        <f t="shared" si="111"/>
        <v/>
      </c>
    </row>
    <row r="263" spans="1:64" x14ac:dyDescent="0.3">
      <c r="A263" s="133">
        <v>256</v>
      </c>
      <c r="B263" s="294"/>
      <c r="C263" s="313"/>
      <c r="D263" s="292"/>
      <c r="E263" s="284"/>
      <c r="F263" s="284"/>
      <c r="G263" s="295"/>
      <c r="H263" s="296"/>
      <c r="I263" s="297"/>
      <c r="J263" s="292"/>
      <c r="K263" s="284"/>
      <c r="L263" s="284"/>
      <c r="M263" s="295"/>
      <c r="N263" s="296"/>
      <c r="O263" s="296"/>
      <c r="P263" s="284"/>
      <c r="Q263" s="298"/>
      <c r="R263" s="292"/>
      <c r="S263" s="299"/>
      <c r="T263" s="300"/>
      <c r="U263" s="317" t="str">
        <f t="shared" si="85"/>
        <v/>
      </c>
      <c r="V263" s="301"/>
      <c r="W263" s="136" t="str">
        <f t="shared" si="86"/>
        <v/>
      </c>
      <c r="X263" s="588" t="str">
        <f t="shared" si="104"/>
        <v/>
      </c>
      <c r="Y263" s="580"/>
      <c r="Z263" s="251" t="str">
        <f t="shared" si="87"/>
        <v/>
      </c>
      <c r="AA263" s="138" t="str">
        <f t="shared" si="112"/>
        <v/>
      </c>
      <c r="AB263" s="243" t="str">
        <f t="shared" si="105"/>
        <v/>
      </c>
      <c r="AC263" s="141" t="str">
        <f t="shared" si="88"/>
        <v/>
      </c>
      <c r="AD263" s="138" t="str">
        <f t="shared" si="106"/>
        <v/>
      </c>
      <c r="AE263" s="243" t="str">
        <f t="shared" si="89"/>
        <v/>
      </c>
      <c r="AF263" s="342" t="str">
        <f>IF(AM263="Row Not Used","",INDEX(SpaceTable[Annual Hours],(MATCH(B263,SpaceTable[Space Name Concatenated Helper],0))))</f>
        <v/>
      </c>
      <c r="AG263" s="205" t="str">
        <f t="shared" si="90"/>
        <v/>
      </c>
      <c r="AH263" s="234" t="str">
        <f t="shared" si="91"/>
        <v/>
      </c>
      <c r="AI263" s="205" t="str">
        <f t="shared" si="92"/>
        <v/>
      </c>
      <c r="AJ263" s="234" t="str">
        <f t="shared" si="93"/>
        <v/>
      </c>
      <c r="AK263" s="144" t="str">
        <f>IF(AM263="Row Not Used","",INDEX(SpaceTable[Row],(MATCH(B263,SpaceTable[Space Name Concatenated Helper],0))))</f>
        <v/>
      </c>
      <c r="AL263" s="238" t="str">
        <f>IF(AM263="Row Not Used","",INDEX(SpaceTable[HVAC Factor],(MATCH(B263,SpaceTable[Space Name Concatenated Helper],0))))</f>
        <v/>
      </c>
      <c r="AM263" s="520" t="str">
        <f t="shared" si="94"/>
        <v>Row Not Used</v>
      </c>
      <c r="AN263" s="512" t="e" cm="1">
        <f t="array" ref="AN263">INDEX(BallastFactorTable[Ballast Factor],MATCH(1,(BallastFactorTable[Fixture Class]=D263)*(BallastFactorTable[Fixture Category]=E263)*(BallastFactorTable[Fixture Sub-category]=F263),0))</f>
        <v>#N/A</v>
      </c>
      <c r="AO263" s="143" t="str">
        <f t="shared" si="107"/>
        <v/>
      </c>
      <c r="AP263" s="501" t="e" cm="1">
        <f t="array" ref="AP263">INDEX(BallastFactorTable[Wattage Range Name],MATCH(1,(BallastFactorTable[Fixture Class]=D263)*(BallastFactorTable[Fixture Category]=E263)*(BallastFactorTable[Fixture Sub-category]=F263),0))</f>
        <v>#N/A</v>
      </c>
      <c r="AQ263" s="515" t="str">
        <f t="shared" ca="1" si="95"/>
        <v>Okay</v>
      </c>
      <c r="AR263" s="512">
        <f t="shared" si="96"/>
        <v>0</v>
      </c>
      <c r="AS263" s="511" t="str">
        <f>IF(OR(Measures!AM263="Row Not Used",Measures!C263="Controls Only",Measures!C263="Decommissioning"),"",_xlfn.CONCAT(P263," ",Q263))</f>
        <v/>
      </c>
      <c r="AT263" s="264" t="str">
        <f t="shared" si="97"/>
        <v>None</v>
      </c>
      <c r="AU263" s="229">
        <f>IF(OR(AM263="Row Not Used",AM263="Controls Only"),0,INDEX(IncentiveRateTable[Incentive Rate],MATCH(AT263,IncentiveRateTable[Incentive Name],0)))</f>
        <v>0</v>
      </c>
      <c r="AV263" s="133" t="str">
        <f>IF(OR(AM263="Row Not Used",AM263="Controls Only"),"None",INDEX(IncentiveRateTable[Incentive Unit],MATCH(AT263,IncentiveRateTable[Incentive Name],0)))</f>
        <v>None</v>
      </c>
      <c r="AW263" s="578">
        <f t="shared" si="108"/>
        <v>0</v>
      </c>
      <c r="AX263" s="264" t="str">
        <f t="shared" si="98"/>
        <v>None</v>
      </c>
      <c r="AY263" s="229">
        <f>IF(OR(AM263="Row Not Used",AM263="Fixtures Only",AM263="Decommissioning"),0,INDEX(IncentiveRateTable[Incentive Rate],MATCH(AX263,IncentiveRateTable[Incentive Name],0)))</f>
        <v>0</v>
      </c>
      <c r="AZ263" s="133" t="str">
        <f>IF(OR(AM263="Row Not Used",AM263="Fixtures Only",AM263="Decommissioning"),"None",INDEX(IncentiveRateTable[Incentive Unit],MATCH(AX263,IncentiveRateTable[Incentive Name],0)))</f>
        <v>None</v>
      </c>
      <c r="BA263" s="465">
        <f t="shared" si="99"/>
        <v>0</v>
      </c>
      <c r="BB263" s="264" t="e" cm="1">
        <f t="array" ref="BB263">INDEX(BallastFactorTable[Commercial BPA Reference Number],MATCH(1,(BallastFactorTable[Fixture Class]=J263)*(BallastFactorTable[Fixture Category]=K263)*(BallastFactorTable[Fixture Sub-category]=L263),0))</f>
        <v>#N/A</v>
      </c>
      <c r="BC263" s="133" t="e" cm="1">
        <f t="array" ref="BC263">INDEX(BallastFactorTable[Industrial BPA Reference Number],MATCH(1,(BallastFactorTable[Fixture Class]=J263)*(BallastFactorTable[Fixture Category]=K263)*(BallastFactorTable[Fixture Sub-category]=L263),0))</f>
        <v>#N/A</v>
      </c>
      <c r="BD263" s="264" t="str">
        <f t="shared" si="100"/>
        <v>Sector is blank</v>
      </c>
      <c r="BE263" s="269" t="str">
        <f>IF(ISBLANK(SectorField),"Sector is blank",IF(AM263="Row Not Used","",IF(OR(R263="No Controls",ISBLANK(R263)),"",INDEX(ControlsBPARefNoTable[Reference Number],MATCH(SectorField,ControlsBPARefNoTable[Sector],0)))))</f>
        <v>Sector is blank</v>
      </c>
      <c r="BF263" s="530" t="str">
        <f t="shared" si="101"/>
        <v/>
      </c>
      <c r="BG263" s="132" t="str">
        <f t="shared" si="102"/>
        <v/>
      </c>
      <c r="BH263" s="531" t="str">
        <f t="shared" si="103"/>
        <v/>
      </c>
      <c r="BI263" s="532"/>
      <c r="BJ263" s="538" t="str">
        <f t="shared" si="109"/>
        <v/>
      </c>
      <c r="BK263" s="539" t="str">
        <f t="shared" si="110"/>
        <v/>
      </c>
      <c r="BL263" s="547" t="str">
        <f t="shared" si="111"/>
        <v/>
      </c>
    </row>
    <row r="264" spans="1:64" x14ac:dyDescent="0.3">
      <c r="A264" s="133">
        <v>257</v>
      </c>
      <c r="B264" s="294"/>
      <c r="C264" s="313"/>
      <c r="D264" s="292"/>
      <c r="E264" s="284"/>
      <c r="F264" s="284"/>
      <c r="G264" s="295"/>
      <c r="H264" s="296"/>
      <c r="I264" s="297"/>
      <c r="J264" s="292"/>
      <c r="K264" s="284"/>
      <c r="L264" s="284"/>
      <c r="M264" s="295"/>
      <c r="N264" s="296"/>
      <c r="O264" s="296"/>
      <c r="P264" s="284"/>
      <c r="Q264" s="298"/>
      <c r="R264" s="292"/>
      <c r="S264" s="299"/>
      <c r="T264" s="300"/>
      <c r="U264" s="317" t="str">
        <f t="shared" ref="U264:U327" si="113">IF(OR(ISBLANK(R264),R264="No Controls"),"",IF(R264="Networked Controls",CtrlPctHrsReductionNetworked,CtrlPctHrsReductionNonNetworked))</f>
        <v/>
      </c>
      <c r="V264" s="301"/>
      <c r="W264" s="137" t="str">
        <f t="shared" ref="W264:W327" si="114">IF(AM264="Row Not Used","",IF(OR(AM264="Fixtures Only",AM264="decommissioning"),Z264,IF(AM264="Controls Only",AC264,Z264+AC264)))</f>
        <v/>
      </c>
      <c r="X264" s="589" t="str">
        <f t="shared" si="104"/>
        <v/>
      </c>
      <c r="Y264" s="581"/>
      <c r="Z264" s="251" t="str">
        <f t="shared" ref="Z264:Z327" si="115">IF(OR(AM264="Row Not Used",AM264="Controls Only"),"",IF(AM264="Decommissioning",AH264,AH264-AJ264))</f>
        <v/>
      </c>
      <c r="AA264" s="138" t="str">
        <f t="shared" si="112"/>
        <v/>
      </c>
      <c r="AB264" s="243" t="str">
        <f t="shared" si="105"/>
        <v/>
      </c>
      <c r="AC264" s="141" t="str">
        <f t="shared" ref="AC264:AC327" si="116">IF(OR(AM264="Row Not Used",AM264="Fixtures Only",AM264="Decommissioning"),"",BA264)</f>
        <v/>
      </c>
      <c r="AD264" s="138" t="str">
        <f t="shared" si="106"/>
        <v/>
      </c>
      <c r="AE264" s="243" t="str">
        <f t="shared" ref="AE264:AE327" si="117">IF(AZ264="None","",IF(AC264&lt;0,0,ROUND(AY264*AC264,2)))</f>
        <v/>
      </c>
      <c r="AF264" s="342" t="str">
        <f>IF(AM264="Row Not Used","",INDEX(SpaceTable[Annual Hours],(MATCH(B264,SpaceTable[Space Name Concatenated Helper],0))))</f>
        <v/>
      </c>
      <c r="AG264" s="205" t="str">
        <f t="shared" ref="AG264:AG327" si="118">IF(AM264="Row Not Used","",G264*H264*AO264)</f>
        <v/>
      </c>
      <c r="AH264" s="234" t="str">
        <f t="shared" ref="AH264:AH327" si="119">IF(AM264="Row Not Used","",(AG264*I264*AF264*AL264)/kWhConversion)</f>
        <v/>
      </c>
      <c r="AI264" s="205" t="str">
        <f t="shared" ref="AI264:AI327" si="120">IF(OR(AM264="Row Not Used",AM264="Controls Only",AM264="Decommissioning"),"",M264*N264)</f>
        <v/>
      </c>
      <c r="AJ264" s="234" t="str">
        <f t="shared" ref="AJ264:AJ327" si="121">IF(OR(AM264="Row Not Used",AM264="Controls Only",AM264="Decommissioning"),"",(AI264*O264*AF264*AL264)/kWhConversion)</f>
        <v/>
      </c>
      <c r="AK264" s="144" t="str">
        <f>IF(AM264="Row Not Used","",INDEX(SpaceTable[Row],(MATCH(B264,SpaceTable[Space Name Concatenated Helper],0))))</f>
        <v/>
      </c>
      <c r="AL264" s="238" t="str">
        <f>IF(AM264="Row Not Used","",INDEX(SpaceTable[HVAC Factor],(MATCH(B264,SpaceTable[Space Name Concatenated Helper],0))))</f>
        <v/>
      </c>
      <c r="AM264" s="520" t="str">
        <f t="shared" ref="AM264:AM327" si="122">IF(OR(ISBLANK(C264),ISBLANK(B264)),"Row Not Used",IF(C264="Controls Only","Controls Only",IF(C264="Decommissioning","Decommissioning",IF(AND(C264="Fixtures",OR(R264="No Controls",ISBLANK(R264))),"Fixtures Only","Fixtures with Controls"))))</f>
        <v>Row Not Used</v>
      </c>
      <c r="AN264" s="512" t="e" cm="1">
        <f t="array" ref="AN264">INDEX(BallastFactorTable[Ballast Factor],MATCH(1,(BallastFactorTable[Fixture Class]=D264)*(BallastFactorTable[Fixture Category]=E264)*(BallastFactorTable[Fixture Sub-category]=F264),0))</f>
        <v>#N/A</v>
      </c>
      <c r="AO264" s="143" t="str">
        <f t="shared" si="107"/>
        <v/>
      </c>
      <c r="AP264" s="501" t="e" cm="1">
        <f t="array" ref="AP264">INDEX(BallastFactorTable[Wattage Range Name],MATCH(1,(BallastFactorTable[Fixture Class]=D264)*(BallastFactorTable[Fixture Category]=E264)*(BallastFactorTable[Fixture Sub-category]=F264),0))</f>
        <v>#N/A</v>
      </c>
      <c r="AQ264" s="515" t="str">
        <f t="shared" ref="AQ264:AQ327" ca="1" si="123">IF(G264="Type in the wattage.","Invalid",IF(OR(AM264="Row Not Used",D264="LED",ISBLANK(G264)),"Okay",IFERROR(_xlfn.XMATCH(G264,INDIRECT(AP264),0),"Invalid")))</f>
        <v>Okay</v>
      </c>
      <c r="AR264" s="512">
        <f t="shared" ref="AR264:AR327" si="124">IF(AM264="Row Not Used",0,IF(AM264="Decommissioning",I264,IF(AT264="LED Tube",N264*O264,O264)))</f>
        <v>0</v>
      </c>
      <c r="AS264" s="511" t="str">
        <f>IF(OR(Measures!AM264="Row Not Used",Measures!C264="Controls Only",Measures!C264="Decommissioning"),"",_xlfn.CONCAT(P264," ",Q264))</f>
        <v/>
      </c>
      <c r="AT264" s="264" t="str">
        <f t="shared" ref="AT264:AT327" si="125">IF(OR(AM264="Row Not Used",AM264="Controls Only"),"None",IF(K264="Tube","LED Tube",IF(K264="Exit Sign","LED Exit Sign",IF(RateClassField="Small General (B)","Standard B",IF(RateClassField="General (G)","Standard G",IF(RateClassField="High Voltage (HVG)","Standard HVG","Error"))))))</f>
        <v>None</v>
      </c>
      <c r="AU264" s="229">
        <f>IF(OR(AM264="Row Not Used",AM264="Controls Only"),0,INDEX(IncentiveRateTable[Incentive Rate],MATCH(AT264,IncentiveRateTable[Incentive Name],0)))</f>
        <v>0</v>
      </c>
      <c r="AV264" s="133" t="str">
        <f>IF(OR(AM264="Row Not Used",AM264="Controls Only"),"None",INDEX(IncentiveRateTable[Incentive Unit],MATCH(AT264,IncentiveRateTable[Incentive Name],0)))</f>
        <v>None</v>
      </c>
      <c r="AW264" s="578">
        <f t="shared" si="108"/>
        <v>0</v>
      </c>
      <c r="AX264" s="264" t="str">
        <f t="shared" ref="AX264:AX327" si="126">IF(OR(AM264="Row Not Used",AM264="Fixtures Only",AM264="Decommissioning"),"None",IF(RateClassField="Small General (B)","Standard B",IF(RateClassField="General (G)","Standard G",IF(RateClassField="High Voltage (HVG)","Standard HVG","Error"))))</f>
        <v>None</v>
      </c>
      <c r="AY264" s="229">
        <f>IF(OR(AM264="Row Not Used",AM264="Fixtures Only",AM264="Decommissioning"),0,INDEX(IncentiveRateTable[Incentive Rate],MATCH(AX264,IncentiveRateTable[Incentive Name],0)))</f>
        <v>0</v>
      </c>
      <c r="AZ264" s="133" t="str">
        <f>IF(OR(AM264="Row Not Used",AM264="Fixtures Only",AM264="Decommissioning"),"None",INDEX(IncentiveRateTable[Incentive Unit],MATCH(AX264,IncentiveRateTable[Incentive Name],0)))</f>
        <v>None</v>
      </c>
      <c r="BA264" s="465">
        <f t="shared" ref="BA264:BA327" si="127">IF(OR(AM264="Row Not Used",AM264="Decommissioning",AM264="Fixtures Only"),0,IF(AM264="Controls Only",IF(R264="Multi-function",AH264*U264*T264,AH264*U264),IF(R264="Multi-function",AJ264*U264*T264,AJ264*U264)))</f>
        <v>0</v>
      </c>
      <c r="BB264" s="264" t="e" cm="1">
        <f t="array" ref="BB264">INDEX(BallastFactorTable[Commercial BPA Reference Number],MATCH(1,(BallastFactorTable[Fixture Class]=J264)*(BallastFactorTable[Fixture Category]=K264)*(BallastFactorTable[Fixture Sub-category]=L264),0))</f>
        <v>#N/A</v>
      </c>
      <c r="BC264" s="133" t="e" cm="1">
        <f t="array" ref="BC264">INDEX(BallastFactorTable[Industrial BPA Reference Number],MATCH(1,(BallastFactorTable[Fixture Class]=J264)*(BallastFactorTable[Fixture Category]=K264)*(BallastFactorTable[Fixture Sub-category]=L264),0))</f>
        <v>#N/A</v>
      </c>
      <c r="BD264" s="264" t="str">
        <f t="shared" ref="BD264:BD327" si="128">IF(ISBLANK(SectorField),"Sector is blank",IF(OR(AM264="Row Not Used",AM264="Controls Only"),"",IF(AM264="Decommissioning","Not Reported to BPA",IF(SectorField="Commercial",BB264,IF(SectorField="Industrial",BC264,"Unknown")))))</f>
        <v>Sector is blank</v>
      </c>
      <c r="BE264" s="269" t="str">
        <f>IF(ISBLANK(SectorField),"Sector is blank",IF(AM264="Row Not Used","",IF(OR(R264="No Controls",ISBLANK(R264)),"",INDEX(ControlsBPARefNoTable[Reference Number],MATCH(SectorField,ControlsBPARefNoTable[Sector],0)))))</f>
        <v>Sector is blank</v>
      </c>
      <c r="BF264" s="530" t="str">
        <f t="shared" ref="BF264:BF327" si="129">IF(AM264="Row Not Used","",COUNTA(D264:I264)=$BF$6)</f>
        <v/>
      </c>
      <c r="BG264" s="132" t="str">
        <f t="shared" ref="BG264:BG327" si="130">IF(AM264="Row Not Used","",IF(OR(AM264="Controls Only",AM264="Decommissioning"),TRUE,COUNTA(J264:Q264)=$BG$6))</f>
        <v/>
      </c>
      <c r="BH264" s="531" t="str">
        <f t="shared" ref="BH264:BH327" si="131">IF(AM264="Row Not Used","",IF(OR(AM264="Fixtures Only",AM264="Decommissioning"),TRUE,IF(R264="Multi-function",COUNTA(R264:T264)=$BH$6,COUNTA(R264:T264)=$BH$6-1)))</f>
        <v/>
      </c>
      <c r="BI264" s="532"/>
      <c r="BJ264" s="538" t="str">
        <f t="shared" si="109"/>
        <v/>
      </c>
      <c r="BK264" s="539" t="str">
        <f t="shared" si="110"/>
        <v/>
      </c>
      <c r="BL264" s="547" t="str">
        <f t="shared" si="111"/>
        <v/>
      </c>
    </row>
    <row r="265" spans="1:64" x14ac:dyDescent="0.3">
      <c r="A265" s="133">
        <v>258</v>
      </c>
      <c r="B265" s="294"/>
      <c r="C265" s="313"/>
      <c r="D265" s="292"/>
      <c r="E265" s="284"/>
      <c r="F265" s="284"/>
      <c r="G265" s="295"/>
      <c r="H265" s="296"/>
      <c r="I265" s="297"/>
      <c r="J265" s="292"/>
      <c r="K265" s="284"/>
      <c r="L265" s="284"/>
      <c r="M265" s="295"/>
      <c r="N265" s="296"/>
      <c r="O265" s="296"/>
      <c r="P265" s="284"/>
      <c r="Q265" s="298"/>
      <c r="R265" s="292"/>
      <c r="S265" s="299"/>
      <c r="T265" s="300"/>
      <c r="U265" s="317" t="str">
        <f t="shared" si="113"/>
        <v/>
      </c>
      <c r="V265" s="301"/>
      <c r="W265" s="136" t="str">
        <f t="shared" si="114"/>
        <v/>
      </c>
      <c r="X265" s="588" t="str">
        <f t="shared" ref="X265:X328" si="132">IF(AM265="Row Not Used","",IFERROR(ROUND(W265/AH265,2),0))</f>
        <v/>
      </c>
      <c r="Y265" s="580"/>
      <c r="Z265" s="251" t="str">
        <f t="shared" si="115"/>
        <v/>
      </c>
      <c r="AA265" s="138" t="str">
        <f t="shared" si="112"/>
        <v/>
      </c>
      <c r="AB265" s="243" t="str">
        <f t="shared" ref="AB265:AB328" si="133">IF(AV265="None","",AW265)</f>
        <v/>
      </c>
      <c r="AC265" s="141" t="str">
        <f t="shared" si="116"/>
        <v/>
      </c>
      <c r="AD265" s="138" t="str">
        <f t="shared" ref="AD265:AD328" si="134">IF(OR(AM265="Row Not Used",AM265="Fixtures Only",AM265="Decommissioning"),"",IFERROR(ROUND(AC265/AH265,2),0))</f>
        <v/>
      </c>
      <c r="AE265" s="243" t="str">
        <f t="shared" si="117"/>
        <v/>
      </c>
      <c r="AF265" s="342" t="str">
        <f>IF(AM265="Row Not Used","",INDEX(SpaceTable[Annual Hours],(MATCH(B265,SpaceTable[Space Name Concatenated Helper],0))))</f>
        <v/>
      </c>
      <c r="AG265" s="205" t="str">
        <f t="shared" si="118"/>
        <v/>
      </c>
      <c r="AH265" s="234" t="str">
        <f t="shared" si="119"/>
        <v/>
      </c>
      <c r="AI265" s="205" t="str">
        <f t="shared" si="120"/>
        <v/>
      </c>
      <c r="AJ265" s="234" t="str">
        <f t="shared" si="121"/>
        <v/>
      </c>
      <c r="AK265" s="144" t="str">
        <f>IF(AM265="Row Not Used","",INDEX(SpaceTable[Row],(MATCH(B265,SpaceTable[Space Name Concatenated Helper],0))))</f>
        <v/>
      </c>
      <c r="AL265" s="238" t="str">
        <f>IF(AM265="Row Not Used","",INDEX(SpaceTable[HVAC Factor],(MATCH(B265,SpaceTable[Space Name Concatenated Helper],0))))</f>
        <v/>
      </c>
      <c r="AM265" s="520" t="str">
        <f t="shared" si="122"/>
        <v>Row Not Used</v>
      </c>
      <c r="AN265" s="512" t="e" cm="1">
        <f t="array" ref="AN265">INDEX(BallastFactorTable[Ballast Factor],MATCH(1,(BallastFactorTable[Fixture Class]=D265)*(BallastFactorTable[Fixture Category]=E265)*(BallastFactorTable[Fixture Sub-category]=F265),0))</f>
        <v>#N/A</v>
      </c>
      <c r="AO265" s="143" t="str">
        <f t="shared" ref="AO265:AO328" si="135">IF(AM265="Row Not Used","",IFERROR(AN265,0))</f>
        <v/>
      </c>
      <c r="AP265" s="501" t="e" cm="1">
        <f t="array" ref="AP265">INDEX(BallastFactorTable[Wattage Range Name],MATCH(1,(BallastFactorTable[Fixture Class]=D265)*(BallastFactorTable[Fixture Category]=E265)*(BallastFactorTable[Fixture Sub-category]=F265),0))</f>
        <v>#N/A</v>
      </c>
      <c r="AQ265" s="515" t="str">
        <f t="shared" ca="1" si="123"/>
        <v>Okay</v>
      </c>
      <c r="AR265" s="512">
        <f t="shared" si="124"/>
        <v>0</v>
      </c>
      <c r="AS265" s="511" t="str">
        <f>IF(OR(Measures!AM265="Row Not Used",Measures!C265="Controls Only",Measures!C265="Decommissioning"),"",_xlfn.CONCAT(P265," ",Q265))</f>
        <v/>
      </c>
      <c r="AT265" s="264" t="str">
        <f t="shared" si="125"/>
        <v>None</v>
      </c>
      <c r="AU265" s="229">
        <f>IF(OR(AM265="Row Not Used",AM265="Controls Only"),0,INDEX(IncentiveRateTable[Incentive Rate],MATCH(AT265,IncentiveRateTable[Incentive Name],0)))</f>
        <v>0</v>
      </c>
      <c r="AV265" s="133" t="str">
        <f>IF(OR(AM265="Row Not Used",AM265="Controls Only"),"None",INDEX(IncentiveRateTable[Incentive Unit],MATCH(AT265,IncentiveRateTable[Incentive Name],0)))</f>
        <v>None</v>
      </c>
      <c r="AW265" s="578">
        <f t="shared" ref="AW265:AW328" si="136">IF(AV265="None",0,IF(AND(OR(AV265="Per Tube",AV265="Per Fixture"),Z265=0),0,IF(AV265="Per kWh Saved",ROUND(AU265*Z265,2),IF(AND(AV265="Per Tube",Z265&lt;0),-ROUND(AU265*N265*O265,2),IF(AV265="Per Tube",ROUND(AU265*N265*O265,2),IF(AND(AV265="Per Fixture",Z265&lt;0),-ROUND(AU265*O265,2),IF(AV265="Per Fixture",ROUND(AU265*O265,2),0)))))))</f>
        <v>0</v>
      </c>
      <c r="AX265" s="264" t="str">
        <f t="shared" si="126"/>
        <v>None</v>
      </c>
      <c r="AY265" s="229">
        <f>IF(OR(AM265="Row Not Used",AM265="Fixtures Only",AM265="Decommissioning"),0,INDEX(IncentiveRateTable[Incentive Rate],MATCH(AX265,IncentiveRateTable[Incentive Name],0)))</f>
        <v>0</v>
      </c>
      <c r="AZ265" s="133" t="str">
        <f>IF(OR(AM265="Row Not Used",AM265="Fixtures Only",AM265="Decommissioning"),"None",INDEX(IncentiveRateTable[Incentive Unit],MATCH(AX265,IncentiveRateTable[Incentive Name],0)))</f>
        <v>None</v>
      </c>
      <c r="BA265" s="465">
        <f t="shared" si="127"/>
        <v>0</v>
      </c>
      <c r="BB265" s="264" t="e" cm="1">
        <f t="array" ref="BB265">INDEX(BallastFactorTable[Commercial BPA Reference Number],MATCH(1,(BallastFactorTable[Fixture Class]=J265)*(BallastFactorTable[Fixture Category]=K265)*(BallastFactorTable[Fixture Sub-category]=L265),0))</f>
        <v>#N/A</v>
      </c>
      <c r="BC265" s="133" t="e" cm="1">
        <f t="array" ref="BC265">INDEX(BallastFactorTable[Industrial BPA Reference Number],MATCH(1,(BallastFactorTable[Fixture Class]=J265)*(BallastFactorTable[Fixture Category]=K265)*(BallastFactorTable[Fixture Sub-category]=L265),0))</f>
        <v>#N/A</v>
      </c>
      <c r="BD265" s="264" t="str">
        <f t="shared" si="128"/>
        <v>Sector is blank</v>
      </c>
      <c r="BE265" s="269" t="str">
        <f>IF(ISBLANK(SectorField),"Sector is blank",IF(AM265="Row Not Used","",IF(OR(R265="No Controls",ISBLANK(R265)),"",INDEX(ControlsBPARefNoTable[Reference Number],MATCH(SectorField,ControlsBPARefNoTable[Sector],0)))))</f>
        <v>Sector is blank</v>
      </c>
      <c r="BF265" s="530" t="str">
        <f t="shared" si="129"/>
        <v/>
      </c>
      <c r="BG265" s="132" t="str">
        <f t="shared" si="130"/>
        <v/>
      </c>
      <c r="BH265" s="531" t="str">
        <f t="shared" si="131"/>
        <v/>
      </c>
      <c r="BI265" s="532"/>
      <c r="BJ265" s="538" t="str">
        <f t="shared" ref="BJ265:BJ328" si="137">IF(LEN(BF265)=0,"",IF(BF265=FALSE,"Missing info","Okay"))</f>
        <v/>
      </c>
      <c r="BK265" s="539" t="str">
        <f t="shared" ref="BK265:BK328" si="138">IF(LEN(BG265)=0,"",IF(BG265=FALSE,"Missing info","Okay"))</f>
        <v/>
      </c>
      <c r="BL265" s="547" t="str">
        <f t="shared" ref="BL265:BL328" si="139">IF(LEN(BH265)=0,"",IF(BH265=FALSE,"Missing info","Okay"))</f>
        <v/>
      </c>
    </row>
    <row r="266" spans="1:64" x14ac:dyDescent="0.3">
      <c r="A266" s="133">
        <v>259</v>
      </c>
      <c r="B266" s="294"/>
      <c r="C266" s="313"/>
      <c r="D266" s="292"/>
      <c r="E266" s="284"/>
      <c r="F266" s="284"/>
      <c r="G266" s="295"/>
      <c r="H266" s="296"/>
      <c r="I266" s="297"/>
      <c r="J266" s="292"/>
      <c r="K266" s="284"/>
      <c r="L266" s="284"/>
      <c r="M266" s="295"/>
      <c r="N266" s="296"/>
      <c r="O266" s="296"/>
      <c r="P266" s="284"/>
      <c r="Q266" s="298"/>
      <c r="R266" s="292"/>
      <c r="S266" s="299"/>
      <c r="T266" s="300"/>
      <c r="U266" s="317" t="str">
        <f t="shared" si="113"/>
        <v/>
      </c>
      <c r="V266" s="301"/>
      <c r="W266" s="137" t="str">
        <f t="shared" si="114"/>
        <v/>
      </c>
      <c r="X266" s="589" t="str">
        <f t="shared" si="132"/>
        <v/>
      </c>
      <c r="Y266" s="581"/>
      <c r="Z266" s="251" t="str">
        <f t="shared" si="115"/>
        <v/>
      </c>
      <c r="AA266" s="138" t="str">
        <f t="shared" ref="AA266:AA329" si="140">IF(OR(AM266="Row Not Used",AM266="Controls Only"),"",IFERROR(ROUND(Z266/AH266,2),0))</f>
        <v/>
      </c>
      <c r="AB266" s="243" t="str">
        <f t="shared" si="133"/>
        <v/>
      </c>
      <c r="AC266" s="141" t="str">
        <f t="shared" si="116"/>
        <v/>
      </c>
      <c r="AD266" s="138" t="str">
        <f t="shared" si="134"/>
        <v/>
      </c>
      <c r="AE266" s="243" t="str">
        <f t="shared" si="117"/>
        <v/>
      </c>
      <c r="AF266" s="342" t="str">
        <f>IF(AM266="Row Not Used","",INDEX(SpaceTable[Annual Hours],(MATCH(B266,SpaceTable[Space Name Concatenated Helper],0))))</f>
        <v/>
      </c>
      <c r="AG266" s="205" t="str">
        <f t="shared" si="118"/>
        <v/>
      </c>
      <c r="AH266" s="234" t="str">
        <f t="shared" si="119"/>
        <v/>
      </c>
      <c r="AI266" s="205" t="str">
        <f t="shared" si="120"/>
        <v/>
      </c>
      <c r="AJ266" s="234" t="str">
        <f t="shared" si="121"/>
        <v/>
      </c>
      <c r="AK266" s="144" t="str">
        <f>IF(AM266="Row Not Used","",INDEX(SpaceTable[Row],(MATCH(B266,SpaceTable[Space Name Concatenated Helper],0))))</f>
        <v/>
      </c>
      <c r="AL266" s="238" t="str">
        <f>IF(AM266="Row Not Used","",INDEX(SpaceTable[HVAC Factor],(MATCH(B266,SpaceTable[Space Name Concatenated Helper],0))))</f>
        <v/>
      </c>
      <c r="AM266" s="520" t="str">
        <f t="shared" si="122"/>
        <v>Row Not Used</v>
      </c>
      <c r="AN266" s="512" t="e" cm="1">
        <f t="array" ref="AN266">INDEX(BallastFactorTable[Ballast Factor],MATCH(1,(BallastFactorTable[Fixture Class]=D266)*(BallastFactorTable[Fixture Category]=E266)*(BallastFactorTable[Fixture Sub-category]=F266),0))</f>
        <v>#N/A</v>
      </c>
      <c r="AO266" s="143" t="str">
        <f t="shared" si="135"/>
        <v/>
      </c>
      <c r="AP266" s="501" t="e" cm="1">
        <f t="array" ref="AP266">INDEX(BallastFactorTable[Wattage Range Name],MATCH(1,(BallastFactorTable[Fixture Class]=D266)*(BallastFactorTable[Fixture Category]=E266)*(BallastFactorTable[Fixture Sub-category]=F266),0))</f>
        <v>#N/A</v>
      </c>
      <c r="AQ266" s="515" t="str">
        <f t="shared" ca="1" si="123"/>
        <v>Okay</v>
      </c>
      <c r="AR266" s="512">
        <f t="shared" si="124"/>
        <v>0</v>
      </c>
      <c r="AS266" s="511" t="str">
        <f>IF(OR(Measures!AM266="Row Not Used",Measures!C266="Controls Only",Measures!C266="Decommissioning"),"",_xlfn.CONCAT(P266," ",Q266))</f>
        <v/>
      </c>
      <c r="AT266" s="264" t="str">
        <f t="shared" si="125"/>
        <v>None</v>
      </c>
      <c r="AU266" s="229">
        <f>IF(OR(AM266="Row Not Used",AM266="Controls Only"),0,INDEX(IncentiveRateTable[Incentive Rate],MATCH(AT266,IncentiveRateTable[Incentive Name],0)))</f>
        <v>0</v>
      </c>
      <c r="AV266" s="133" t="str">
        <f>IF(OR(AM266="Row Not Used",AM266="Controls Only"),"None",INDEX(IncentiveRateTable[Incentive Unit],MATCH(AT266,IncentiveRateTable[Incentive Name],0)))</f>
        <v>None</v>
      </c>
      <c r="AW266" s="578">
        <f t="shared" si="136"/>
        <v>0</v>
      </c>
      <c r="AX266" s="264" t="str">
        <f t="shared" si="126"/>
        <v>None</v>
      </c>
      <c r="AY266" s="229">
        <f>IF(OR(AM266="Row Not Used",AM266="Fixtures Only",AM266="Decommissioning"),0,INDEX(IncentiveRateTable[Incentive Rate],MATCH(AX266,IncentiveRateTable[Incentive Name],0)))</f>
        <v>0</v>
      </c>
      <c r="AZ266" s="133" t="str">
        <f>IF(OR(AM266="Row Not Used",AM266="Fixtures Only",AM266="Decommissioning"),"None",INDEX(IncentiveRateTable[Incentive Unit],MATCH(AX266,IncentiveRateTable[Incentive Name],0)))</f>
        <v>None</v>
      </c>
      <c r="BA266" s="465">
        <f t="shared" si="127"/>
        <v>0</v>
      </c>
      <c r="BB266" s="264" t="e" cm="1">
        <f t="array" ref="BB266">INDEX(BallastFactorTable[Commercial BPA Reference Number],MATCH(1,(BallastFactorTable[Fixture Class]=J266)*(BallastFactorTable[Fixture Category]=K266)*(BallastFactorTable[Fixture Sub-category]=L266),0))</f>
        <v>#N/A</v>
      </c>
      <c r="BC266" s="133" t="e" cm="1">
        <f t="array" ref="BC266">INDEX(BallastFactorTable[Industrial BPA Reference Number],MATCH(1,(BallastFactorTable[Fixture Class]=J266)*(BallastFactorTable[Fixture Category]=K266)*(BallastFactorTable[Fixture Sub-category]=L266),0))</f>
        <v>#N/A</v>
      </c>
      <c r="BD266" s="264" t="str">
        <f t="shared" si="128"/>
        <v>Sector is blank</v>
      </c>
      <c r="BE266" s="269" t="str">
        <f>IF(ISBLANK(SectorField),"Sector is blank",IF(AM266="Row Not Used","",IF(OR(R266="No Controls",ISBLANK(R266)),"",INDEX(ControlsBPARefNoTable[Reference Number],MATCH(SectorField,ControlsBPARefNoTable[Sector],0)))))</f>
        <v>Sector is blank</v>
      </c>
      <c r="BF266" s="530" t="str">
        <f t="shared" si="129"/>
        <v/>
      </c>
      <c r="BG266" s="132" t="str">
        <f t="shared" si="130"/>
        <v/>
      </c>
      <c r="BH266" s="531" t="str">
        <f t="shared" si="131"/>
        <v/>
      </c>
      <c r="BI266" s="532"/>
      <c r="BJ266" s="538" t="str">
        <f t="shared" si="137"/>
        <v/>
      </c>
      <c r="BK266" s="539" t="str">
        <f t="shared" si="138"/>
        <v/>
      </c>
      <c r="BL266" s="547" t="str">
        <f t="shared" si="139"/>
        <v/>
      </c>
    </row>
    <row r="267" spans="1:64" x14ac:dyDescent="0.3">
      <c r="A267" s="133">
        <v>260</v>
      </c>
      <c r="B267" s="294"/>
      <c r="C267" s="313"/>
      <c r="D267" s="292"/>
      <c r="E267" s="284"/>
      <c r="F267" s="284"/>
      <c r="G267" s="295"/>
      <c r="H267" s="296"/>
      <c r="I267" s="297"/>
      <c r="J267" s="292"/>
      <c r="K267" s="284"/>
      <c r="L267" s="284"/>
      <c r="M267" s="295"/>
      <c r="N267" s="296"/>
      <c r="O267" s="296"/>
      <c r="P267" s="284"/>
      <c r="Q267" s="298"/>
      <c r="R267" s="292"/>
      <c r="S267" s="299"/>
      <c r="T267" s="300"/>
      <c r="U267" s="317" t="str">
        <f t="shared" si="113"/>
        <v/>
      </c>
      <c r="V267" s="301"/>
      <c r="W267" s="136" t="str">
        <f t="shared" si="114"/>
        <v/>
      </c>
      <c r="X267" s="588" t="str">
        <f t="shared" si="132"/>
        <v/>
      </c>
      <c r="Y267" s="580"/>
      <c r="Z267" s="251" t="str">
        <f t="shared" si="115"/>
        <v/>
      </c>
      <c r="AA267" s="138" t="str">
        <f t="shared" si="140"/>
        <v/>
      </c>
      <c r="AB267" s="243" t="str">
        <f t="shared" si="133"/>
        <v/>
      </c>
      <c r="AC267" s="141" t="str">
        <f t="shared" si="116"/>
        <v/>
      </c>
      <c r="AD267" s="138" t="str">
        <f t="shared" si="134"/>
        <v/>
      </c>
      <c r="AE267" s="243" t="str">
        <f t="shared" si="117"/>
        <v/>
      </c>
      <c r="AF267" s="342" t="str">
        <f>IF(AM267="Row Not Used","",INDEX(SpaceTable[Annual Hours],(MATCH(B267,SpaceTable[Space Name Concatenated Helper],0))))</f>
        <v/>
      </c>
      <c r="AG267" s="205" t="str">
        <f t="shared" si="118"/>
        <v/>
      </c>
      <c r="AH267" s="234" t="str">
        <f t="shared" si="119"/>
        <v/>
      </c>
      <c r="AI267" s="205" t="str">
        <f t="shared" si="120"/>
        <v/>
      </c>
      <c r="AJ267" s="234" t="str">
        <f t="shared" si="121"/>
        <v/>
      </c>
      <c r="AK267" s="144" t="str">
        <f>IF(AM267="Row Not Used","",INDEX(SpaceTable[Row],(MATCH(B267,SpaceTable[Space Name Concatenated Helper],0))))</f>
        <v/>
      </c>
      <c r="AL267" s="238" t="str">
        <f>IF(AM267="Row Not Used","",INDEX(SpaceTable[HVAC Factor],(MATCH(B267,SpaceTable[Space Name Concatenated Helper],0))))</f>
        <v/>
      </c>
      <c r="AM267" s="520" t="str">
        <f t="shared" si="122"/>
        <v>Row Not Used</v>
      </c>
      <c r="AN267" s="512" t="e" cm="1">
        <f t="array" ref="AN267">INDEX(BallastFactorTable[Ballast Factor],MATCH(1,(BallastFactorTable[Fixture Class]=D267)*(BallastFactorTable[Fixture Category]=E267)*(BallastFactorTable[Fixture Sub-category]=F267),0))</f>
        <v>#N/A</v>
      </c>
      <c r="AO267" s="143" t="str">
        <f t="shared" si="135"/>
        <v/>
      </c>
      <c r="AP267" s="501" t="e" cm="1">
        <f t="array" ref="AP267">INDEX(BallastFactorTable[Wattage Range Name],MATCH(1,(BallastFactorTable[Fixture Class]=D267)*(BallastFactorTable[Fixture Category]=E267)*(BallastFactorTable[Fixture Sub-category]=F267),0))</f>
        <v>#N/A</v>
      </c>
      <c r="AQ267" s="515" t="str">
        <f t="shared" ca="1" si="123"/>
        <v>Okay</v>
      </c>
      <c r="AR267" s="512">
        <f t="shared" si="124"/>
        <v>0</v>
      </c>
      <c r="AS267" s="511" t="str">
        <f>IF(OR(Measures!AM267="Row Not Used",Measures!C267="Controls Only",Measures!C267="Decommissioning"),"",_xlfn.CONCAT(P267," ",Q267))</f>
        <v/>
      </c>
      <c r="AT267" s="264" t="str">
        <f t="shared" si="125"/>
        <v>None</v>
      </c>
      <c r="AU267" s="229">
        <f>IF(OR(AM267="Row Not Used",AM267="Controls Only"),0,INDEX(IncentiveRateTable[Incentive Rate],MATCH(AT267,IncentiveRateTable[Incentive Name],0)))</f>
        <v>0</v>
      </c>
      <c r="AV267" s="133" t="str">
        <f>IF(OR(AM267="Row Not Used",AM267="Controls Only"),"None",INDEX(IncentiveRateTable[Incentive Unit],MATCH(AT267,IncentiveRateTable[Incentive Name],0)))</f>
        <v>None</v>
      </c>
      <c r="AW267" s="578">
        <f t="shared" si="136"/>
        <v>0</v>
      </c>
      <c r="AX267" s="264" t="str">
        <f t="shared" si="126"/>
        <v>None</v>
      </c>
      <c r="AY267" s="229">
        <f>IF(OR(AM267="Row Not Used",AM267="Fixtures Only",AM267="Decommissioning"),0,INDEX(IncentiveRateTable[Incentive Rate],MATCH(AX267,IncentiveRateTable[Incentive Name],0)))</f>
        <v>0</v>
      </c>
      <c r="AZ267" s="133" t="str">
        <f>IF(OR(AM267="Row Not Used",AM267="Fixtures Only",AM267="Decommissioning"),"None",INDEX(IncentiveRateTable[Incentive Unit],MATCH(AX267,IncentiveRateTable[Incentive Name],0)))</f>
        <v>None</v>
      </c>
      <c r="BA267" s="465">
        <f t="shared" si="127"/>
        <v>0</v>
      </c>
      <c r="BB267" s="264" t="e" cm="1">
        <f t="array" ref="BB267">INDEX(BallastFactorTable[Commercial BPA Reference Number],MATCH(1,(BallastFactorTable[Fixture Class]=J267)*(BallastFactorTable[Fixture Category]=K267)*(BallastFactorTable[Fixture Sub-category]=L267),0))</f>
        <v>#N/A</v>
      </c>
      <c r="BC267" s="133" t="e" cm="1">
        <f t="array" ref="BC267">INDEX(BallastFactorTable[Industrial BPA Reference Number],MATCH(1,(BallastFactorTable[Fixture Class]=J267)*(BallastFactorTable[Fixture Category]=K267)*(BallastFactorTable[Fixture Sub-category]=L267),0))</f>
        <v>#N/A</v>
      </c>
      <c r="BD267" s="264" t="str">
        <f t="shared" si="128"/>
        <v>Sector is blank</v>
      </c>
      <c r="BE267" s="269" t="str">
        <f>IF(ISBLANK(SectorField),"Sector is blank",IF(AM267="Row Not Used","",IF(OR(R267="No Controls",ISBLANK(R267)),"",INDEX(ControlsBPARefNoTable[Reference Number],MATCH(SectorField,ControlsBPARefNoTable[Sector],0)))))</f>
        <v>Sector is blank</v>
      </c>
      <c r="BF267" s="530" t="str">
        <f t="shared" si="129"/>
        <v/>
      </c>
      <c r="BG267" s="132" t="str">
        <f t="shared" si="130"/>
        <v/>
      </c>
      <c r="BH267" s="531" t="str">
        <f t="shared" si="131"/>
        <v/>
      </c>
      <c r="BI267" s="532"/>
      <c r="BJ267" s="538" t="str">
        <f t="shared" si="137"/>
        <v/>
      </c>
      <c r="BK267" s="539" t="str">
        <f t="shared" si="138"/>
        <v/>
      </c>
      <c r="BL267" s="547" t="str">
        <f t="shared" si="139"/>
        <v/>
      </c>
    </row>
    <row r="268" spans="1:64" x14ac:dyDescent="0.3">
      <c r="A268" s="133">
        <v>261</v>
      </c>
      <c r="B268" s="294"/>
      <c r="C268" s="313"/>
      <c r="D268" s="292"/>
      <c r="E268" s="284"/>
      <c r="F268" s="284"/>
      <c r="G268" s="295"/>
      <c r="H268" s="296"/>
      <c r="I268" s="297"/>
      <c r="J268" s="292"/>
      <c r="K268" s="284"/>
      <c r="L268" s="284"/>
      <c r="M268" s="295"/>
      <c r="N268" s="296"/>
      <c r="O268" s="296"/>
      <c r="P268" s="284"/>
      <c r="Q268" s="298"/>
      <c r="R268" s="292"/>
      <c r="S268" s="299"/>
      <c r="T268" s="300"/>
      <c r="U268" s="317" t="str">
        <f t="shared" si="113"/>
        <v/>
      </c>
      <c r="V268" s="301"/>
      <c r="W268" s="137" t="str">
        <f t="shared" si="114"/>
        <v/>
      </c>
      <c r="X268" s="589" t="str">
        <f t="shared" si="132"/>
        <v/>
      </c>
      <c r="Y268" s="581"/>
      <c r="Z268" s="251" t="str">
        <f t="shared" si="115"/>
        <v/>
      </c>
      <c r="AA268" s="138" t="str">
        <f t="shared" si="140"/>
        <v/>
      </c>
      <c r="AB268" s="243" t="str">
        <f t="shared" si="133"/>
        <v/>
      </c>
      <c r="AC268" s="141" t="str">
        <f t="shared" si="116"/>
        <v/>
      </c>
      <c r="AD268" s="138" t="str">
        <f t="shared" si="134"/>
        <v/>
      </c>
      <c r="AE268" s="243" t="str">
        <f t="shared" si="117"/>
        <v/>
      </c>
      <c r="AF268" s="342" t="str">
        <f>IF(AM268="Row Not Used","",INDEX(SpaceTable[Annual Hours],(MATCH(B268,SpaceTable[Space Name Concatenated Helper],0))))</f>
        <v/>
      </c>
      <c r="AG268" s="205" t="str">
        <f t="shared" si="118"/>
        <v/>
      </c>
      <c r="AH268" s="234" t="str">
        <f t="shared" si="119"/>
        <v/>
      </c>
      <c r="AI268" s="205" t="str">
        <f t="shared" si="120"/>
        <v/>
      </c>
      <c r="AJ268" s="234" t="str">
        <f t="shared" si="121"/>
        <v/>
      </c>
      <c r="AK268" s="144" t="str">
        <f>IF(AM268="Row Not Used","",INDEX(SpaceTable[Row],(MATCH(B268,SpaceTable[Space Name Concatenated Helper],0))))</f>
        <v/>
      </c>
      <c r="AL268" s="238" t="str">
        <f>IF(AM268="Row Not Used","",INDEX(SpaceTable[HVAC Factor],(MATCH(B268,SpaceTable[Space Name Concatenated Helper],0))))</f>
        <v/>
      </c>
      <c r="AM268" s="520" t="str">
        <f t="shared" si="122"/>
        <v>Row Not Used</v>
      </c>
      <c r="AN268" s="512" t="e" cm="1">
        <f t="array" ref="AN268">INDEX(BallastFactorTable[Ballast Factor],MATCH(1,(BallastFactorTable[Fixture Class]=D268)*(BallastFactorTable[Fixture Category]=E268)*(BallastFactorTable[Fixture Sub-category]=F268),0))</f>
        <v>#N/A</v>
      </c>
      <c r="AO268" s="143" t="str">
        <f t="shared" si="135"/>
        <v/>
      </c>
      <c r="AP268" s="501" t="e" cm="1">
        <f t="array" ref="AP268">INDEX(BallastFactorTable[Wattage Range Name],MATCH(1,(BallastFactorTable[Fixture Class]=D268)*(BallastFactorTable[Fixture Category]=E268)*(BallastFactorTable[Fixture Sub-category]=F268),0))</f>
        <v>#N/A</v>
      </c>
      <c r="AQ268" s="515" t="str">
        <f t="shared" ca="1" si="123"/>
        <v>Okay</v>
      </c>
      <c r="AR268" s="512">
        <f t="shared" si="124"/>
        <v>0</v>
      </c>
      <c r="AS268" s="511" t="str">
        <f>IF(OR(Measures!AM268="Row Not Used",Measures!C268="Controls Only",Measures!C268="Decommissioning"),"",_xlfn.CONCAT(P268," ",Q268))</f>
        <v/>
      </c>
      <c r="AT268" s="264" t="str">
        <f t="shared" si="125"/>
        <v>None</v>
      </c>
      <c r="AU268" s="229">
        <f>IF(OR(AM268="Row Not Used",AM268="Controls Only"),0,INDEX(IncentiveRateTable[Incentive Rate],MATCH(AT268,IncentiveRateTable[Incentive Name],0)))</f>
        <v>0</v>
      </c>
      <c r="AV268" s="133" t="str">
        <f>IF(OR(AM268="Row Not Used",AM268="Controls Only"),"None",INDEX(IncentiveRateTable[Incentive Unit],MATCH(AT268,IncentiveRateTable[Incentive Name],0)))</f>
        <v>None</v>
      </c>
      <c r="AW268" s="578">
        <f t="shared" si="136"/>
        <v>0</v>
      </c>
      <c r="AX268" s="264" t="str">
        <f t="shared" si="126"/>
        <v>None</v>
      </c>
      <c r="AY268" s="229">
        <f>IF(OR(AM268="Row Not Used",AM268="Fixtures Only",AM268="Decommissioning"),0,INDEX(IncentiveRateTable[Incentive Rate],MATCH(AX268,IncentiveRateTable[Incentive Name],0)))</f>
        <v>0</v>
      </c>
      <c r="AZ268" s="133" t="str">
        <f>IF(OR(AM268="Row Not Used",AM268="Fixtures Only",AM268="Decommissioning"),"None",INDEX(IncentiveRateTable[Incentive Unit],MATCH(AX268,IncentiveRateTable[Incentive Name],0)))</f>
        <v>None</v>
      </c>
      <c r="BA268" s="465">
        <f t="shared" si="127"/>
        <v>0</v>
      </c>
      <c r="BB268" s="264" t="e" cm="1">
        <f t="array" ref="BB268">INDEX(BallastFactorTable[Commercial BPA Reference Number],MATCH(1,(BallastFactorTable[Fixture Class]=J268)*(BallastFactorTable[Fixture Category]=K268)*(BallastFactorTable[Fixture Sub-category]=L268),0))</f>
        <v>#N/A</v>
      </c>
      <c r="BC268" s="133" t="e" cm="1">
        <f t="array" ref="BC268">INDEX(BallastFactorTable[Industrial BPA Reference Number],MATCH(1,(BallastFactorTable[Fixture Class]=J268)*(BallastFactorTable[Fixture Category]=K268)*(BallastFactorTable[Fixture Sub-category]=L268),0))</f>
        <v>#N/A</v>
      </c>
      <c r="BD268" s="264" t="str">
        <f t="shared" si="128"/>
        <v>Sector is blank</v>
      </c>
      <c r="BE268" s="269" t="str">
        <f>IF(ISBLANK(SectorField),"Sector is blank",IF(AM268="Row Not Used","",IF(OR(R268="No Controls",ISBLANK(R268)),"",INDEX(ControlsBPARefNoTable[Reference Number],MATCH(SectorField,ControlsBPARefNoTable[Sector],0)))))</f>
        <v>Sector is blank</v>
      </c>
      <c r="BF268" s="530" t="str">
        <f t="shared" si="129"/>
        <v/>
      </c>
      <c r="BG268" s="132" t="str">
        <f t="shared" si="130"/>
        <v/>
      </c>
      <c r="BH268" s="531" t="str">
        <f t="shared" si="131"/>
        <v/>
      </c>
      <c r="BI268" s="532"/>
      <c r="BJ268" s="538" t="str">
        <f t="shared" si="137"/>
        <v/>
      </c>
      <c r="BK268" s="539" t="str">
        <f t="shared" si="138"/>
        <v/>
      </c>
      <c r="BL268" s="547" t="str">
        <f t="shared" si="139"/>
        <v/>
      </c>
    </row>
    <row r="269" spans="1:64" x14ac:dyDescent="0.3">
      <c r="A269" s="133">
        <v>262</v>
      </c>
      <c r="B269" s="294"/>
      <c r="C269" s="313"/>
      <c r="D269" s="292"/>
      <c r="E269" s="284"/>
      <c r="F269" s="284"/>
      <c r="G269" s="295"/>
      <c r="H269" s="296"/>
      <c r="I269" s="297"/>
      <c r="J269" s="292"/>
      <c r="K269" s="284"/>
      <c r="L269" s="284"/>
      <c r="M269" s="295"/>
      <c r="N269" s="296"/>
      <c r="O269" s="296"/>
      <c r="P269" s="284"/>
      <c r="Q269" s="298"/>
      <c r="R269" s="292"/>
      <c r="S269" s="299"/>
      <c r="T269" s="300"/>
      <c r="U269" s="317" t="str">
        <f t="shared" si="113"/>
        <v/>
      </c>
      <c r="V269" s="301"/>
      <c r="W269" s="136" t="str">
        <f t="shared" si="114"/>
        <v/>
      </c>
      <c r="X269" s="588" t="str">
        <f t="shared" si="132"/>
        <v/>
      </c>
      <c r="Y269" s="580"/>
      <c r="Z269" s="251" t="str">
        <f t="shared" si="115"/>
        <v/>
      </c>
      <c r="AA269" s="138" t="str">
        <f t="shared" si="140"/>
        <v/>
      </c>
      <c r="AB269" s="243" t="str">
        <f t="shared" si="133"/>
        <v/>
      </c>
      <c r="AC269" s="141" t="str">
        <f t="shared" si="116"/>
        <v/>
      </c>
      <c r="AD269" s="138" t="str">
        <f t="shared" si="134"/>
        <v/>
      </c>
      <c r="AE269" s="243" t="str">
        <f t="shared" si="117"/>
        <v/>
      </c>
      <c r="AF269" s="342" t="str">
        <f>IF(AM269="Row Not Used","",INDEX(SpaceTable[Annual Hours],(MATCH(B269,SpaceTable[Space Name Concatenated Helper],0))))</f>
        <v/>
      </c>
      <c r="AG269" s="205" t="str">
        <f t="shared" si="118"/>
        <v/>
      </c>
      <c r="AH269" s="234" t="str">
        <f t="shared" si="119"/>
        <v/>
      </c>
      <c r="AI269" s="205" t="str">
        <f t="shared" si="120"/>
        <v/>
      </c>
      <c r="AJ269" s="234" t="str">
        <f t="shared" si="121"/>
        <v/>
      </c>
      <c r="AK269" s="144" t="str">
        <f>IF(AM269="Row Not Used","",INDEX(SpaceTable[Row],(MATCH(B269,SpaceTable[Space Name Concatenated Helper],0))))</f>
        <v/>
      </c>
      <c r="AL269" s="238" t="str">
        <f>IF(AM269="Row Not Used","",INDEX(SpaceTable[HVAC Factor],(MATCH(B269,SpaceTable[Space Name Concatenated Helper],0))))</f>
        <v/>
      </c>
      <c r="AM269" s="520" t="str">
        <f t="shared" si="122"/>
        <v>Row Not Used</v>
      </c>
      <c r="AN269" s="512" t="e" cm="1">
        <f t="array" ref="AN269">INDEX(BallastFactorTable[Ballast Factor],MATCH(1,(BallastFactorTable[Fixture Class]=D269)*(BallastFactorTable[Fixture Category]=E269)*(BallastFactorTable[Fixture Sub-category]=F269),0))</f>
        <v>#N/A</v>
      </c>
      <c r="AO269" s="143" t="str">
        <f t="shared" si="135"/>
        <v/>
      </c>
      <c r="AP269" s="501" t="e" cm="1">
        <f t="array" ref="AP269">INDEX(BallastFactorTable[Wattage Range Name],MATCH(1,(BallastFactorTable[Fixture Class]=D269)*(BallastFactorTable[Fixture Category]=E269)*(BallastFactorTable[Fixture Sub-category]=F269),0))</f>
        <v>#N/A</v>
      </c>
      <c r="AQ269" s="515" t="str">
        <f t="shared" ca="1" si="123"/>
        <v>Okay</v>
      </c>
      <c r="AR269" s="512">
        <f t="shared" si="124"/>
        <v>0</v>
      </c>
      <c r="AS269" s="511" t="str">
        <f>IF(OR(Measures!AM269="Row Not Used",Measures!C269="Controls Only",Measures!C269="Decommissioning"),"",_xlfn.CONCAT(P269," ",Q269))</f>
        <v/>
      </c>
      <c r="AT269" s="264" t="str">
        <f t="shared" si="125"/>
        <v>None</v>
      </c>
      <c r="AU269" s="229">
        <f>IF(OR(AM269="Row Not Used",AM269="Controls Only"),0,INDEX(IncentiveRateTable[Incentive Rate],MATCH(AT269,IncentiveRateTable[Incentive Name],0)))</f>
        <v>0</v>
      </c>
      <c r="AV269" s="133" t="str">
        <f>IF(OR(AM269="Row Not Used",AM269="Controls Only"),"None",INDEX(IncentiveRateTable[Incentive Unit],MATCH(AT269,IncentiveRateTable[Incentive Name],0)))</f>
        <v>None</v>
      </c>
      <c r="AW269" s="578">
        <f t="shared" si="136"/>
        <v>0</v>
      </c>
      <c r="AX269" s="264" t="str">
        <f t="shared" si="126"/>
        <v>None</v>
      </c>
      <c r="AY269" s="229">
        <f>IF(OR(AM269="Row Not Used",AM269="Fixtures Only",AM269="Decommissioning"),0,INDEX(IncentiveRateTable[Incentive Rate],MATCH(AX269,IncentiveRateTable[Incentive Name],0)))</f>
        <v>0</v>
      </c>
      <c r="AZ269" s="133" t="str">
        <f>IF(OR(AM269="Row Not Used",AM269="Fixtures Only",AM269="Decommissioning"),"None",INDEX(IncentiveRateTable[Incentive Unit],MATCH(AX269,IncentiveRateTable[Incentive Name],0)))</f>
        <v>None</v>
      </c>
      <c r="BA269" s="465">
        <f t="shared" si="127"/>
        <v>0</v>
      </c>
      <c r="BB269" s="264" t="e" cm="1">
        <f t="array" ref="BB269">INDEX(BallastFactorTable[Commercial BPA Reference Number],MATCH(1,(BallastFactorTable[Fixture Class]=J269)*(BallastFactorTable[Fixture Category]=K269)*(BallastFactorTable[Fixture Sub-category]=L269),0))</f>
        <v>#N/A</v>
      </c>
      <c r="BC269" s="133" t="e" cm="1">
        <f t="array" ref="BC269">INDEX(BallastFactorTable[Industrial BPA Reference Number],MATCH(1,(BallastFactorTable[Fixture Class]=J269)*(BallastFactorTable[Fixture Category]=K269)*(BallastFactorTable[Fixture Sub-category]=L269),0))</f>
        <v>#N/A</v>
      </c>
      <c r="BD269" s="264" t="str">
        <f t="shared" si="128"/>
        <v>Sector is blank</v>
      </c>
      <c r="BE269" s="269" t="str">
        <f>IF(ISBLANK(SectorField),"Sector is blank",IF(AM269="Row Not Used","",IF(OR(R269="No Controls",ISBLANK(R269)),"",INDEX(ControlsBPARefNoTable[Reference Number],MATCH(SectorField,ControlsBPARefNoTable[Sector],0)))))</f>
        <v>Sector is blank</v>
      </c>
      <c r="BF269" s="530" t="str">
        <f t="shared" si="129"/>
        <v/>
      </c>
      <c r="BG269" s="132" t="str">
        <f t="shared" si="130"/>
        <v/>
      </c>
      <c r="BH269" s="531" t="str">
        <f t="shared" si="131"/>
        <v/>
      </c>
      <c r="BI269" s="532"/>
      <c r="BJ269" s="538" t="str">
        <f t="shared" si="137"/>
        <v/>
      </c>
      <c r="BK269" s="539" t="str">
        <f t="shared" si="138"/>
        <v/>
      </c>
      <c r="BL269" s="547" t="str">
        <f t="shared" si="139"/>
        <v/>
      </c>
    </row>
    <row r="270" spans="1:64" x14ac:dyDescent="0.3">
      <c r="A270" s="133">
        <v>263</v>
      </c>
      <c r="B270" s="294"/>
      <c r="C270" s="313"/>
      <c r="D270" s="292"/>
      <c r="E270" s="284"/>
      <c r="F270" s="284"/>
      <c r="G270" s="295"/>
      <c r="H270" s="296"/>
      <c r="I270" s="297"/>
      <c r="J270" s="292"/>
      <c r="K270" s="284"/>
      <c r="L270" s="284"/>
      <c r="M270" s="295"/>
      <c r="N270" s="296"/>
      <c r="O270" s="296"/>
      <c r="P270" s="284"/>
      <c r="Q270" s="298"/>
      <c r="R270" s="292"/>
      <c r="S270" s="299"/>
      <c r="T270" s="300"/>
      <c r="U270" s="317" t="str">
        <f t="shared" si="113"/>
        <v/>
      </c>
      <c r="V270" s="301"/>
      <c r="W270" s="137" t="str">
        <f t="shared" si="114"/>
        <v/>
      </c>
      <c r="X270" s="589" t="str">
        <f t="shared" si="132"/>
        <v/>
      </c>
      <c r="Y270" s="581"/>
      <c r="Z270" s="251" t="str">
        <f t="shared" si="115"/>
        <v/>
      </c>
      <c r="AA270" s="138" t="str">
        <f t="shared" si="140"/>
        <v/>
      </c>
      <c r="AB270" s="243" t="str">
        <f t="shared" si="133"/>
        <v/>
      </c>
      <c r="AC270" s="141" t="str">
        <f t="shared" si="116"/>
        <v/>
      </c>
      <c r="AD270" s="138" t="str">
        <f t="shared" si="134"/>
        <v/>
      </c>
      <c r="AE270" s="243" t="str">
        <f t="shared" si="117"/>
        <v/>
      </c>
      <c r="AF270" s="342" t="str">
        <f>IF(AM270="Row Not Used","",INDEX(SpaceTable[Annual Hours],(MATCH(B270,SpaceTable[Space Name Concatenated Helper],0))))</f>
        <v/>
      </c>
      <c r="AG270" s="205" t="str">
        <f t="shared" si="118"/>
        <v/>
      </c>
      <c r="AH270" s="234" t="str">
        <f t="shared" si="119"/>
        <v/>
      </c>
      <c r="AI270" s="205" t="str">
        <f t="shared" si="120"/>
        <v/>
      </c>
      <c r="AJ270" s="234" t="str">
        <f t="shared" si="121"/>
        <v/>
      </c>
      <c r="AK270" s="144" t="str">
        <f>IF(AM270="Row Not Used","",INDEX(SpaceTable[Row],(MATCH(B270,SpaceTable[Space Name Concatenated Helper],0))))</f>
        <v/>
      </c>
      <c r="AL270" s="238" t="str">
        <f>IF(AM270="Row Not Used","",INDEX(SpaceTable[HVAC Factor],(MATCH(B270,SpaceTable[Space Name Concatenated Helper],0))))</f>
        <v/>
      </c>
      <c r="AM270" s="520" t="str">
        <f t="shared" si="122"/>
        <v>Row Not Used</v>
      </c>
      <c r="AN270" s="512" t="e" cm="1">
        <f t="array" ref="AN270">INDEX(BallastFactorTable[Ballast Factor],MATCH(1,(BallastFactorTable[Fixture Class]=D270)*(BallastFactorTable[Fixture Category]=E270)*(BallastFactorTable[Fixture Sub-category]=F270),0))</f>
        <v>#N/A</v>
      </c>
      <c r="AO270" s="143" t="str">
        <f t="shared" si="135"/>
        <v/>
      </c>
      <c r="AP270" s="501" t="e" cm="1">
        <f t="array" ref="AP270">INDEX(BallastFactorTable[Wattage Range Name],MATCH(1,(BallastFactorTable[Fixture Class]=D270)*(BallastFactorTable[Fixture Category]=E270)*(BallastFactorTable[Fixture Sub-category]=F270),0))</f>
        <v>#N/A</v>
      </c>
      <c r="AQ270" s="515" t="str">
        <f t="shared" ca="1" si="123"/>
        <v>Okay</v>
      </c>
      <c r="AR270" s="512">
        <f t="shared" si="124"/>
        <v>0</v>
      </c>
      <c r="AS270" s="511" t="str">
        <f>IF(OR(Measures!AM270="Row Not Used",Measures!C270="Controls Only",Measures!C270="Decommissioning"),"",_xlfn.CONCAT(P270," ",Q270))</f>
        <v/>
      </c>
      <c r="AT270" s="264" t="str">
        <f t="shared" si="125"/>
        <v>None</v>
      </c>
      <c r="AU270" s="229">
        <f>IF(OR(AM270="Row Not Used",AM270="Controls Only"),0,INDEX(IncentiveRateTable[Incentive Rate],MATCH(AT270,IncentiveRateTable[Incentive Name],0)))</f>
        <v>0</v>
      </c>
      <c r="AV270" s="133" t="str">
        <f>IF(OR(AM270="Row Not Used",AM270="Controls Only"),"None",INDEX(IncentiveRateTable[Incentive Unit],MATCH(AT270,IncentiveRateTable[Incentive Name],0)))</f>
        <v>None</v>
      </c>
      <c r="AW270" s="578">
        <f t="shared" si="136"/>
        <v>0</v>
      </c>
      <c r="AX270" s="264" t="str">
        <f t="shared" si="126"/>
        <v>None</v>
      </c>
      <c r="AY270" s="229">
        <f>IF(OR(AM270="Row Not Used",AM270="Fixtures Only",AM270="Decommissioning"),0,INDEX(IncentiveRateTable[Incentive Rate],MATCH(AX270,IncentiveRateTable[Incentive Name],0)))</f>
        <v>0</v>
      </c>
      <c r="AZ270" s="133" t="str">
        <f>IF(OR(AM270="Row Not Used",AM270="Fixtures Only",AM270="Decommissioning"),"None",INDEX(IncentiveRateTable[Incentive Unit],MATCH(AX270,IncentiveRateTable[Incentive Name],0)))</f>
        <v>None</v>
      </c>
      <c r="BA270" s="465">
        <f t="shared" si="127"/>
        <v>0</v>
      </c>
      <c r="BB270" s="264" t="e" cm="1">
        <f t="array" ref="BB270">INDEX(BallastFactorTable[Commercial BPA Reference Number],MATCH(1,(BallastFactorTable[Fixture Class]=J270)*(BallastFactorTable[Fixture Category]=K270)*(BallastFactorTable[Fixture Sub-category]=L270),0))</f>
        <v>#N/A</v>
      </c>
      <c r="BC270" s="133" t="e" cm="1">
        <f t="array" ref="BC270">INDEX(BallastFactorTable[Industrial BPA Reference Number],MATCH(1,(BallastFactorTable[Fixture Class]=J270)*(BallastFactorTable[Fixture Category]=K270)*(BallastFactorTable[Fixture Sub-category]=L270),0))</f>
        <v>#N/A</v>
      </c>
      <c r="BD270" s="264" t="str">
        <f t="shared" si="128"/>
        <v>Sector is blank</v>
      </c>
      <c r="BE270" s="269" t="str">
        <f>IF(ISBLANK(SectorField),"Sector is blank",IF(AM270="Row Not Used","",IF(OR(R270="No Controls",ISBLANK(R270)),"",INDEX(ControlsBPARefNoTable[Reference Number],MATCH(SectorField,ControlsBPARefNoTable[Sector],0)))))</f>
        <v>Sector is blank</v>
      </c>
      <c r="BF270" s="530" t="str">
        <f t="shared" si="129"/>
        <v/>
      </c>
      <c r="BG270" s="132" t="str">
        <f t="shared" si="130"/>
        <v/>
      </c>
      <c r="BH270" s="531" t="str">
        <f t="shared" si="131"/>
        <v/>
      </c>
      <c r="BI270" s="532"/>
      <c r="BJ270" s="538" t="str">
        <f t="shared" si="137"/>
        <v/>
      </c>
      <c r="BK270" s="539" t="str">
        <f t="shared" si="138"/>
        <v/>
      </c>
      <c r="BL270" s="547" t="str">
        <f t="shared" si="139"/>
        <v/>
      </c>
    </row>
    <row r="271" spans="1:64" x14ac:dyDescent="0.3">
      <c r="A271" s="133">
        <v>264</v>
      </c>
      <c r="B271" s="294"/>
      <c r="C271" s="313"/>
      <c r="D271" s="292"/>
      <c r="E271" s="284"/>
      <c r="F271" s="284"/>
      <c r="G271" s="295"/>
      <c r="H271" s="296"/>
      <c r="I271" s="297"/>
      <c r="J271" s="292"/>
      <c r="K271" s="284"/>
      <c r="L271" s="284"/>
      <c r="M271" s="295"/>
      <c r="N271" s="296"/>
      <c r="O271" s="296"/>
      <c r="P271" s="284"/>
      <c r="Q271" s="298"/>
      <c r="R271" s="292"/>
      <c r="S271" s="299"/>
      <c r="T271" s="300"/>
      <c r="U271" s="317" t="str">
        <f t="shared" si="113"/>
        <v/>
      </c>
      <c r="V271" s="301"/>
      <c r="W271" s="136" t="str">
        <f t="shared" si="114"/>
        <v/>
      </c>
      <c r="X271" s="588" t="str">
        <f t="shared" si="132"/>
        <v/>
      </c>
      <c r="Y271" s="580"/>
      <c r="Z271" s="251" t="str">
        <f t="shared" si="115"/>
        <v/>
      </c>
      <c r="AA271" s="138" t="str">
        <f t="shared" si="140"/>
        <v/>
      </c>
      <c r="AB271" s="243" t="str">
        <f t="shared" si="133"/>
        <v/>
      </c>
      <c r="AC271" s="141" t="str">
        <f t="shared" si="116"/>
        <v/>
      </c>
      <c r="AD271" s="138" t="str">
        <f t="shared" si="134"/>
        <v/>
      </c>
      <c r="AE271" s="243" t="str">
        <f t="shared" si="117"/>
        <v/>
      </c>
      <c r="AF271" s="342" t="str">
        <f>IF(AM271="Row Not Used","",INDEX(SpaceTable[Annual Hours],(MATCH(B271,SpaceTable[Space Name Concatenated Helper],0))))</f>
        <v/>
      </c>
      <c r="AG271" s="205" t="str">
        <f t="shared" si="118"/>
        <v/>
      </c>
      <c r="AH271" s="234" t="str">
        <f t="shared" si="119"/>
        <v/>
      </c>
      <c r="AI271" s="205" t="str">
        <f t="shared" si="120"/>
        <v/>
      </c>
      <c r="AJ271" s="234" t="str">
        <f t="shared" si="121"/>
        <v/>
      </c>
      <c r="AK271" s="144" t="str">
        <f>IF(AM271="Row Not Used","",INDEX(SpaceTable[Row],(MATCH(B271,SpaceTable[Space Name Concatenated Helper],0))))</f>
        <v/>
      </c>
      <c r="AL271" s="238" t="str">
        <f>IF(AM271="Row Not Used","",INDEX(SpaceTable[HVAC Factor],(MATCH(B271,SpaceTable[Space Name Concatenated Helper],0))))</f>
        <v/>
      </c>
      <c r="AM271" s="520" t="str">
        <f t="shared" si="122"/>
        <v>Row Not Used</v>
      </c>
      <c r="AN271" s="512" t="e" cm="1">
        <f t="array" ref="AN271">INDEX(BallastFactorTable[Ballast Factor],MATCH(1,(BallastFactorTable[Fixture Class]=D271)*(BallastFactorTable[Fixture Category]=E271)*(BallastFactorTable[Fixture Sub-category]=F271),0))</f>
        <v>#N/A</v>
      </c>
      <c r="AO271" s="143" t="str">
        <f t="shared" si="135"/>
        <v/>
      </c>
      <c r="AP271" s="501" t="e" cm="1">
        <f t="array" ref="AP271">INDEX(BallastFactorTable[Wattage Range Name],MATCH(1,(BallastFactorTable[Fixture Class]=D271)*(BallastFactorTable[Fixture Category]=E271)*(BallastFactorTable[Fixture Sub-category]=F271),0))</f>
        <v>#N/A</v>
      </c>
      <c r="AQ271" s="515" t="str">
        <f t="shared" ca="1" si="123"/>
        <v>Okay</v>
      </c>
      <c r="AR271" s="512">
        <f t="shared" si="124"/>
        <v>0</v>
      </c>
      <c r="AS271" s="511" t="str">
        <f>IF(OR(Measures!AM271="Row Not Used",Measures!C271="Controls Only",Measures!C271="Decommissioning"),"",_xlfn.CONCAT(P271," ",Q271))</f>
        <v/>
      </c>
      <c r="AT271" s="264" t="str">
        <f t="shared" si="125"/>
        <v>None</v>
      </c>
      <c r="AU271" s="229">
        <f>IF(OR(AM271="Row Not Used",AM271="Controls Only"),0,INDEX(IncentiveRateTable[Incentive Rate],MATCH(AT271,IncentiveRateTable[Incentive Name],0)))</f>
        <v>0</v>
      </c>
      <c r="AV271" s="133" t="str">
        <f>IF(OR(AM271="Row Not Used",AM271="Controls Only"),"None",INDEX(IncentiveRateTable[Incentive Unit],MATCH(AT271,IncentiveRateTable[Incentive Name],0)))</f>
        <v>None</v>
      </c>
      <c r="AW271" s="578">
        <f t="shared" si="136"/>
        <v>0</v>
      </c>
      <c r="AX271" s="264" t="str">
        <f t="shared" si="126"/>
        <v>None</v>
      </c>
      <c r="AY271" s="229">
        <f>IF(OR(AM271="Row Not Used",AM271="Fixtures Only",AM271="Decommissioning"),0,INDEX(IncentiveRateTable[Incentive Rate],MATCH(AX271,IncentiveRateTable[Incentive Name],0)))</f>
        <v>0</v>
      </c>
      <c r="AZ271" s="133" t="str">
        <f>IF(OR(AM271="Row Not Used",AM271="Fixtures Only",AM271="Decommissioning"),"None",INDEX(IncentiveRateTable[Incentive Unit],MATCH(AX271,IncentiveRateTable[Incentive Name],0)))</f>
        <v>None</v>
      </c>
      <c r="BA271" s="465">
        <f t="shared" si="127"/>
        <v>0</v>
      </c>
      <c r="BB271" s="264" t="e" cm="1">
        <f t="array" ref="BB271">INDEX(BallastFactorTable[Commercial BPA Reference Number],MATCH(1,(BallastFactorTable[Fixture Class]=J271)*(BallastFactorTable[Fixture Category]=K271)*(BallastFactorTable[Fixture Sub-category]=L271),0))</f>
        <v>#N/A</v>
      </c>
      <c r="BC271" s="133" t="e" cm="1">
        <f t="array" ref="BC271">INDEX(BallastFactorTable[Industrial BPA Reference Number],MATCH(1,(BallastFactorTable[Fixture Class]=J271)*(BallastFactorTable[Fixture Category]=K271)*(BallastFactorTable[Fixture Sub-category]=L271),0))</f>
        <v>#N/A</v>
      </c>
      <c r="BD271" s="264" t="str">
        <f t="shared" si="128"/>
        <v>Sector is blank</v>
      </c>
      <c r="BE271" s="269" t="str">
        <f>IF(ISBLANK(SectorField),"Sector is blank",IF(AM271="Row Not Used","",IF(OR(R271="No Controls",ISBLANK(R271)),"",INDEX(ControlsBPARefNoTable[Reference Number],MATCH(SectorField,ControlsBPARefNoTable[Sector],0)))))</f>
        <v>Sector is blank</v>
      </c>
      <c r="BF271" s="530" t="str">
        <f t="shared" si="129"/>
        <v/>
      </c>
      <c r="BG271" s="132" t="str">
        <f t="shared" si="130"/>
        <v/>
      </c>
      <c r="BH271" s="531" t="str">
        <f t="shared" si="131"/>
        <v/>
      </c>
      <c r="BI271" s="532"/>
      <c r="BJ271" s="538" t="str">
        <f t="shared" si="137"/>
        <v/>
      </c>
      <c r="BK271" s="539" t="str">
        <f t="shared" si="138"/>
        <v/>
      </c>
      <c r="BL271" s="547" t="str">
        <f t="shared" si="139"/>
        <v/>
      </c>
    </row>
    <row r="272" spans="1:64" x14ac:dyDescent="0.3">
      <c r="A272" s="133">
        <v>265</v>
      </c>
      <c r="B272" s="294"/>
      <c r="C272" s="313"/>
      <c r="D272" s="292"/>
      <c r="E272" s="284"/>
      <c r="F272" s="284"/>
      <c r="G272" s="295"/>
      <c r="H272" s="296"/>
      <c r="I272" s="297"/>
      <c r="J272" s="292"/>
      <c r="K272" s="284"/>
      <c r="L272" s="284"/>
      <c r="M272" s="295"/>
      <c r="N272" s="296"/>
      <c r="O272" s="296"/>
      <c r="P272" s="284"/>
      <c r="Q272" s="298"/>
      <c r="R272" s="292"/>
      <c r="S272" s="299"/>
      <c r="T272" s="300"/>
      <c r="U272" s="317" t="str">
        <f t="shared" si="113"/>
        <v/>
      </c>
      <c r="V272" s="301"/>
      <c r="W272" s="137" t="str">
        <f t="shared" si="114"/>
        <v/>
      </c>
      <c r="X272" s="589" t="str">
        <f t="shared" si="132"/>
        <v/>
      </c>
      <c r="Y272" s="581"/>
      <c r="Z272" s="251" t="str">
        <f t="shared" si="115"/>
        <v/>
      </c>
      <c r="AA272" s="138" t="str">
        <f t="shared" si="140"/>
        <v/>
      </c>
      <c r="AB272" s="243" t="str">
        <f t="shared" si="133"/>
        <v/>
      </c>
      <c r="AC272" s="141" t="str">
        <f t="shared" si="116"/>
        <v/>
      </c>
      <c r="AD272" s="138" t="str">
        <f t="shared" si="134"/>
        <v/>
      </c>
      <c r="AE272" s="243" t="str">
        <f t="shared" si="117"/>
        <v/>
      </c>
      <c r="AF272" s="342" t="str">
        <f>IF(AM272="Row Not Used","",INDEX(SpaceTable[Annual Hours],(MATCH(B272,SpaceTable[Space Name Concatenated Helper],0))))</f>
        <v/>
      </c>
      <c r="AG272" s="205" t="str">
        <f t="shared" si="118"/>
        <v/>
      </c>
      <c r="AH272" s="234" t="str">
        <f t="shared" si="119"/>
        <v/>
      </c>
      <c r="AI272" s="205" t="str">
        <f t="shared" si="120"/>
        <v/>
      </c>
      <c r="AJ272" s="234" t="str">
        <f t="shared" si="121"/>
        <v/>
      </c>
      <c r="AK272" s="144" t="str">
        <f>IF(AM272="Row Not Used","",INDEX(SpaceTable[Row],(MATCH(B272,SpaceTable[Space Name Concatenated Helper],0))))</f>
        <v/>
      </c>
      <c r="AL272" s="238" t="str">
        <f>IF(AM272="Row Not Used","",INDEX(SpaceTable[HVAC Factor],(MATCH(B272,SpaceTable[Space Name Concatenated Helper],0))))</f>
        <v/>
      </c>
      <c r="AM272" s="520" t="str">
        <f t="shared" si="122"/>
        <v>Row Not Used</v>
      </c>
      <c r="AN272" s="512" t="e" cm="1">
        <f t="array" ref="AN272">INDEX(BallastFactorTable[Ballast Factor],MATCH(1,(BallastFactorTable[Fixture Class]=D272)*(BallastFactorTable[Fixture Category]=E272)*(BallastFactorTable[Fixture Sub-category]=F272),0))</f>
        <v>#N/A</v>
      </c>
      <c r="AO272" s="143" t="str">
        <f t="shared" si="135"/>
        <v/>
      </c>
      <c r="AP272" s="501" t="e" cm="1">
        <f t="array" ref="AP272">INDEX(BallastFactorTable[Wattage Range Name],MATCH(1,(BallastFactorTable[Fixture Class]=D272)*(BallastFactorTable[Fixture Category]=E272)*(BallastFactorTable[Fixture Sub-category]=F272),0))</f>
        <v>#N/A</v>
      </c>
      <c r="AQ272" s="515" t="str">
        <f t="shared" ca="1" si="123"/>
        <v>Okay</v>
      </c>
      <c r="AR272" s="512">
        <f t="shared" si="124"/>
        <v>0</v>
      </c>
      <c r="AS272" s="511" t="str">
        <f>IF(OR(Measures!AM272="Row Not Used",Measures!C272="Controls Only",Measures!C272="Decommissioning"),"",_xlfn.CONCAT(P272," ",Q272))</f>
        <v/>
      </c>
      <c r="AT272" s="264" t="str">
        <f t="shared" si="125"/>
        <v>None</v>
      </c>
      <c r="AU272" s="229">
        <f>IF(OR(AM272="Row Not Used",AM272="Controls Only"),0,INDEX(IncentiveRateTable[Incentive Rate],MATCH(AT272,IncentiveRateTable[Incentive Name],0)))</f>
        <v>0</v>
      </c>
      <c r="AV272" s="133" t="str">
        <f>IF(OR(AM272="Row Not Used",AM272="Controls Only"),"None",INDEX(IncentiveRateTable[Incentive Unit],MATCH(AT272,IncentiveRateTable[Incentive Name],0)))</f>
        <v>None</v>
      </c>
      <c r="AW272" s="578">
        <f t="shared" si="136"/>
        <v>0</v>
      </c>
      <c r="AX272" s="264" t="str">
        <f t="shared" si="126"/>
        <v>None</v>
      </c>
      <c r="AY272" s="229">
        <f>IF(OR(AM272="Row Not Used",AM272="Fixtures Only",AM272="Decommissioning"),0,INDEX(IncentiveRateTable[Incentive Rate],MATCH(AX272,IncentiveRateTable[Incentive Name],0)))</f>
        <v>0</v>
      </c>
      <c r="AZ272" s="133" t="str">
        <f>IF(OR(AM272="Row Not Used",AM272="Fixtures Only",AM272="Decommissioning"),"None",INDEX(IncentiveRateTable[Incentive Unit],MATCH(AX272,IncentiveRateTable[Incentive Name],0)))</f>
        <v>None</v>
      </c>
      <c r="BA272" s="465">
        <f t="shared" si="127"/>
        <v>0</v>
      </c>
      <c r="BB272" s="264" t="e" cm="1">
        <f t="array" ref="BB272">INDEX(BallastFactorTable[Commercial BPA Reference Number],MATCH(1,(BallastFactorTable[Fixture Class]=J272)*(BallastFactorTable[Fixture Category]=K272)*(BallastFactorTable[Fixture Sub-category]=L272),0))</f>
        <v>#N/A</v>
      </c>
      <c r="BC272" s="133" t="e" cm="1">
        <f t="array" ref="BC272">INDEX(BallastFactorTable[Industrial BPA Reference Number],MATCH(1,(BallastFactorTable[Fixture Class]=J272)*(BallastFactorTable[Fixture Category]=K272)*(BallastFactorTable[Fixture Sub-category]=L272),0))</f>
        <v>#N/A</v>
      </c>
      <c r="BD272" s="264" t="str">
        <f t="shared" si="128"/>
        <v>Sector is blank</v>
      </c>
      <c r="BE272" s="269" t="str">
        <f>IF(ISBLANK(SectorField),"Sector is blank",IF(AM272="Row Not Used","",IF(OR(R272="No Controls",ISBLANK(R272)),"",INDEX(ControlsBPARefNoTable[Reference Number],MATCH(SectorField,ControlsBPARefNoTable[Sector],0)))))</f>
        <v>Sector is blank</v>
      </c>
      <c r="BF272" s="530" t="str">
        <f t="shared" si="129"/>
        <v/>
      </c>
      <c r="BG272" s="132" t="str">
        <f t="shared" si="130"/>
        <v/>
      </c>
      <c r="BH272" s="531" t="str">
        <f t="shared" si="131"/>
        <v/>
      </c>
      <c r="BI272" s="532"/>
      <c r="BJ272" s="538" t="str">
        <f t="shared" si="137"/>
        <v/>
      </c>
      <c r="BK272" s="539" t="str">
        <f t="shared" si="138"/>
        <v/>
      </c>
      <c r="BL272" s="547" t="str">
        <f t="shared" si="139"/>
        <v/>
      </c>
    </row>
    <row r="273" spans="1:64" x14ac:dyDescent="0.3">
      <c r="A273" s="133">
        <v>266</v>
      </c>
      <c r="B273" s="294"/>
      <c r="C273" s="313"/>
      <c r="D273" s="292"/>
      <c r="E273" s="284"/>
      <c r="F273" s="284"/>
      <c r="G273" s="295"/>
      <c r="H273" s="296"/>
      <c r="I273" s="297"/>
      <c r="J273" s="292"/>
      <c r="K273" s="284"/>
      <c r="L273" s="284"/>
      <c r="M273" s="295"/>
      <c r="N273" s="296"/>
      <c r="O273" s="296"/>
      <c r="P273" s="284"/>
      <c r="Q273" s="298"/>
      <c r="R273" s="292"/>
      <c r="S273" s="299"/>
      <c r="T273" s="300"/>
      <c r="U273" s="317" t="str">
        <f t="shared" si="113"/>
        <v/>
      </c>
      <c r="V273" s="301"/>
      <c r="W273" s="136" t="str">
        <f t="shared" si="114"/>
        <v/>
      </c>
      <c r="X273" s="588" t="str">
        <f t="shared" si="132"/>
        <v/>
      </c>
      <c r="Y273" s="580"/>
      <c r="Z273" s="251" t="str">
        <f t="shared" si="115"/>
        <v/>
      </c>
      <c r="AA273" s="138" t="str">
        <f t="shared" si="140"/>
        <v/>
      </c>
      <c r="AB273" s="243" t="str">
        <f t="shared" si="133"/>
        <v/>
      </c>
      <c r="AC273" s="141" t="str">
        <f t="shared" si="116"/>
        <v/>
      </c>
      <c r="AD273" s="138" t="str">
        <f t="shared" si="134"/>
        <v/>
      </c>
      <c r="AE273" s="243" t="str">
        <f t="shared" si="117"/>
        <v/>
      </c>
      <c r="AF273" s="342" t="str">
        <f>IF(AM273="Row Not Used","",INDEX(SpaceTable[Annual Hours],(MATCH(B273,SpaceTable[Space Name Concatenated Helper],0))))</f>
        <v/>
      </c>
      <c r="AG273" s="205" t="str">
        <f t="shared" si="118"/>
        <v/>
      </c>
      <c r="AH273" s="234" t="str">
        <f t="shared" si="119"/>
        <v/>
      </c>
      <c r="AI273" s="205" t="str">
        <f t="shared" si="120"/>
        <v/>
      </c>
      <c r="AJ273" s="234" t="str">
        <f t="shared" si="121"/>
        <v/>
      </c>
      <c r="AK273" s="144" t="str">
        <f>IF(AM273="Row Not Used","",INDEX(SpaceTable[Row],(MATCH(B273,SpaceTable[Space Name Concatenated Helper],0))))</f>
        <v/>
      </c>
      <c r="AL273" s="238" t="str">
        <f>IF(AM273="Row Not Used","",INDEX(SpaceTable[HVAC Factor],(MATCH(B273,SpaceTable[Space Name Concatenated Helper],0))))</f>
        <v/>
      </c>
      <c r="AM273" s="520" t="str">
        <f t="shared" si="122"/>
        <v>Row Not Used</v>
      </c>
      <c r="AN273" s="512" t="e" cm="1">
        <f t="array" ref="AN273">INDEX(BallastFactorTable[Ballast Factor],MATCH(1,(BallastFactorTable[Fixture Class]=D273)*(BallastFactorTable[Fixture Category]=E273)*(BallastFactorTable[Fixture Sub-category]=F273),0))</f>
        <v>#N/A</v>
      </c>
      <c r="AO273" s="143" t="str">
        <f t="shared" si="135"/>
        <v/>
      </c>
      <c r="AP273" s="501" t="e" cm="1">
        <f t="array" ref="AP273">INDEX(BallastFactorTable[Wattage Range Name],MATCH(1,(BallastFactorTable[Fixture Class]=D273)*(BallastFactorTable[Fixture Category]=E273)*(BallastFactorTable[Fixture Sub-category]=F273),0))</f>
        <v>#N/A</v>
      </c>
      <c r="AQ273" s="515" t="str">
        <f t="shared" ca="1" si="123"/>
        <v>Okay</v>
      </c>
      <c r="AR273" s="512">
        <f t="shared" si="124"/>
        <v>0</v>
      </c>
      <c r="AS273" s="511" t="str">
        <f>IF(OR(Measures!AM273="Row Not Used",Measures!C273="Controls Only",Measures!C273="Decommissioning"),"",_xlfn.CONCAT(P273," ",Q273))</f>
        <v/>
      </c>
      <c r="AT273" s="264" t="str">
        <f t="shared" si="125"/>
        <v>None</v>
      </c>
      <c r="AU273" s="229">
        <f>IF(OR(AM273="Row Not Used",AM273="Controls Only"),0,INDEX(IncentiveRateTable[Incentive Rate],MATCH(AT273,IncentiveRateTable[Incentive Name],0)))</f>
        <v>0</v>
      </c>
      <c r="AV273" s="133" t="str">
        <f>IF(OR(AM273="Row Not Used",AM273="Controls Only"),"None",INDEX(IncentiveRateTable[Incentive Unit],MATCH(AT273,IncentiveRateTable[Incentive Name],0)))</f>
        <v>None</v>
      </c>
      <c r="AW273" s="578">
        <f t="shared" si="136"/>
        <v>0</v>
      </c>
      <c r="AX273" s="264" t="str">
        <f t="shared" si="126"/>
        <v>None</v>
      </c>
      <c r="AY273" s="229">
        <f>IF(OR(AM273="Row Not Used",AM273="Fixtures Only",AM273="Decommissioning"),0,INDEX(IncentiveRateTable[Incentive Rate],MATCH(AX273,IncentiveRateTable[Incentive Name],0)))</f>
        <v>0</v>
      </c>
      <c r="AZ273" s="133" t="str">
        <f>IF(OR(AM273="Row Not Used",AM273="Fixtures Only",AM273="Decommissioning"),"None",INDEX(IncentiveRateTable[Incentive Unit],MATCH(AX273,IncentiveRateTable[Incentive Name],0)))</f>
        <v>None</v>
      </c>
      <c r="BA273" s="465">
        <f t="shared" si="127"/>
        <v>0</v>
      </c>
      <c r="BB273" s="264" t="e" cm="1">
        <f t="array" ref="BB273">INDEX(BallastFactorTable[Commercial BPA Reference Number],MATCH(1,(BallastFactorTable[Fixture Class]=J273)*(BallastFactorTable[Fixture Category]=K273)*(BallastFactorTable[Fixture Sub-category]=L273),0))</f>
        <v>#N/A</v>
      </c>
      <c r="BC273" s="133" t="e" cm="1">
        <f t="array" ref="BC273">INDEX(BallastFactorTable[Industrial BPA Reference Number],MATCH(1,(BallastFactorTable[Fixture Class]=J273)*(BallastFactorTable[Fixture Category]=K273)*(BallastFactorTable[Fixture Sub-category]=L273),0))</f>
        <v>#N/A</v>
      </c>
      <c r="BD273" s="264" t="str">
        <f t="shared" si="128"/>
        <v>Sector is blank</v>
      </c>
      <c r="BE273" s="269" t="str">
        <f>IF(ISBLANK(SectorField),"Sector is blank",IF(AM273="Row Not Used","",IF(OR(R273="No Controls",ISBLANK(R273)),"",INDEX(ControlsBPARefNoTable[Reference Number],MATCH(SectorField,ControlsBPARefNoTable[Sector],0)))))</f>
        <v>Sector is blank</v>
      </c>
      <c r="BF273" s="530" t="str">
        <f t="shared" si="129"/>
        <v/>
      </c>
      <c r="BG273" s="132" t="str">
        <f t="shared" si="130"/>
        <v/>
      </c>
      <c r="BH273" s="531" t="str">
        <f t="shared" si="131"/>
        <v/>
      </c>
      <c r="BI273" s="532"/>
      <c r="BJ273" s="538" t="str">
        <f t="shared" si="137"/>
        <v/>
      </c>
      <c r="BK273" s="539" t="str">
        <f t="shared" si="138"/>
        <v/>
      </c>
      <c r="BL273" s="547" t="str">
        <f t="shared" si="139"/>
        <v/>
      </c>
    </row>
    <row r="274" spans="1:64" x14ac:dyDescent="0.3">
      <c r="A274" s="133">
        <v>267</v>
      </c>
      <c r="B274" s="294"/>
      <c r="C274" s="313"/>
      <c r="D274" s="292"/>
      <c r="E274" s="284"/>
      <c r="F274" s="284"/>
      <c r="G274" s="295"/>
      <c r="H274" s="296"/>
      <c r="I274" s="297"/>
      <c r="J274" s="292"/>
      <c r="K274" s="284"/>
      <c r="L274" s="284"/>
      <c r="M274" s="295"/>
      <c r="N274" s="296"/>
      <c r="O274" s="296"/>
      <c r="P274" s="284"/>
      <c r="Q274" s="298"/>
      <c r="R274" s="292"/>
      <c r="S274" s="299"/>
      <c r="T274" s="300"/>
      <c r="U274" s="317" t="str">
        <f t="shared" si="113"/>
        <v/>
      </c>
      <c r="V274" s="301"/>
      <c r="W274" s="137" t="str">
        <f t="shared" si="114"/>
        <v/>
      </c>
      <c r="X274" s="589" t="str">
        <f t="shared" si="132"/>
        <v/>
      </c>
      <c r="Y274" s="581"/>
      <c r="Z274" s="251" t="str">
        <f t="shared" si="115"/>
        <v/>
      </c>
      <c r="AA274" s="138" t="str">
        <f t="shared" si="140"/>
        <v/>
      </c>
      <c r="AB274" s="243" t="str">
        <f t="shared" si="133"/>
        <v/>
      </c>
      <c r="AC274" s="141" t="str">
        <f t="shared" si="116"/>
        <v/>
      </c>
      <c r="AD274" s="138" t="str">
        <f t="shared" si="134"/>
        <v/>
      </c>
      <c r="AE274" s="243" t="str">
        <f t="shared" si="117"/>
        <v/>
      </c>
      <c r="AF274" s="342" t="str">
        <f>IF(AM274="Row Not Used","",INDEX(SpaceTable[Annual Hours],(MATCH(B274,SpaceTable[Space Name Concatenated Helper],0))))</f>
        <v/>
      </c>
      <c r="AG274" s="205" t="str">
        <f t="shared" si="118"/>
        <v/>
      </c>
      <c r="AH274" s="234" t="str">
        <f t="shared" si="119"/>
        <v/>
      </c>
      <c r="AI274" s="205" t="str">
        <f t="shared" si="120"/>
        <v/>
      </c>
      <c r="AJ274" s="234" t="str">
        <f t="shared" si="121"/>
        <v/>
      </c>
      <c r="AK274" s="144" t="str">
        <f>IF(AM274="Row Not Used","",INDEX(SpaceTable[Row],(MATCH(B274,SpaceTable[Space Name Concatenated Helper],0))))</f>
        <v/>
      </c>
      <c r="AL274" s="238" t="str">
        <f>IF(AM274="Row Not Used","",INDEX(SpaceTable[HVAC Factor],(MATCH(B274,SpaceTable[Space Name Concatenated Helper],0))))</f>
        <v/>
      </c>
      <c r="AM274" s="520" t="str">
        <f t="shared" si="122"/>
        <v>Row Not Used</v>
      </c>
      <c r="AN274" s="512" t="e" cm="1">
        <f t="array" ref="AN274">INDEX(BallastFactorTable[Ballast Factor],MATCH(1,(BallastFactorTable[Fixture Class]=D274)*(BallastFactorTable[Fixture Category]=E274)*(BallastFactorTable[Fixture Sub-category]=F274),0))</f>
        <v>#N/A</v>
      </c>
      <c r="AO274" s="143" t="str">
        <f t="shared" si="135"/>
        <v/>
      </c>
      <c r="AP274" s="501" t="e" cm="1">
        <f t="array" ref="AP274">INDEX(BallastFactorTable[Wattage Range Name],MATCH(1,(BallastFactorTable[Fixture Class]=D274)*(BallastFactorTable[Fixture Category]=E274)*(BallastFactorTable[Fixture Sub-category]=F274),0))</f>
        <v>#N/A</v>
      </c>
      <c r="AQ274" s="515" t="str">
        <f t="shared" ca="1" si="123"/>
        <v>Okay</v>
      </c>
      <c r="AR274" s="512">
        <f t="shared" si="124"/>
        <v>0</v>
      </c>
      <c r="AS274" s="511" t="str">
        <f>IF(OR(Measures!AM274="Row Not Used",Measures!C274="Controls Only",Measures!C274="Decommissioning"),"",_xlfn.CONCAT(P274," ",Q274))</f>
        <v/>
      </c>
      <c r="AT274" s="264" t="str">
        <f t="shared" si="125"/>
        <v>None</v>
      </c>
      <c r="AU274" s="229">
        <f>IF(OR(AM274="Row Not Used",AM274="Controls Only"),0,INDEX(IncentiveRateTable[Incentive Rate],MATCH(AT274,IncentiveRateTable[Incentive Name],0)))</f>
        <v>0</v>
      </c>
      <c r="AV274" s="133" t="str">
        <f>IF(OR(AM274="Row Not Used",AM274="Controls Only"),"None",INDEX(IncentiveRateTable[Incentive Unit],MATCH(AT274,IncentiveRateTable[Incentive Name],0)))</f>
        <v>None</v>
      </c>
      <c r="AW274" s="578">
        <f t="shared" si="136"/>
        <v>0</v>
      </c>
      <c r="AX274" s="264" t="str">
        <f t="shared" si="126"/>
        <v>None</v>
      </c>
      <c r="AY274" s="229">
        <f>IF(OR(AM274="Row Not Used",AM274="Fixtures Only",AM274="Decommissioning"),0,INDEX(IncentiveRateTable[Incentive Rate],MATCH(AX274,IncentiveRateTable[Incentive Name],0)))</f>
        <v>0</v>
      </c>
      <c r="AZ274" s="133" t="str">
        <f>IF(OR(AM274="Row Not Used",AM274="Fixtures Only",AM274="Decommissioning"),"None",INDEX(IncentiveRateTable[Incentive Unit],MATCH(AX274,IncentiveRateTable[Incentive Name],0)))</f>
        <v>None</v>
      </c>
      <c r="BA274" s="465">
        <f t="shared" si="127"/>
        <v>0</v>
      </c>
      <c r="BB274" s="264" t="e" cm="1">
        <f t="array" ref="BB274">INDEX(BallastFactorTable[Commercial BPA Reference Number],MATCH(1,(BallastFactorTable[Fixture Class]=J274)*(BallastFactorTable[Fixture Category]=K274)*(BallastFactorTable[Fixture Sub-category]=L274),0))</f>
        <v>#N/A</v>
      </c>
      <c r="BC274" s="133" t="e" cm="1">
        <f t="array" ref="BC274">INDEX(BallastFactorTable[Industrial BPA Reference Number],MATCH(1,(BallastFactorTable[Fixture Class]=J274)*(BallastFactorTable[Fixture Category]=K274)*(BallastFactorTable[Fixture Sub-category]=L274),0))</f>
        <v>#N/A</v>
      </c>
      <c r="BD274" s="264" t="str">
        <f t="shared" si="128"/>
        <v>Sector is blank</v>
      </c>
      <c r="BE274" s="269" t="str">
        <f>IF(ISBLANK(SectorField),"Sector is blank",IF(AM274="Row Not Used","",IF(OR(R274="No Controls",ISBLANK(R274)),"",INDEX(ControlsBPARefNoTable[Reference Number],MATCH(SectorField,ControlsBPARefNoTable[Sector],0)))))</f>
        <v>Sector is blank</v>
      </c>
      <c r="BF274" s="530" t="str">
        <f t="shared" si="129"/>
        <v/>
      </c>
      <c r="BG274" s="132" t="str">
        <f t="shared" si="130"/>
        <v/>
      </c>
      <c r="BH274" s="531" t="str">
        <f t="shared" si="131"/>
        <v/>
      </c>
      <c r="BI274" s="532"/>
      <c r="BJ274" s="538" t="str">
        <f t="shared" si="137"/>
        <v/>
      </c>
      <c r="BK274" s="539" t="str">
        <f t="shared" si="138"/>
        <v/>
      </c>
      <c r="BL274" s="547" t="str">
        <f t="shared" si="139"/>
        <v/>
      </c>
    </row>
    <row r="275" spans="1:64" x14ac:dyDescent="0.3">
      <c r="A275" s="133">
        <v>268</v>
      </c>
      <c r="B275" s="294"/>
      <c r="C275" s="313"/>
      <c r="D275" s="292"/>
      <c r="E275" s="284"/>
      <c r="F275" s="284"/>
      <c r="G275" s="295"/>
      <c r="H275" s="296"/>
      <c r="I275" s="297"/>
      <c r="J275" s="292"/>
      <c r="K275" s="284"/>
      <c r="L275" s="284"/>
      <c r="M275" s="295"/>
      <c r="N275" s="296"/>
      <c r="O275" s="296"/>
      <c r="P275" s="284"/>
      <c r="Q275" s="298"/>
      <c r="R275" s="292"/>
      <c r="S275" s="299"/>
      <c r="T275" s="300"/>
      <c r="U275" s="317" t="str">
        <f t="shared" si="113"/>
        <v/>
      </c>
      <c r="V275" s="301"/>
      <c r="W275" s="136" t="str">
        <f t="shared" si="114"/>
        <v/>
      </c>
      <c r="X275" s="588" t="str">
        <f t="shared" si="132"/>
        <v/>
      </c>
      <c r="Y275" s="580"/>
      <c r="Z275" s="251" t="str">
        <f t="shared" si="115"/>
        <v/>
      </c>
      <c r="AA275" s="138" t="str">
        <f t="shared" si="140"/>
        <v/>
      </c>
      <c r="AB275" s="243" t="str">
        <f t="shared" si="133"/>
        <v/>
      </c>
      <c r="AC275" s="141" t="str">
        <f t="shared" si="116"/>
        <v/>
      </c>
      <c r="AD275" s="138" t="str">
        <f t="shared" si="134"/>
        <v/>
      </c>
      <c r="AE275" s="243" t="str">
        <f t="shared" si="117"/>
        <v/>
      </c>
      <c r="AF275" s="342" t="str">
        <f>IF(AM275="Row Not Used","",INDEX(SpaceTable[Annual Hours],(MATCH(B275,SpaceTable[Space Name Concatenated Helper],0))))</f>
        <v/>
      </c>
      <c r="AG275" s="205" t="str">
        <f t="shared" si="118"/>
        <v/>
      </c>
      <c r="AH275" s="234" t="str">
        <f t="shared" si="119"/>
        <v/>
      </c>
      <c r="AI275" s="205" t="str">
        <f t="shared" si="120"/>
        <v/>
      </c>
      <c r="AJ275" s="234" t="str">
        <f t="shared" si="121"/>
        <v/>
      </c>
      <c r="AK275" s="144" t="str">
        <f>IF(AM275="Row Not Used","",INDEX(SpaceTable[Row],(MATCH(B275,SpaceTable[Space Name Concatenated Helper],0))))</f>
        <v/>
      </c>
      <c r="AL275" s="238" t="str">
        <f>IF(AM275="Row Not Used","",INDEX(SpaceTable[HVAC Factor],(MATCH(B275,SpaceTable[Space Name Concatenated Helper],0))))</f>
        <v/>
      </c>
      <c r="AM275" s="520" t="str">
        <f t="shared" si="122"/>
        <v>Row Not Used</v>
      </c>
      <c r="AN275" s="512" t="e" cm="1">
        <f t="array" ref="AN275">INDEX(BallastFactorTable[Ballast Factor],MATCH(1,(BallastFactorTable[Fixture Class]=D275)*(BallastFactorTable[Fixture Category]=E275)*(BallastFactorTable[Fixture Sub-category]=F275),0))</f>
        <v>#N/A</v>
      </c>
      <c r="AO275" s="143" t="str">
        <f t="shared" si="135"/>
        <v/>
      </c>
      <c r="AP275" s="501" t="e" cm="1">
        <f t="array" ref="AP275">INDEX(BallastFactorTable[Wattage Range Name],MATCH(1,(BallastFactorTable[Fixture Class]=D275)*(BallastFactorTable[Fixture Category]=E275)*(BallastFactorTable[Fixture Sub-category]=F275),0))</f>
        <v>#N/A</v>
      </c>
      <c r="AQ275" s="515" t="str">
        <f t="shared" ca="1" si="123"/>
        <v>Okay</v>
      </c>
      <c r="AR275" s="512">
        <f t="shared" si="124"/>
        <v>0</v>
      </c>
      <c r="AS275" s="511" t="str">
        <f>IF(OR(Measures!AM275="Row Not Used",Measures!C275="Controls Only",Measures!C275="Decommissioning"),"",_xlfn.CONCAT(P275," ",Q275))</f>
        <v/>
      </c>
      <c r="AT275" s="264" t="str">
        <f t="shared" si="125"/>
        <v>None</v>
      </c>
      <c r="AU275" s="229">
        <f>IF(OR(AM275="Row Not Used",AM275="Controls Only"),0,INDEX(IncentiveRateTable[Incentive Rate],MATCH(AT275,IncentiveRateTable[Incentive Name],0)))</f>
        <v>0</v>
      </c>
      <c r="AV275" s="133" t="str">
        <f>IF(OR(AM275="Row Not Used",AM275="Controls Only"),"None",INDEX(IncentiveRateTable[Incentive Unit],MATCH(AT275,IncentiveRateTable[Incentive Name],0)))</f>
        <v>None</v>
      </c>
      <c r="AW275" s="578">
        <f t="shared" si="136"/>
        <v>0</v>
      </c>
      <c r="AX275" s="264" t="str">
        <f t="shared" si="126"/>
        <v>None</v>
      </c>
      <c r="AY275" s="229">
        <f>IF(OR(AM275="Row Not Used",AM275="Fixtures Only",AM275="Decommissioning"),0,INDEX(IncentiveRateTable[Incentive Rate],MATCH(AX275,IncentiveRateTable[Incentive Name],0)))</f>
        <v>0</v>
      </c>
      <c r="AZ275" s="133" t="str">
        <f>IF(OR(AM275="Row Not Used",AM275="Fixtures Only",AM275="Decommissioning"),"None",INDEX(IncentiveRateTable[Incentive Unit],MATCH(AX275,IncentiveRateTable[Incentive Name],0)))</f>
        <v>None</v>
      </c>
      <c r="BA275" s="465">
        <f t="shared" si="127"/>
        <v>0</v>
      </c>
      <c r="BB275" s="264" t="e" cm="1">
        <f t="array" ref="BB275">INDEX(BallastFactorTable[Commercial BPA Reference Number],MATCH(1,(BallastFactorTable[Fixture Class]=J275)*(BallastFactorTable[Fixture Category]=K275)*(BallastFactorTable[Fixture Sub-category]=L275),0))</f>
        <v>#N/A</v>
      </c>
      <c r="BC275" s="133" t="e" cm="1">
        <f t="array" ref="BC275">INDEX(BallastFactorTable[Industrial BPA Reference Number],MATCH(1,(BallastFactorTable[Fixture Class]=J275)*(BallastFactorTable[Fixture Category]=K275)*(BallastFactorTable[Fixture Sub-category]=L275),0))</f>
        <v>#N/A</v>
      </c>
      <c r="BD275" s="264" t="str">
        <f t="shared" si="128"/>
        <v>Sector is blank</v>
      </c>
      <c r="BE275" s="269" t="str">
        <f>IF(ISBLANK(SectorField),"Sector is blank",IF(AM275="Row Not Used","",IF(OR(R275="No Controls",ISBLANK(R275)),"",INDEX(ControlsBPARefNoTable[Reference Number],MATCH(SectorField,ControlsBPARefNoTable[Sector],0)))))</f>
        <v>Sector is blank</v>
      </c>
      <c r="BF275" s="530" t="str">
        <f t="shared" si="129"/>
        <v/>
      </c>
      <c r="BG275" s="132" t="str">
        <f t="shared" si="130"/>
        <v/>
      </c>
      <c r="BH275" s="531" t="str">
        <f t="shared" si="131"/>
        <v/>
      </c>
      <c r="BI275" s="532"/>
      <c r="BJ275" s="538" t="str">
        <f t="shared" si="137"/>
        <v/>
      </c>
      <c r="BK275" s="539" t="str">
        <f t="shared" si="138"/>
        <v/>
      </c>
      <c r="BL275" s="547" t="str">
        <f t="shared" si="139"/>
        <v/>
      </c>
    </row>
    <row r="276" spans="1:64" x14ac:dyDescent="0.3">
      <c r="A276" s="133">
        <v>269</v>
      </c>
      <c r="B276" s="294"/>
      <c r="C276" s="313"/>
      <c r="D276" s="292"/>
      <c r="E276" s="284"/>
      <c r="F276" s="284"/>
      <c r="G276" s="295"/>
      <c r="H276" s="296"/>
      <c r="I276" s="297"/>
      <c r="J276" s="292"/>
      <c r="K276" s="284"/>
      <c r="L276" s="284"/>
      <c r="M276" s="295"/>
      <c r="N276" s="296"/>
      <c r="O276" s="296"/>
      <c r="P276" s="284"/>
      <c r="Q276" s="298"/>
      <c r="R276" s="292"/>
      <c r="S276" s="299"/>
      <c r="T276" s="300"/>
      <c r="U276" s="317" t="str">
        <f t="shared" si="113"/>
        <v/>
      </c>
      <c r="V276" s="301"/>
      <c r="W276" s="137" t="str">
        <f t="shared" si="114"/>
        <v/>
      </c>
      <c r="X276" s="589" t="str">
        <f t="shared" si="132"/>
        <v/>
      </c>
      <c r="Y276" s="581"/>
      <c r="Z276" s="251" t="str">
        <f t="shared" si="115"/>
        <v/>
      </c>
      <c r="AA276" s="138" t="str">
        <f t="shared" si="140"/>
        <v/>
      </c>
      <c r="AB276" s="243" t="str">
        <f t="shared" si="133"/>
        <v/>
      </c>
      <c r="AC276" s="141" t="str">
        <f t="shared" si="116"/>
        <v/>
      </c>
      <c r="AD276" s="138" t="str">
        <f t="shared" si="134"/>
        <v/>
      </c>
      <c r="AE276" s="243" t="str">
        <f t="shared" si="117"/>
        <v/>
      </c>
      <c r="AF276" s="342" t="str">
        <f>IF(AM276="Row Not Used","",INDEX(SpaceTable[Annual Hours],(MATCH(B276,SpaceTable[Space Name Concatenated Helper],0))))</f>
        <v/>
      </c>
      <c r="AG276" s="205" t="str">
        <f t="shared" si="118"/>
        <v/>
      </c>
      <c r="AH276" s="234" t="str">
        <f t="shared" si="119"/>
        <v/>
      </c>
      <c r="AI276" s="205" t="str">
        <f t="shared" si="120"/>
        <v/>
      </c>
      <c r="AJ276" s="234" t="str">
        <f t="shared" si="121"/>
        <v/>
      </c>
      <c r="AK276" s="144" t="str">
        <f>IF(AM276="Row Not Used","",INDEX(SpaceTable[Row],(MATCH(B276,SpaceTable[Space Name Concatenated Helper],0))))</f>
        <v/>
      </c>
      <c r="AL276" s="238" t="str">
        <f>IF(AM276="Row Not Used","",INDEX(SpaceTable[HVAC Factor],(MATCH(B276,SpaceTable[Space Name Concatenated Helper],0))))</f>
        <v/>
      </c>
      <c r="AM276" s="520" t="str">
        <f t="shared" si="122"/>
        <v>Row Not Used</v>
      </c>
      <c r="AN276" s="512" t="e" cm="1">
        <f t="array" ref="AN276">INDEX(BallastFactorTable[Ballast Factor],MATCH(1,(BallastFactorTable[Fixture Class]=D276)*(BallastFactorTable[Fixture Category]=E276)*(BallastFactorTable[Fixture Sub-category]=F276),0))</f>
        <v>#N/A</v>
      </c>
      <c r="AO276" s="143" t="str">
        <f t="shared" si="135"/>
        <v/>
      </c>
      <c r="AP276" s="501" t="e" cm="1">
        <f t="array" ref="AP276">INDEX(BallastFactorTable[Wattage Range Name],MATCH(1,(BallastFactorTable[Fixture Class]=D276)*(BallastFactorTable[Fixture Category]=E276)*(BallastFactorTable[Fixture Sub-category]=F276),0))</f>
        <v>#N/A</v>
      </c>
      <c r="AQ276" s="515" t="str">
        <f t="shared" ca="1" si="123"/>
        <v>Okay</v>
      </c>
      <c r="AR276" s="512">
        <f t="shared" si="124"/>
        <v>0</v>
      </c>
      <c r="AS276" s="511" t="str">
        <f>IF(OR(Measures!AM276="Row Not Used",Measures!C276="Controls Only",Measures!C276="Decommissioning"),"",_xlfn.CONCAT(P276," ",Q276))</f>
        <v/>
      </c>
      <c r="AT276" s="264" t="str">
        <f t="shared" si="125"/>
        <v>None</v>
      </c>
      <c r="AU276" s="229">
        <f>IF(OR(AM276="Row Not Used",AM276="Controls Only"),0,INDEX(IncentiveRateTable[Incentive Rate],MATCH(AT276,IncentiveRateTable[Incentive Name],0)))</f>
        <v>0</v>
      </c>
      <c r="AV276" s="133" t="str">
        <f>IF(OR(AM276="Row Not Used",AM276="Controls Only"),"None",INDEX(IncentiveRateTable[Incentive Unit],MATCH(AT276,IncentiveRateTable[Incentive Name],0)))</f>
        <v>None</v>
      </c>
      <c r="AW276" s="578">
        <f t="shared" si="136"/>
        <v>0</v>
      </c>
      <c r="AX276" s="264" t="str">
        <f t="shared" si="126"/>
        <v>None</v>
      </c>
      <c r="AY276" s="229">
        <f>IF(OR(AM276="Row Not Used",AM276="Fixtures Only",AM276="Decommissioning"),0,INDEX(IncentiveRateTable[Incentive Rate],MATCH(AX276,IncentiveRateTable[Incentive Name],0)))</f>
        <v>0</v>
      </c>
      <c r="AZ276" s="133" t="str">
        <f>IF(OR(AM276="Row Not Used",AM276="Fixtures Only",AM276="Decommissioning"),"None",INDEX(IncentiveRateTable[Incentive Unit],MATCH(AX276,IncentiveRateTable[Incentive Name],0)))</f>
        <v>None</v>
      </c>
      <c r="BA276" s="465">
        <f t="shared" si="127"/>
        <v>0</v>
      </c>
      <c r="BB276" s="264" t="e" cm="1">
        <f t="array" ref="BB276">INDEX(BallastFactorTable[Commercial BPA Reference Number],MATCH(1,(BallastFactorTable[Fixture Class]=J276)*(BallastFactorTable[Fixture Category]=K276)*(BallastFactorTable[Fixture Sub-category]=L276),0))</f>
        <v>#N/A</v>
      </c>
      <c r="BC276" s="133" t="e" cm="1">
        <f t="array" ref="BC276">INDEX(BallastFactorTable[Industrial BPA Reference Number],MATCH(1,(BallastFactorTable[Fixture Class]=J276)*(BallastFactorTable[Fixture Category]=K276)*(BallastFactorTable[Fixture Sub-category]=L276),0))</f>
        <v>#N/A</v>
      </c>
      <c r="BD276" s="264" t="str">
        <f t="shared" si="128"/>
        <v>Sector is blank</v>
      </c>
      <c r="BE276" s="269" t="str">
        <f>IF(ISBLANK(SectorField),"Sector is blank",IF(AM276="Row Not Used","",IF(OR(R276="No Controls",ISBLANK(R276)),"",INDEX(ControlsBPARefNoTable[Reference Number],MATCH(SectorField,ControlsBPARefNoTable[Sector],0)))))</f>
        <v>Sector is blank</v>
      </c>
      <c r="BF276" s="530" t="str">
        <f t="shared" si="129"/>
        <v/>
      </c>
      <c r="BG276" s="132" t="str">
        <f t="shared" si="130"/>
        <v/>
      </c>
      <c r="BH276" s="531" t="str">
        <f t="shared" si="131"/>
        <v/>
      </c>
      <c r="BI276" s="532"/>
      <c r="BJ276" s="538" t="str">
        <f t="shared" si="137"/>
        <v/>
      </c>
      <c r="BK276" s="539" t="str">
        <f t="shared" si="138"/>
        <v/>
      </c>
      <c r="BL276" s="547" t="str">
        <f t="shared" si="139"/>
        <v/>
      </c>
    </row>
    <row r="277" spans="1:64" x14ac:dyDescent="0.3">
      <c r="A277" s="133">
        <v>270</v>
      </c>
      <c r="B277" s="294"/>
      <c r="C277" s="313"/>
      <c r="D277" s="292"/>
      <c r="E277" s="284"/>
      <c r="F277" s="284"/>
      <c r="G277" s="295"/>
      <c r="H277" s="296"/>
      <c r="I277" s="297"/>
      <c r="J277" s="292"/>
      <c r="K277" s="284"/>
      <c r="L277" s="284"/>
      <c r="M277" s="295"/>
      <c r="N277" s="296"/>
      <c r="O277" s="296"/>
      <c r="P277" s="284"/>
      <c r="Q277" s="298"/>
      <c r="R277" s="292"/>
      <c r="S277" s="299"/>
      <c r="T277" s="300"/>
      <c r="U277" s="317" t="str">
        <f t="shared" si="113"/>
        <v/>
      </c>
      <c r="V277" s="301"/>
      <c r="W277" s="136" t="str">
        <f t="shared" si="114"/>
        <v/>
      </c>
      <c r="X277" s="588" t="str">
        <f t="shared" si="132"/>
        <v/>
      </c>
      <c r="Y277" s="580"/>
      <c r="Z277" s="251" t="str">
        <f t="shared" si="115"/>
        <v/>
      </c>
      <c r="AA277" s="138" t="str">
        <f t="shared" si="140"/>
        <v/>
      </c>
      <c r="AB277" s="243" t="str">
        <f t="shared" si="133"/>
        <v/>
      </c>
      <c r="AC277" s="141" t="str">
        <f t="shared" si="116"/>
        <v/>
      </c>
      <c r="AD277" s="138" t="str">
        <f t="shared" si="134"/>
        <v/>
      </c>
      <c r="AE277" s="243" t="str">
        <f t="shared" si="117"/>
        <v/>
      </c>
      <c r="AF277" s="342" t="str">
        <f>IF(AM277="Row Not Used","",INDEX(SpaceTable[Annual Hours],(MATCH(B277,SpaceTable[Space Name Concatenated Helper],0))))</f>
        <v/>
      </c>
      <c r="AG277" s="205" t="str">
        <f t="shared" si="118"/>
        <v/>
      </c>
      <c r="AH277" s="234" t="str">
        <f t="shared" si="119"/>
        <v/>
      </c>
      <c r="AI277" s="205" t="str">
        <f t="shared" si="120"/>
        <v/>
      </c>
      <c r="AJ277" s="234" t="str">
        <f t="shared" si="121"/>
        <v/>
      </c>
      <c r="AK277" s="144" t="str">
        <f>IF(AM277="Row Not Used","",INDEX(SpaceTable[Row],(MATCH(B277,SpaceTable[Space Name Concatenated Helper],0))))</f>
        <v/>
      </c>
      <c r="AL277" s="238" t="str">
        <f>IF(AM277="Row Not Used","",INDEX(SpaceTable[HVAC Factor],(MATCH(B277,SpaceTable[Space Name Concatenated Helper],0))))</f>
        <v/>
      </c>
      <c r="AM277" s="520" t="str">
        <f t="shared" si="122"/>
        <v>Row Not Used</v>
      </c>
      <c r="AN277" s="512" t="e" cm="1">
        <f t="array" ref="AN277">INDEX(BallastFactorTable[Ballast Factor],MATCH(1,(BallastFactorTable[Fixture Class]=D277)*(BallastFactorTable[Fixture Category]=E277)*(BallastFactorTable[Fixture Sub-category]=F277),0))</f>
        <v>#N/A</v>
      </c>
      <c r="AO277" s="143" t="str">
        <f t="shared" si="135"/>
        <v/>
      </c>
      <c r="AP277" s="501" t="e" cm="1">
        <f t="array" ref="AP277">INDEX(BallastFactorTable[Wattage Range Name],MATCH(1,(BallastFactorTable[Fixture Class]=D277)*(BallastFactorTable[Fixture Category]=E277)*(BallastFactorTable[Fixture Sub-category]=F277),0))</f>
        <v>#N/A</v>
      </c>
      <c r="AQ277" s="515" t="str">
        <f t="shared" ca="1" si="123"/>
        <v>Okay</v>
      </c>
      <c r="AR277" s="512">
        <f t="shared" si="124"/>
        <v>0</v>
      </c>
      <c r="AS277" s="511" t="str">
        <f>IF(OR(Measures!AM277="Row Not Used",Measures!C277="Controls Only",Measures!C277="Decommissioning"),"",_xlfn.CONCAT(P277," ",Q277))</f>
        <v/>
      </c>
      <c r="AT277" s="264" t="str">
        <f t="shared" si="125"/>
        <v>None</v>
      </c>
      <c r="AU277" s="229">
        <f>IF(OR(AM277="Row Not Used",AM277="Controls Only"),0,INDEX(IncentiveRateTable[Incentive Rate],MATCH(AT277,IncentiveRateTable[Incentive Name],0)))</f>
        <v>0</v>
      </c>
      <c r="AV277" s="133" t="str">
        <f>IF(OR(AM277="Row Not Used",AM277="Controls Only"),"None",INDEX(IncentiveRateTable[Incentive Unit],MATCH(AT277,IncentiveRateTable[Incentive Name],0)))</f>
        <v>None</v>
      </c>
      <c r="AW277" s="578">
        <f t="shared" si="136"/>
        <v>0</v>
      </c>
      <c r="AX277" s="264" t="str">
        <f t="shared" si="126"/>
        <v>None</v>
      </c>
      <c r="AY277" s="229">
        <f>IF(OR(AM277="Row Not Used",AM277="Fixtures Only",AM277="Decommissioning"),0,INDEX(IncentiveRateTable[Incentive Rate],MATCH(AX277,IncentiveRateTable[Incentive Name],0)))</f>
        <v>0</v>
      </c>
      <c r="AZ277" s="133" t="str">
        <f>IF(OR(AM277="Row Not Used",AM277="Fixtures Only",AM277="Decommissioning"),"None",INDEX(IncentiveRateTable[Incentive Unit],MATCH(AX277,IncentiveRateTable[Incentive Name],0)))</f>
        <v>None</v>
      </c>
      <c r="BA277" s="465">
        <f t="shared" si="127"/>
        <v>0</v>
      </c>
      <c r="BB277" s="264" t="e" cm="1">
        <f t="array" ref="BB277">INDEX(BallastFactorTable[Commercial BPA Reference Number],MATCH(1,(BallastFactorTable[Fixture Class]=J277)*(BallastFactorTable[Fixture Category]=K277)*(BallastFactorTable[Fixture Sub-category]=L277),0))</f>
        <v>#N/A</v>
      </c>
      <c r="BC277" s="133" t="e" cm="1">
        <f t="array" ref="BC277">INDEX(BallastFactorTable[Industrial BPA Reference Number],MATCH(1,(BallastFactorTable[Fixture Class]=J277)*(BallastFactorTable[Fixture Category]=K277)*(BallastFactorTable[Fixture Sub-category]=L277),0))</f>
        <v>#N/A</v>
      </c>
      <c r="BD277" s="264" t="str">
        <f t="shared" si="128"/>
        <v>Sector is blank</v>
      </c>
      <c r="BE277" s="269" t="str">
        <f>IF(ISBLANK(SectorField),"Sector is blank",IF(AM277="Row Not Used","",IF(OR(R277="No Controls",ISBLANK(R277)),"",INDEX(ControlsBPARefNoTable[Reference Number],MATCH(SectorField,ControlsBPARefNoTable[Sector],0)))))</f>
        <v>Sector is blank</v>
      </c>
      <c r="BF277" s="530" t="str">
        <f t="shared" si="129"/>
        <v/>
      </c>
      <c r="BG277" s="132" t="str">
        <f t="shared" si="130"/>
        <v/>
      </c>
      <c r="BH277" s="531" t="str">
        <f t="shared" si="131"/>
        <v/>
      </c>
      <c r="BI277" s="532"/>
      <c r="BJ277" s="538" t="str">
        <f t="shared" si="137"/>
        <v/>
      </c>
      <c r="BK277" s="539" t="str">
        <f t="shared" si="138"/>
        <v/>
      </c>
      <c r="BL277" s="547" t="str">
        <f t="shared" si="139"/>
        <v/>
      </c>
    </row>
    <row r="278" spans="1:64" x14ac:dyDescent="0.3">
      <c r="A278" s="133">
        <v>271</v>
      </c>
      <c r="B278" s="294"/>
      <c r="C278" s="313"/>
      <c r="D278" s="292"/>
      <c r="E278" s="284"/>
      <c r="F278" s="284"/>
      <c r="G278" s="295"/>
      <c r="H278" s="296"/>
      <c r="I278" s="297"/>
      <c r="J278" s="292"/>
      <c r="K278" s="284"/>
      <c r="L278" s="284"/>
      <c r="M278" s="295"/>
      <c r="N278" s="296"/>
      <c r="O278" s="296"/>
      <c r="P278" s="284"/>
      <c r="Q278" s="298"/>
      <c r="R278" s="292"/>
      <c r="S278" s="299"/>
      <c r="T278" s="300"/>
      <c r="U278" s="317" t="str">
        <f t="shared" si="113"/>
        <v/>
      </c>
      <c r="V278" s="301"/>
      <c r="W278" s="137" t="str">
        <f t="shared" si="114"/>
        <v/>
      </c>
      <c r="X278" s="589" t="str">
        <f t="shared" si="132"/>
        <v/>
      </c>
      <c r="Y278" s="581"/>
      <c r="Z278" s="251" t="str">
        <f t="shared" si="115"/>
        <v/>
      </c>
      <c r="AA278" s="138" t="str">
        <f t="shared" si="140"/>
        <v/>
      </c>
      <c r="AB278" s="243" t="str">
        <f t="shared" si="133"/>
        <v/>
      </c>
      <c r="AC278" s="141" t="str">
        <f t="shared" si="116"/>
        <v/>
      </c>
      <c r="AD278" s="138" t="str">
        <f t="shared" si="134"/>
        <v/>
      </c>
      <c r="AE278" s="243" t="str">
        <f t="shared" si="117"/>
        <v/>
      </c>
      <c r="AF278" s="342" t="str">
        <f>IF(AM278="Row Not Used","",INDEX(SpaceTable[Annual Hours],(MATCH(B278,SpaceTable[Space Name Concatenated Helper],0))))</f>
        <v/>
      </c>
      <c r="AG278" s="205" t="str">
        <f t="shared" si="118"/>
        <v/>
      </c>
      <c r="AH278" s="234" t="str">
        <f t="shared" si="119"/>
        <v/>
      </c>
      <c r="AI278" s="205" t="str">
        <f t="shared" si="120"/>
        <v/>
      </c>
      <c r="AJ278" s="234" t="str">
        <f t="shared" si="121"/>
        <v/>
      </c>
      <c r="AK278" s="144" t="str">
        <f>IF(AM278="Row Not Used","",INDEX(SpaceTable[Row],(MATCH(B278,SpaceTable[Space Name Concatenated Helper],0))))</f>
        <v/>
      </c>
      <c r="AL278" s="238" t="str">
        <f>IF(AM278="Row Not Used","",INDEX(SpaceTable[HVAC Factor],(MATCH(B278,SpaceTable[Space Name Concatenated Helper],0))))</f>
        <v/>
      </c>
      <c r="AM278" s="520" t="str">
        <f t="shared" si="122"/>
        <v>Row Not Used</v>
      </c>
      <c r="AN278" s="512" t="e" cm="1">
        <f t="array" ref="AN278">INDEX(BallastFactorTable[Ballast Factor],MATCH(1,(BallastFactorTable[Fixture Class]=D278)*(BallastFactorTable[Fixture Category]=E278)*(BallastFactorTable[Fixture Sub-category]=F278),0))</f>
        <v>#N/A</v>
      </c>
      <c r="AO278" s="143" t="str">
        <f t="shared" si="135"/>
        <v/>
      </c>
      <c r="AP278" s="501" t="e" cm="1">
        <f t="array" ref="AP278">INDEX(BallastFactorTable[Wattage Range Name],MATCH(1,(BallastFactorTable[Fixture Class]=D278)*(BallastFactorTable[Fixture Category]=E278)*(BallastFactorTable[Fixture Sub-category]=F278),0))</f>
        <v>#N/A</v>
      </c>
      <c r="AQ278" s="515" t="str">
        <f t="shared" ca="1" si="123"/>
        <v>Okay</v>
      </c>
      <c r="AR278" s="512">
        <f t="shared" si="124"/>
        <v>0</v>
      </c>
      <c r="AS278" s="511" t="str">
        <f>IF(OR(Measures!AM278="Row Not Used",Measures!C278="Controls Only",Measures!C278="Decommissioning"),"",_xlfn.CONCAT(P278," ",Q278))</f>
        <v/>
      </c>
      <c r="AT278" s="264" t="str">
        <f t="shared" si="125"/>
        <v>None</v>
      </c>
      <c r="AU278" s="229">
        <f>IF(OR(AM278="Row Not Used",AM278="Controls Only"),0,INDEX(IncentiveRateTable[Incentive Rate],MATCH(AT278,IncentiveRateTable[Incentive Name],0)))</f>
        <v>0</v>
      </c>
      <c r="AV278" s="133" t="str">
        <f>IF(OR(AM278="Row Not Used",AM278="Controls Only"),"None",INDEX(IncentiveRateTable[Incentive Unit],MATCH(AT278,IncentiveRateTable[Incentive Name],0)))</f>
        <v>None</v>
      </c>
      <c r="AW278" s="578">
        <f t="shared" si="136"/>
        <v>0</v>
      </c>
      <c r="AX278" s="264" t="str">
        <f t="shared" si="126"/>
        <v>None</v>
      </c>
      <c r="AY278" s="229">
        <f>IF(OR(AM278="Row Not Used",AM278="Fixtures Only",AM278="Decommissioning"),0,INDEX(IncentiveRateTable[Incentive Rate],MATCH(AX278,IncentiveRateTable[Incentive Name],0)))</f>
        <v>0</v>
      </c>
      <c r="AZ278" s="133" t="str">
        <f>IF(OR(AM278="Row Not Used",AM278="Fixtures Only",AM278="Decommissioning"),"None",INDEX(IncentiveRateTable[Incentive Unit],MATCH(AX278,IncentiveRateTable[Incentive Name],0)))</f>
        <v>None</v>
      </c>
      <c r="BA278" s="465">
        <f t="shared" si="127"/>
        <v>0</v>
      </c>
      <c r="BB278" s="264" t="e" cm="1">
        <f t="array" ref="BB278">INDEX(BallastFactorTable[Commercial BPA Reference Number],MATCH(1,(BallastFactorTable[Fixture Class]=J278)*(BallastFactorTable[Fixture Category]=K278)*(BallastFactorTable[Fixture Sub-category]=L278),0))</f>
        <v>#N/A</v>
      </c>
      <c r="BC278" s="133" t="e" cm="1">
        <f t="array" ref="BC278">INDEX(BallastFactorTable[Industrial BPA Reference Number],MATCH(1,(BallastFactorTable[Fixture Class]=J278)*(BallastFactorTable[Fixture Category]=K278)*(BallastFactorTable[Fixture Sub-category]=L278),0))</f>
        <v>#N/A</v>
      </c>
      <c r="BD278" s="264" t="str">
        <f t="shared" si="128"/>
        <v>Sector is blank</v>
      </c>
      <c r="BE278" s="269" t="str">
        <f>IF(ISBLANK(SectorField),"Sector is blank",IF(AM278="Row Not Used","",IF(OR(R278="No Controls",ISBLANK(R278)),"",INDEX(ControlsBPARefNoTable[Reference Number],MATCH(SectorField,ControlsBPARefNoTable[Sector],0)))))</f>
        <v>Sector is blank</v>
      </c>
      <c r="BF278" s="530" t="str">
        <f t="shared" si="129"/>
        <v/>
      </c>
      <c r="BG278" s="132" t="str">
        <f t="shared" si="130"/>
        <v/>
      </c>
      <c r="BH278" s="531" t="str">
        <f t="shared" si="131"/>
        <v/>
      </c>
      <c r="BI278" s="532"/>
      <c r="BJ278" s="538" t="str">
        <f t="shared" si="137"/>
        <v/>
      </c>
      <c r="BK278" s="539" t="str">
        <f t="shared" si="138"/>
        <v/>
      </c>
      <c r="BL278" s="547" t="str">
        <f t="shared" si="139"/>
        <v/>
      </c>
    </row>
    <row r="279" spans="1:64" x14ac:dyDescent="0.3">
      <c r="A279" s="133">
        <v>272</v>
      </c>
      <c r="B279" s="294"/>
      <c r="C279" s="313"/>
      <c r="D279" s="292"/>
      <c r="E279" s="284"/>
      <c r="F279" s="284"/>
      <c r="G279" s="295"/>
      <c r="H279" s="296"/>
      <c r="I279" s="297"/>
      <c r="J279" s="292"/>
      <c r="K279" s="284"/>
      <c r="L279" s="284"/>
      <c r="M279" s="295"/>
      <c r="N279" s="296"/>
      <c r="O279" s="296"/>
      <c r="P279" s="284"/>
      <c r="Q279" s="298"/>
      <c r="R279" s="292"/>
      <c r="S279" s="299"/>
      <c r="T279" s="300"/>
      <c r="U279" s="317" t="str">
        <f t="shared" si="113"/>
        <v/>
      </c>
      <c r="V279" s="301"/>
      <c r="W279" s="136" t="str">
        <f t="shared" si="114"/>
        <v/>
      </c>
      <c r="X279" s="588" t="str">
        <f t="shared" si="132"/>
        <v/>
      </c>
      <c r="Y279" s="580"/>
      <c r="Z279" s="251" t="str">
        <f t="shared" si="115"/>
        <v/>
      </c>
      <c r="AA279" s="138" t="str">
        <f t="shared" si="140"/>
        <v/>
      </c>
      <c r="AB279" s="243" t="str">
        <f t="shared" si="133"/>
        <v/>
      </c>
      <c r="AC279" s="141" t="str">
        <f t="shared" si="116"/>
        <v/>
      </c>
      <c r="AD279" s="138" t="str">
        <f t="shared" si="134"/>
        <v/>
      </c>
      <c r="AE279" s="243" t="str">
        <f t="shared" si="117"/>
        <v/>
      </c>
      <c r="AF279" s="342" t="str">
        <f>IF(AM279="Row Not Used","",INDEX(SpaceTable[Annual Hours],(MATCH(B279,SpaceTable[Space Name Concatenated Helper],0))))</f>
        <v/>
      </c>
      <c r="AG279" s="205" t="str">
        <f t="shared" si="118"/>
        <v/>
      </c>
      <c r="AH279" s="234" t="str">
        <f t="shared" si="119"/>
        <v/>
      </c>
      <c r="AI279" s="205" t="str">
        <f t="shared" si="120"/>
        <v/>
      </c>
      <c r="AJ279" s="234" t="str">
        <f t="shared" si="121"/>
        <v/>
      </c>
      <c r="AK279" s="144" t="str">
        <f>IF(AM279="Row Not Used","",INDEX(SpaceTable[Row],(MATCH(B279,SpaceTable[Space Name Concatenated Helper],0))))</f>
        <v/>
      </c>
      <c r="AL279" s="238" t="str">
        <f>IF(AM279="Row Not Used","",INDEX(SpaceTable[HVAC Factor],(MATCH(B279,SpaceTable[Space Name Concatenated Helper],0))))</f>
        <v/>
      </c>
      <c r="AM279" s="520" t="str">
        <f t="shared" si="122"/>
        <v>Row Not Used</v>
      </c>
      <c r="AN279" s="512" t="e" cm="1">
        <f t="array" ref="AN279">INDEX(BallastFactorTable[Ballast Factor],MATCH(1,(BallastFactorTable[Fixture Class]=D279)*(BallastFactorTable[Fixture Category]=E279)*(BallastFactorTable[Fixture Sub-category]=F279),0))</f>
        <v>#N/A</v>
      </c>
      <c r="AO279" s="143" t="str">
        <f t="shared" si="135"/>
        <v/>
      </c>
      <c r="AP279" s="501" t="e" cm="1">
        <f t="array" ref="AP279">INDEX(BallastFactorTable[Wattage Range Name],MATCH(1,(BallastFactorTable[Fixture Class]=D279)*(BallastFactorTable[Fixture Category]=E279)*(BallastFactorTable[Fixture Sub-category]=F279),0))</f>
        <v>#N/A</v>
      </c>
      <c r="AQ279" s="515" t="str">
        <f t="shared" ca="1" si="123"/>
        <v>Okay</v>
      </c>
      <c r="AR279" s="512">
        <f t="shared" si="124"/>
        <v>0</v>
      </c>
      <c r="AS279" s="511" t="str">
        <f>IF(OR(Measures!AM279="Row Not Used",Measures!C279="Controls Only",Measures!C279="Decommissioning"),"",_xlfn.CONCAT(P279," ",Q279))</f>
        <v/>
      </c>
      <c r="AT279" s="264" t="str">
        <f t="shared" si="125"/>
        <v>None</v>
      </c>
      <c r="AU279" s="229">
        <f>IF(OR(AM279="Row Not Used",AM279="Controls Only"),0,INDEX(IncentiveRateTable[Incentive Rate],MATCH(AT279,IncentiveRateTable[Incentive Name],0)))</f>
        <v>0</v>
      </c>
      <c r="AV279" s="133" t="str">
        <f>IF(OR(AM279="Row Not Used",AM279="Controls Only"),"None",INDEX(IncentiveRateTable[Incentive Unit],MATCH(AT279,IncentiveRateTable[Incentive Name],0)))</f>
        <v>None</v>
      </c>
      <c r="AW279" s="578">
        <f t="shared" si="136"/>
        <v>0</v>
      </c>
      <c r="AX279" s="264" t="str">
        <f t="shared" si="126"/>
        <v>None</v>
      </c>
      <c r="AY279" s="229">
        <f>IF(OR(AM279="Row Not Used",AM279="Fixtures Only",AM279="Decommissioning"),0,INDEX(IncentiveRateTable[Incentive Rate],MATCH(AX279,IncentiveRateTable[Incentive Name],0)))</f>
        <v>0</v>
      </c>
      <c r="AZ279" s="133" t="str">
        <f>IF(OR(AM279="Row Not Used",AM279="Fixtures Only",AM279="Decommissioning"),"None",INDEX(IncentiveRateTable[Incentive Unit],MATCH(AX279,IncentiveRateTable[Incentive Name],0)))</f>
        <v>None</v>
      </c>
      <c r="BA279" s="465">
        <f t="shared" si="127"/>
        <v>0</v>
      </c>
      <c r="BB279" s="264" t="e" cm="1">
        <f t="array" ref="BB279">INDEX(BallastFactorTable[Commercial BPA Reference Number],MATCH(1,(BallastFactorTable[Fixture Class]=J279)*(BallastFactorTable[Fixture Category]=K279)*(BallastFactorTable[Fixture Sub-category]=L279),0))</f>
        <v>#N/A</v>
      </c>
      <c r="BC279" s="133" t="e" cm="1">
        <f t="array" ref="BC279">INDEX(BallastFactorTable[Industrial BPA Reference Number],MATCH(1,(BallastFactorTable[Fixture Class]=J279)*(BallastFactorTable[Fixture Category]=K279)*(BallastFactorTable[Fixture Sub-category]=L279),0))</f>
        <v>#N/A</v>
      </c>
      <c r="BD279" s="264" t="str">
        <f t="shared" si="128"/>
        <v>Sector is blank</v>
      </c>
      <c r="BE279" s="269" t="str">
        <f>IF(ISBLANK(SectorField),"Sector is blank",IF(AM279="Row Not Used","",IF(OR(R279="No Controls",ISBLANK(R279)),"",INDEX(ControlsBPARefNoTable[Reference Number],MATCH(SectorField,ControlsBPARefNoTable[Sector],0)))))</f>
        <v>Sector is blank</v>
      </c>
      <c r="BF279" s="530" t="str">
        <f t="shared" si="129"/>
        <v/>
      </c>
      <c r="BG279" s="132" t="str">
        <f t="shared" si="130"/>
        <v/>
      </c>
      <c r="BH279" s="531" t="str">
        <f t="shared" si="131"/>
        <v/>
      </c>
      <c r="BI279" s="532"/>
      <c r="BJ279" s="538" t="str">
        <f t="shared" si="137"/>
        <v/>
      </c>
      <c r="BK279" s="539" t="str">
        <f t="shared" si="138"/>
        <v/>
      </c>
      <c r="BL279" s="547" t="str">
        <f t="shared" si="139"/>
        <v/>
      </c>
    </row>
    <row r="280" spans="1:64" x14ac:dyDescent="0.3">
      <c r="A280" s="133">
        <v>273</v>
      </c>
      <c r="B280" s="294"/>
      <c r="C280" s="313"/>
      <c r="D280" s="292"/>
      <c r="E280" s="284"/>
      <c r="F280" s="284"/>
      <c r="G280" s="295"/>
      <c r="H280" s="296"/>
      <c r="I280" s="297"/>
      <c r="J280" s="292"/>
      <c r="K280" s="284"/>
      <c r="L280" s="284"/>
      <c r="M280" s="295"/>
      <c r="N280" s="296"/>
      <c r="O280" s="296"/>
      <c r="P280" s="284"/>
      <c r="Q280" s="298"/>
      <c r="R280" s="292"/>
      <c r="S280" s="299"/>
      <c r="T280" s="300"/>
      <c r="U280" s="317" t="str">
        <f t="shared" si="113"/>
        <v/>
      </c>
      <c r="V280" s="301"/>
      <c r="W280" s="137" t="str">
        <f t="shared" si="114"/>
        <v/>
      </c>
      <c r="X280" s="589" t="str">
        <f t="shared" si="132"/>
        <v/>
      </c>
      <c r="Y280" s="581"/>
      <c r="Z280" s="251" t="str">
        <f t="shared" si="115"/>
        <v/>
      </c>
      <c r="AA280" s="138" t="str">
        <f t="shared" si="140"/>
        <v/>
      </c>
      <c r="AB280" s="243" t="str">
        <f t="shared" si="133"/>
        <v/>
      </c>
      <c r="AC280" s="141" t="str">
        <f t="shared" si="116"/>
        <v/>
      </c>
      <c r="AD280" s="138" t="str">
        <f t="shared" si="134"/>
        <v/>
      </c>
      <c r="AE280" s="243" t="str">
        <f t="shared" si="117"/>
        <v/>
      </c>
      <c r="AF280" s="342" t="str">
        <f>IF(AM280="Row Not Used","",INDEX(SpaceTable[Annual Hours],(MATCH(B280,SpaceTable[Space Name Concatenated Helper],0))))</f>
        <v/>
      </c>
      <c r="AG280" s="205" t="str">
        <f t="shared" si="118"/>
        <v/>
      </c>
      <c r="AH280" s="234" t="str">
        <f t="shared" si="119"/>
        <v/>
      </c>
      <c r="AI280" s="205" t="str">
        <f t="shared" si="120"/>
        <v/>
      </c>
      <c r="AJ280" s="234" t="str">
        <f t="shared" si="121"/>
        <v/>
      </c>
      <c r="AK280" s="144" t="str">
        <f>IF(AM280="Row Not Used","",INDEX(SpaceTable[Row],(MATCH(B280,SpaceTable[Space Name Concatenated Helper],0))))</f>
        <v/>
      </c>
      <c r="AL280" s="238" t="str">
        <f>IF(AM280="Row Not Used","",INDEX(SpaceTable[HVAC Factor],(MATCH(B280,SpaceTable[Space Name Concatenated Helper],0))))</f>
        <v/>
      </c>
      <c r="AM280" s="520" t="str">
        <f t="shared" si="122"/>
        <v>Row Not Used</v>
      </c>
      <c r="AN280" s="512" t="e" cm="1">
        <f t="array" ref="AN280">INDEX(BallastFactorTable[Ballast Factor],MATCH(1,(BallastFactorTable[Fixture Class]=D280)*(BallastFactorTable[Fixture Category]=E280)*(BallastFactorTable[Fixture Sub-category]=F280),0))</f>
        <v>#N/A</v>
      </c>
      <c r="AO280" s="143" t="str">
        <f t="shared" si="135"/>
        <v/>
      </c>
      <c r="AP280" s="501" t="e" cm="1">
        <f t="array" ref="AP280">INDEX(BallastFactorTable[Wattage Range Name],MATCH(1,(BallastFactorTable[Fixture Class]=D280)*(BallastFactorTable[Fixture Category]=E280)*(BallastFactorTable[Fixture Sub-category]=F280),0))</f>
        <v>#N/A</v>
      </c>
      <c r="AQ280" s="515" t="str">
        <f t="shared" ca="1" si="123"/>
        <v>Okay</v>
      </c>
      <c r="AR280" s="512">
        <f t="shared" si="124"/>
        <v>0</v>
      </c>
      <c r="AS280" s="511" t="str">
        <f>IF(OR(Measures!AM280="Row Not Used",Measures!C280="Controls Only",Measures!C280="Decommissioning"),"",_xlfn.CONCAT(P280," ",Q280))</f>
        <v/>
      </c>
      <c r="AT280" s="264" t="str">
        <f t="shared" si="125"/>
        <v>None</v>
      </c>
      <c r="AU280" s="229">
        <f>IF(OR(AM280="Row Not Used",AM280="Controls Only"),0,INDEX(IncentiveRateTable[Incentive Rate],MATCH(AT280,IncentiveRateTable[Incentive Name],0)))</f>
        <v>0</v>
      </c>
      <c r="AV280" s="133" t="str">
        <f>IF(OR(AM280="Row Not Used",AM280="Controls Only"),"None",INDEX(IncentiveRateTable[Incentive Unit],MATCH(AT280,IncentiveRateTable[Incentive Name],0)))</f>
        <v>None</v>
      </c>
      <c r="AW280" s="578">
        <f t="shared" si="136"/>
        <v>0</v>
      </c>
      <c r="AX280" s="264" t="str">
        <f t="shared" si="126"/>
        <v>None</v>
      </c>
      <c r="AY280" s="229">
        <f>IF(OR(AM280="Row Not Used",AM280="Fixtures Only",AM280="Decommissioning"),0,INDEX(IncentiveRateTable[Incentive Rate],MATCH(AX280,IncentiveRateTable[Incentive Name],0)))</f>
        <v>0</v>
      </c>
      <c r="AZ280" s="133" t="str">
        <f>IF(OR(AM280="Row Not Used",AM280="Fixtures Only",AM280="Decommissioning"),"None",INDEX(IncentiveRateTable[Incentive Unit],MATCH(AX280,IncentiveRateTable[Incentive Name],0)))</f>
        <v>None</v>
      </c>
      <c r="BA280" s="465">
        <f t="shared" si="127"/>
        <v>0</v>
      </c>
      <c r="BB280" s="264" t="e" cm="1">
        <f t="array" ref="BB280">INDEX(BallastFactorTable[Commercial BPA Reference Number],MATCH(1,(BallastFactorTable[Fixture Class]=J280)*(BallastFactorTable[Fixture Category]=K280)*(BallastFactorTable[Fixture Sub-category]=L280),0))</f>
        <v>#N/A</v>
      </c>
      <c r="BC280" s="133" t="e" cm="1">
        <f t="array" ref="BC280">INDEX(BallastFactorTable[Industrial BPA Reference Number],MATCH(1,(BallastFactorTable[Fixture Class]=J280)*(BallastFactorTable[Fixture Category]=K280)*(BallastFactorTable[Fixture Sub-category]=L280),0))</f>
        <v>#N/A</v>
      </c>
      <c r="BD280" s="264" t="str">
        <f t="shared" si="128"/>
        <v>Sector is blank</v>
      </c>
      <c r="BE280" s="269" t="str">
        <f>IF(ISBLANK(SectorField),"Sector is blank",IF(AM280="Row Not Used","",IF(OR(R280="No Controls",ISBLANK(R280)),"",INDEX(ControlsBPARefNoTable[Reference Number],MATCH(SectorField,ControlsBPARefNoTable[Sector],0)))))</f>
        <v>Sector is blank</v>
      </c>
      <c r="BF280" s="530" t="str">
        <f t="shared" si="129"/>
        <v/>
      </c>
      <c r="BG280" s="132" t="str">
        <f t="shared" si="130"/>
        <v/>
      </c>
      <c r="BH280" s="531" t="str">
        <f t="shared" si="131"/>
        <v/>
      </c>
      <c r="BI280" s="532"/>
      <c r="BJ280" s="538" t="str">
        <f t="shared" si="137"/>
        <v/>
      </c>
      <c r="BK280" s="539" t="str">
        <f t="shared" si="138"/>
        <v/>
      </c>
      <c r="BL280" s="547" t="str">
        <f t="shared" si="139"/>
        <v/>
      </c>
    </row>
    <row r="281" spans="1:64" x14ac:dyDescent="0.3">
      <c r="A281" s="133">
        <v>274</v>
      </c>
      <c r="B281" s="294"/>
      <c r="C281" s="313"/>
      <c r="D281" s="292"/>
      <c r="E281" s="284"/>
      <c r="F281" s="284"/>
      <c r="G281" s="295"/>
      <c r="H281" s="296"/>
      <c r="I281" s="297"/>
      <c r="J281" s="292"/>
      <c r="K281" s="284"/>
      <c r="L281" s="284"/>
      <c r="M281" s="295"/>
      <c r="N281" s="296"/>
      <c r="O281" s="296"/>
      <c r="P281" s="284"/>
      <c r="Q281" s="298"/>
      <c r="R281" s="292"/>
      <c r="S281" s="299"/>
      <c r="T281" s="300"/>
      <c r="U281" s="317" t="str">
        <f t="shared" si="113"/>
        <v/>
      </c>
      <c r="V281" s="301"/>
      <c r="W281" s="136" t="str">
        <f t="shared" si="114"/>
        <v/>
      </c>
      <c r="X281" s="588" t="str">
        <f t="shared" si="132"/>
        <v/>
      </c>
      <c r="Y281" s="580"/>
      <c r="Z281" s="251" t="str">
        <f t="shared" si="115"/>
        <v/>
      </c>
      <c r="AA281" s="138" t="str">
        <f t="shared" si="140"/>
        <v/>
      </c>
      <c r="AB281" s="243" t="str">
        <f t="shared" si="133"/>
        <v/>
      </c>
      <c r="AC281" s="141" t="str">
        <f t="shared" si="116"/>
        <v/>
      </c>
      <c r="AD281" s="138" t="str">
        <f t="shared" si="134"/>
        <v/>
      </c>
      <c r="AE281" s="243" t="str">
        <f t="shared" si="117"/>
        <v/>
      </c>
      <c r="AF281" s="342" t="str">
        <f>IF(AM281="Row Not Used","",INDEX(SpaceTable[Annual Hours],(MATCH(B281,SpaceTable[Space Name Concatenated Helper],0))))</f>
        <v/>
      </c>
      <c r="AG281" s="205" t="str">
        <f t="shared" si="118"/>
        <v/>
      </c>
      <c r="AH281" s="234" t="str">
        <f t="shared" si="119"/>
        <v/>
      </c>
      <c r="AI281" s="205" t="str">
        <f t="shared" si="120"/>
        <v/>
      </c>
      <c r="AJ281" s="234" t="str">
        <f t="shared" si="121"/>
        <v/>
      </c>
      <c r="AK281" s="144" t="str">
        <f>IF(AM281="Row Not Used","",INDEX(SpaceTable[Row],(MATCH(B281,SpaceTable[Space Name Concatenated Helper],0))))</f>
        <v/>
      </c>
      <c r="AL281" s="238" t="str">
        <f>IF(AM281="Row Not Used","",INDEX(SpaceTable[HVAC Factor],(MATCH(B281,SpaceTable[Space Name Concatenated Helper],0))))</f>
        <v/>
      </c>
      <c r="AM281" s="520" t="str">
        <f t="shared" si="122"/>
        <v>Row Not Used</v>
      </c>
      <c r="AN281" s="512" t="e" cm="1">
        <f t="array" ref="AN281">INDEX(BallastFactorTable[Ballast Factor],MATCH(1,(BallastFactorTable[Fixture Class]=D281)*(BallastFactorTable[Fixture Category]=E281)*(BallastFactorTable[Fixture Sub-category]=F281),0))</f>
        <v>#N/A</v>
      </c>
      <c r="AO281" s="143" t="str">
        <f t="shared" si="135"/>
        <v/>
      </c>
      <c r="AP281" s="501" t="e" cm="1">
        <f t="array" ref="AP281">INDEX(BallastFactorTable[Wattage Range Name],MATCH(1,(BallastFactorTable[Fixture Class]=D281)*(BallastFactorTable[Fixture Category]=E281)*(BallastFactorTable[Fixture Sub-category]=F281),0))</f>
        <v>#N/A</v>
      </c>
      <c r="AQ281" s="515" t="str">
        <f t="shared" ca="1" si="123"/>
        <v>Okay</v>
      </c>
      <c r="AR281" s="512">
        <f t="shared" si="124"/>
        <v>0</v>
      </c>
      <c r="AS281" s="511" t="str">
        <f>IF(OR(Measures!AM281="Row Not Used",Measures!C281="Controls Only",Measures!C281="Decommissioning"),"",_xlfn.CONCAT(P281," ",Q281))</f>
        <v/>
      </c>
      <c r="AT281" s="264" t="str">
        <f t="shared" si="125"/>
        <v>None</v>
      </c>
      <c r="AU281" s="229">
        <f>IF(OR(AM281="Row Not Used",AM281="Controls Only"),0,INDEX(IncentiveRateTable[Incentive Rate],MATCH(AT281,IncentiveRateTable[Incentive Name],0)))</f>
        <v>0</v>
      </c>
      <c r="AV281" s="133" t="str">
        <f>IF(OR(AM281="Row Not Used",AM281="Controls Only"),"None",INDEX(IncentiveRateTable[Incentive Unit],MATCH(AT281,IncentiveRateTable[Incentive Name],0)))</f>
        <v>None</v>
      </c>
      <c r="AW281" s="578">
        <f t="shared" si="136"/>
        <v>0</v>
      </c>
      <c r="AX281" s="264" t="str">
        <f t="shared" si="126"/>
        <v>None</v>
      </c>
      <c r="AY281" s="229">
        <f>IF(OR(AM281="Row Not Used",AM281="Fixtures Only",AM281="Decommissioning"),0,INDEX(IncentiveRateTable[Incentive Rate],MATCH(AX281,IncentiveRateTable[Incentive Name],0)))</f>
        <v>0</v>
      </c>
      <c r="AZ281" s="133" t="str">
        <f>IF(OR(AM281="Row Not Used",AM281="Fixtures Only",AM281="Decommissioning"),"None",INDEX(IncentiveRateTable[Incentive Unit],MATCH(AX281,IncentiveRateTable[Incentive Name],0)))</f>
        <v>None</v>
      </c>
      <c r="BA281" s="465">
        <f t="shared" si="127"/>
        <v>0</v>
      </c>
      <c r="BB281" s="264" t="e" cm="1">
        <f t="array" ref="BB281">INDEX(BallastFactorTable[Commercial BPA Reference Number],MATCH(1,(BallastFactorTable[Fixture Class]=J281)*(BallastFactorTable[Fixture Category]=K281)*(BallastFactorTable[Fixture Sub-category]=L281),0))</f>
        <v>#N/A</v>
      </c>
      <c r="BC281" s="133" t="e" cm="1">
        <f t="array" ref="BC281">INDEX(BallastFactorTable[Industrial BPA Reference Number],MATCH(1,(BallastFactorTable[Fixture Class]=J281)*(BallastFactorTable[Fixture Category]=K281)*(BallastFactorTable[Fixture Sub-category]=L281),0))</f>
        <v>#N/A</v>
      </c>
      <c r="BD281" s="264" t="str">
        <f t="shared" si="128"/>
        <v>Sector is blank</v>
      </c>
      <c r="BE281" s="269" t="str">
        <f>IF(ISBLANK(SectorField),"Sector is blank",IF(AM281="Row Not Used","",IF(OR(R281="No Controls",ISBLANK(R281)),"",INDEX(ControlsBPARefNoTable[Reference Number],MATCH(SectorField,ControlsBPARefNoTable[Sector],0)))))</f>
        <v>Sector is blank</v>
      </c>
      <c r="BF281" s="530" t="str">
        <f t="shared" si="129"/>
        <v/>
      </c>
      <c r="BG281" s="132" t="str">
        <f t="shared" si="130"/>
        <v/>
      </c>
      <c r="BH281" s="531" t="str">
        <f t="shared" si="131"/>
        <v/>
      </c>
      <c r="BI281" s="532"/>
      <c r="BJ281" s="538" t="str">
        <f t="shared" si="137"/>
        <v/>
      </c>
      <c r="BK281" s="539" t="str">
        <f t="shared" si="138"/>
        <v/>
      </c>
      <c r="BL281" s="547" t="str">
        <f t="shared" si="139"/>
        <v/>
      </c>
    </row>
    <row r="282" spans="1:64" x14ac:dyDescent="0.3">
      <c r="A282" s="133">
        <v>275</v>
      </c>
      <c r="B282" s="294"/>
      <c r="C282" s="313"/>
      <c r="D282" s="292"/>
      <c r="E282" s="284"/>
      <c r="F282" s="284"/>
      <c r="G282" s="295"/>
      <c r="H282" s="296"/>
      <c r="I282" s="297"/>
      <c r="J282" s="292"/>
      <c r="K282" s="284"/>
      <c r="L282" s="284"/>
      <c r="M282" s="295"/>
      <c r="N282" s="296"/>
      <c r="O282" s="296"/>
      <c r="P282" s="284"/>
      <c r="Q282" s="298"/>
      <c r="R282" s="292"/>
      <c r="S282" s="299"/>
      <c r="T282" s="300"/>
      <c r="U282" s="317" t="str">
        <f t="shared" si="113"/>
        <v/>
      </c>
      <c r="V282" s="301"/>
      <c r="W282" s="137" t="str">
        <f t="shared" si="114"/>
        <v/>
      </c>
      <c r="X282" s="589" t="str">
        <f t="shared" si="132"/>
        <v/>
      </c>
      <c r="Y282" s="581"/>
      <c r="Z282" s="251" t="str">
        <f t="shared" si="115"/>
        <v/>
      </c>
      <c r="AA282" s="138" t="str">
        <f t="shared" si="140"/>
        <v/>
      </c>
      <c r="AB282" s="243" t="str">
        <f t="shared" si="133"/>
        <v/>
      </c>
      <c r="AC282" s="141" t="str">
        <f t="shared" si="116"/>
        <v/>
      </c>
      <c r="AD282" s="138" t="str">
        <f t="shared" si="134"/>
        <v/>
      </c>
      <c r="AE282" s="243" t="str">
        <f t="shared" si="117"/>
        <v/>
      </c>
      <c r="AF282" s="342" t="str">
        <f>IF(AM282="Row Not Used","",INDEX(SpaceTable[Annual Hours],(MATCH(B282,SpaceTable[Space Name Concatenated Helper],0))))</f>
        <v/>
      </c>
      <c r="AG282" s="205" t="str">
        <f t="shared" si="118"/>
        <v/>
      </c>
      <c r="AH282" s="234" t="str">
        <f t="shared" si="119"/>
        <v/>
      </c>
      <c r="AI282" s="205" t="str">
        <f t="shared" si="120"/>
        <v/>
      </c>
      <c r="AJ282" s="234" t="str">
        <f t="shared" si="121"/>
        <v/>
      </c>
      <c r="AK282" s="144" t="str">
        <f>IF(AM282="Row Not Used","",INDEX(SpaceTable[Row],(MATCH(B282,SpaceTable[Space Name Concatenated Helper],0))))</f>
        <v/>
      </c>
      <c r="AL282" s="238" t="str">
        <f>IF(AM282="Row Not Used","",INDEX(SpaceTable[HVAC Factor],(MATCH(B282,SpaceTable[Space Name Concatenated Helper],0))))</f>
        <v/>
      </c>
      <c r="AM282" s="520" t="str">
        <f t="shared" si="122"/>
        <v>Row Not Used</v>
      </c>
      <c r="AN282" s="512" t="e" cm="1">
        <f t="array" ref="AN282">INDEX(BallastFactorTable[Ballast Factor],MATCH(1,(BallastFactorTable[Fixture Class]=D282)*(BallastFactorTable[Fixture Category]=E282)*(BallastFactorTable[Fixture Sub-category]=F282),0))</f>
        <v>#N/A</v>
      </c>
      <c r="AO282" s="143" t="str">
        <f t="shared" si="135"/>
        <v/>
      </c>
      <c r="AP282" s="501" t="e" cm="1">
        <f t="array" ref="AP282">INDEX(BallastFactorTable[Wattage Range Name],MATCH(1,(BallastFactorTable[Fixture Class]=D282)*(BallastFactorTable[Fixture Category]=E282)*(BallastFactorTable[Fixture Sub-category]=F282),0))</f>
        <v>#N/A</v>
      </c>
      <c r="AQ282" s="515" t="str">
        <f t="shared" ca="1" si="123"/>
        <v>Okay</v>
      </c>
      <c r="AR282" s="512">
        <f t="shared" si="124"/>
        <v>0</v>
      </c>
      <c r="AS282" s="511" t="str">
        <f>IF(OR(Measures!AM282="Row Not Used",Measures!C282="Controls Only",Measures!C282="Decommissioning"),"",_xlfn.CONCAT(P282," ",Q282))</f>
        <v/>
      </c>
      <c r="AT282" s="264" t="str">
        <f t="shared" si="125"/>
        <v>None</v>
      </c>
      <c r="AU282" s="229">
        <f>IF(OR(AM282="Row Not Used",AM282="Controls Only"),0,INDEX(IncentiveRateTable[Incentive Rate],MATCH(AT282,IncentiveRateTable[Incentive Name],0)))</f>
        <v>0</v>
      </c>
      <c r="AV282" s="133" t="str">
        <f>IF(OR(AM282="Row Not Used",AM282="Controls Only"),"None",INDEX(IncentiveRateTable[Incentive Unit],MATCH(AT282,IncentiveRateTable[Incentive Name],0)))</f>
        <v>None</v>
      </c>
      <c r="AW282" s="578">
        <f t="shared" si="136"/>
        <v>0</v>
      </c>
      <c r="AX282" s="264" t="str">
        <f t="shared" si="126"/>
        <v>None</v>
      </c>
      <c r="AY282" s="229">
        <f>IF(OR(AM282="Row Not Used",AM282="Fixtures Only",AM282="Decommissioning"),0,INDEX(IncentiveRateTable[Incentive Rate],MATCH(AX282,IncentiveRateTable[Incentive Name],0)))</f>
        <v>0</v>
      </c>
      <c r="AZ282" s="133" t="str">
        <f>IF(OR(AM282="Row Not Used",AM282="Fixtures Only",AM282="Decommissioning"),"None",INDEX(IncentiveRateTable[Incentive Unit],MATCH(AX282,IncentiveRateTable[Incentive Name],0)))</f>
        <v>None</v>
      </c>
      <c r="BA282" s="465">
        <f t="shared" si="127"/>
        <v>0</v>
      </c>
      <c r="BB282" s="264" t="e" cm="1">
        <f t="array" ref="BB282">INDEX(BallastFactorTable[Commercial BPA Reference Number],MATCH(1,(BallastFactorTable[Fixture Class]=J282)*(BallastFactorTable[Fixture Category]=K282)*(BallastFactorTable[Fixture Sub-category]=L282),0))</f>
        <v>#N/A</v>
      </c>
      <c r="BC282" s="133" t="e" cm="1">
        <f t="array" ref="BC282">INDEX(BallastFactorTable[Industrial BPA Reference Number],MATCH(1,(BallastFactorTable[Fixture Class]=J282)*(BallastFactorTable[Fixture Category]=K282)*(BallastFactorTable[Fixture Sub-category]=L282),0))</f>
        <v>#N/A</v>
      </c>
      <c r="BD282" s="264" t="str">
        <f t="shared" si="128"/>
        <v>Sector is blank</v>
      </c>
      <c r="BE282" s="269" t="str">
        <f>IF(ISBLANK(SectorField),"Sector is blank",IF(AM282="Row Not Used","",IF(OR(R282="No Controls",ISBLANK(R282)),"",INDEX(ControlsBPARefNoTable[Reference Number],MATCH(SectorField,ControlsBPARefNoTable[Sector],0)))))</f>
        <v>Sector is blank</v>
      </c>
      <c r="BF282" s="530" t="str">
        <f t="shared" si="129"/>
        <v/>
      </c>
      <c r="BG282" s="132" t="str">
        <f t="shared" si="130"/>
        <v/>
      </c>
      <c r="BH282" s="531" t="str">
        <f t="shared" si="131"/>
        <v/>
      </c>
      <c r="BI282" s="532"/>
      <c r="BJ282" s="538" t="str">
        <f t="shared" si="137"/>
        <v/>
      </c>
      <c r="BK282" s="539" t="str">
        <f t="shared" si="138"/>
        <v/>
      </c>
      <c r="BL282" s="547" t="str">
        <f t="shared" si="139"/>
        <v/>
      </c>
    </row>
    <row r="283" spans="1:64" x14ac:dyDescent="0.3">
      <c r="A283" s="133">
        <v>276</v>
      </c>
      <c r="B283" s="294"/>
      <c r="C283" s="313"/>
      <c r="D283" s="292"/>
      <c r="E283" s="284"/>
      <c r="F283" s="284"/>
      <c r="G283" s="295"/>
      <c r="H283" s="296"/>
      <c r="I283" s="297"/>
      <c r="J283" s="292"/>
      <c r="K283" s="284"/>
      <c r="L283" s="284"/>
      <c r="M283" s="295"/>
      <c r="N283" s="296"/>
      <c r="O283" s="296"/>
      <c r="P283" s="284"/>
      <c r="Q283" s="298"/>
      <c r="R283" s="292"/>
      <c r="S283" s="299"/>
      <c r="T283" s="300"/>
      <c r="U283" s="317" t="str">
        <f t="shared" si="113"/>
        <v/>
      </c>
      <c r="V283" s="301"/>
      <c r="W283" s="136" t="str">
        <f t="shared" si="114"/>
        <v/>
      </c>
      <c r="X283" s="588" t="str">
        <f t="shared" si="132"/>
        <v/>
      </c>
      <c r="Y283" s="580"/>
      <c r="Z283" s="251" t="str">
        <f t="shared" si="115"/>
        <v/>
      </c>
      <c r="AA283" s="138" t="str">
        <f t="shared" si="140"/>
        <v/>
      </c>
      <c r="AB283" s="243" t="str">
        <f t="shared" si="133"/>
        <v/>
      </c>
      <c r="AC283" s="141" t="str">
        <f t="shared" si="116"/>
        <v/>
      </c>
      <c r="AD283" s="138" t="str">
        <f t="shared" si="134"/>
        <v/>
      </c>
      <c r="AE283" s="243" t="str">
        <f t="shared" si="117"/>
        <v/>
      </c>
      <c r="AF283" s="342" t="str">
        <f>IF(AM283="Row Not Used","",INDEX(SpaceTable[Annual Hours],(MATCH(B283,SpaceTable[Space Name Concatenated Helper],0))))</f>
        <v/>
      </c>
      <c r="AG283" s="205" t="str">
        <f t="shared" si="118"/>
        <v/>
      </c>
      <c r="AH283" s="234" t="str">
        <f t="shared" si="119"/>
        <v/>
      </c>
      <c r="AI283" s="205" t="str">
        <f t="shared" si="120"/>
        <v/>
      </c>
      <c r="AJ283" s="234" t="str">
        <f t="shared" si="121"/>
        <v/>
      </c>
      <c r="AK283" s="144" t="str">
        <f>IF(AM283="Row Not Used","",INDEX(SpaceTable[Row],(MATCH(B283,SpaceTable[Space Name Concatenated Helper],0))))</f>
        <v/>
      </c>
      <c r="AL283" s="238" t="str">
        <f>IF(AM283="Row Not Used","",INDEX(SpaceTable[HVAC Factor],(MATCH(B283,SpaceTable[Space Name Concatenated Helper],0))))</f>
        <v/>
      </c>
      <c r="AM283" s="520" t="str">
        <f t="shared" si="122"/>
        <v>Row Not Used</v>
      </c>
      <c r="AN283" s="512" t="e" cm="1">
        <f t="array" ref="AN283">INDEX(BallastFactorTable[Ballast Factor],MATCH(1,(BallastFactorTable[Fixture Class]=D283)*(BallastFactorTable[Fixture Category]=E283)*(BallastFactorTable[Fixture Sub-category]=F283),0))</f>
        <v>#N/A</v>
      </c>
      <c r="AO283" s="143" t="str">
        <f t="shared" si="135"/>
        <v/>
      </c>
      <c r="AP283" s="501" t="e" cm="1">
        <f t="array" ref="AP283">INDEX(BallastFactorTable[Wattage Range Name],MATCH(1,(BallastFactorTable[Fixture Class]=D283)*(BallastFactorTable[Fixture Category]=E283)*(BallastFactorTable[Fixture Sub-category]=F283),0))</f>
        <v>#N/A</v>
      </c>
      <c r="AQ283" s="515" t="str">
        <f t="shared" ca="1" si="123"/>
        <v>Okay</v>
      </c>
      <c r="AR283" s="512">
        <f t="shared" si="124"/>
        <v>0</v>
      </c>
      <c r="AS283" s="511" t="str">
        <f>IF(OR(Measures!AM283="Row Not Used",Measures!C283="Controls Only",Measures!C283="Decommissioning"),"",_xlfn.CONCAT(P283," ",Q283))</f>
        <v/>
      </c>
      <c r="AT283" s="264" t="str">
        <f t="shared" si="125"/>
        <v>None</v>
      </c>
      <c r="AU283" s="229">
        <f>IF(OR(AM283="Row Not Used",AM283="Controls Only"),0,INDEX(IncentiveRateTable[Incentive Rate],MATCH(AT283,IncentiveRateTable[Incentive Name],0)))</f>
        <v>0</v>
      </c>
      <c r="AV283" s="133" t="str">
        <f>IF(OR(AM283="Row Not Used",AM283="Controls Only"),"None",INDEX(IncentiveRateTable[Incentive Unit],MATCH(AT283,IncentiveRateTable[Incentive Name],0)))</f>
        <v>None</v>
      </c>
      <c r="AW283" s="578">
        <f t="shared" si="136"/>
        <v>0</v>
      </c>
      <c r="AX283" s="264" t="str">
        <f t="shared" si="126"/>
        <v>None</v>
      </c>
      <c r="AY283" s="229">
        <f>IF(OR(AM283="Row Not Used",AM283="Fixtures Only",AM283="Decommissioning"),0,INDEX(IncentiveRateTable[Incentive Rate],MATCH(AX283,IncentiveRateTable[Incentive Name],0)))</f>
        <v>0</v>
      </c>
      <c r="AZ283" s="133" t="str">
        <f>IF(OR(AM283="Row Not Used",AM283="Fixtures Only",AM283="Decommissioning"),"None",INDEX(IncentiveRateTable[Incentive Unit],MATCH(AX283,IncentiveRateTable[Incentive Name],0)))</f>
        <v>None</v>
      </c>
      <c r="BA283" s="465">
        <f t="shared" si="127"/>
        <v>0</v>
      </c>
      <c r="BB283" s="264" t="e" cm="1">
        <f t="array" ref="BB283">INDEX(BallastFactorTable[Commercial BPA Reference Number],MATCH(1,(BallastFactorTable[Fixture Class]=J283)*(BallastFactorTable[Fixture Category]=K283)*(BallastFactorTable[Fixture Sub-category]=L283),0))</f>
        <v>#N/A</v>
      </c>
      <c r="BC283" s="133" t="e" cm="1">
        <f t="array" ref="BC283">INDEX(BallastFactorTable[Industrial BPA Reference Number],MATCH(1,(BallastFactorTable[Fixture Class]=J283)*(BallastFactorTable[Fixture Category]=K283)*(BallastFactorTable[Fixture Sub-category]=L283),0))</f>
        <v>#N/A</v>
      </c>
      <c r="BD283" s="264" t="str">
        <f t="shared" si="128"/>
        <v>Sector is blank</v>
      </c>
      <c r="BE283" s="269" t="str">
        <f>IF(ISBLANK(SectorField),"Sector is blank",IF(AM283="Row Not Used","",IF(OR(R283="No Controls",ISBLANK(R283)),"",INDEX(ControlsBPARefNoTable[Reference Number],MATCH(SectorField,ControlsBPARefNoTable[Sector],0)))))</f>
        <v>Sector is blank</v>
      </c>
      <c r="BF283" s="530" t="str">
        <f t="shared" si="129"/>
        <v/>
      </c>
      <c r="BG283" s="132" t="str">
        <f t="shared" si="130"/>
        <v/>
      </c>
      <c r="BH283" s="531" t="str">
        <f t="shared" si="131"/>
        <v/>
      </c>
      <c r="BI283" s="532"/>
      <c r="BJ283" s="538" t="str">
        <f t="shared" si="137"/>
        <v/>
      </c>
      <c r="BK283" s="539" t="str">
        <f t="shared" si="138"/>
        <v/>
      </c>
      <c r="BL283" s="547" t="str">
        <f t="shared" si="139"/>
        <v/>
      </c>
    </row>
    <row r="284" spans="1:64" x14ac:dyDescent="0.3">
      <c r="A284" s="133">
        <v>277</v>
      </c>
      <c r="B284" s="294"/>
      <c r="C284" s="313"/>
      <c r="D284" s="292"/>
      <c r="E284" s="284"/>
      <c r="F284" s="284"/>
      <c r="G284" s="295"/>
      <c r="H284" s="296"/>
      <c r="I284" s="297"/>
      <c r="J284" s="292"/>
      <c r="K284" s="284"/>
      <c r="L284" s="284"/>
      <c r="M284" s="295"/>
      <c r="N284" s="296"/>
      <c r="O284" s="296"/>
      <c r="P284" s="284"/>
      <c r="Q284" s="298"/>
      <c r="R284" s="292"/>
      <c r="S284" s="299"/>
      <c r="T284" s="300"/>
      <c r="U284" s="317" t="str">
        <f t="shared" si="113"/>
        <v/>
      </c>
      <c r="V284" s="301"/>
      <c r="W284" s="137" t="str">
        <f t="shared" si="114"/>
        <v/>
      </c>
      <c r="X284" s="589" t="str">
        <f t="shared" si="132"/>
        <v/>
      </c>
      <c r="Y284" s="581"/>
      <c r="Z284" s="251" t="str">
        <f t="shared" si="115"/>
        <v/>
      </c>
      <c r="AA284" s="138" t="str">
        <f t="shared" si="140"/>
        <v/>
      </c>
      <c r="AB284" s="243" t="str">
        <f t="shared" si="133"/>
        <v/>
      </c>
      <c r="AC284" s="141" t="str">
        <f t="shared" si="116"/>
        <v/>
      </c>
      <c r="AD284" s="138" t="str">
        <f t="shared" si="134"/>
        <v/>
      </c>
      <c r="AE284" s="243" t="str">
        <f t="shared" si="117"/>
        <v/>
      </c>
      <c r="AF284" s="342" t="str">
        <f>IF(AM284="Row Not Used","",INDEX(SpaceTable[Annual Hours],(MATCH(B284,SpaceTable[Space Name Concatenated Helper],0))))</f>
        <v/>
      </c>
      <c r="AG284" s="205" t="str">
        <f t="shared" si="118"/>
        <v/>
      </c>
      <c r="AH284" s="234" t="str">
        <f t="shared" si="119"/>
        <v/>
      </c>
      <c r="AI284" s="205" t="str">
        <f t="shared" si="120"/>
        <v/>
      </c>
      <c r="AJ284" s="234" t="str">
        <f t="shared" si="121"/>
        <v/>
      </c>
      <c r="AK284" s="144" t="str">
        <f>IF(AM284="Row Not Used","",INDEX(SpaceTable[Row],(MATCH(B284,SpaceTable[Space Name Concatenated Helper],0))))</f>
        <v/>
      </c>
      <c r="AL284" s="238" t="str">
        <f>IF(AM284="Row Not Used","",INDEX(SpaceTable[HVAC Factor],(MATCH(B284,SpaceTable[Space Name Concatenated Helper],0))))</f>
        <v/>
      </c>
      <c r="AM284" s="520" t="str">
        <f t="shared" si="122"/>
        <v>Row Not Used</v>
      </c>
      <c r="AN284" s="512" t="e" cm="1">
        <f t="array" ref="AN284">INDEX(BallastFactorTable[Ballast Factor],MATCH(1,(BallastFactorTable[Fixture Class]=D284)*(BallastFactorTable[Fixture Category]=E284)*(BallastFactorTable[Fixture Sub-category]=F284),0))</f>
        <v>#N/A</v>
      </c>
      <c r="AO284" s="143" t="str">
        <f t="shared" si="135"/>
        <v/>
      </c>
      <c r="AP284" s="501" t="e" cm="1">
        <f t="array" ref="AP284">INDEX(BallastFactorTable[Wattage Range Name],MATCH(1,(BallastFactorTable[Fixture Class]=D284)*(BallastFactorTable[Fixture Category]=E284)*(BallastFactorTable[Fixture Sub-category]=F284),0))</f>
        <v>#N/A</v>
      </c>
      <c r="AQ284" s="515" t="str">
        <f t="shared" ca="1" si="123"/>
        <v>Okay</v>
      </c>
      <c r="AR284" s="512">
        <f t="shared" si="124"/>
        <v>0</v>
      </c>
      <c r="AS284" s="511" t="str">
        <f>IF(OR(Measures!AM284="Row Not Used",Measures!C284="Controls Only",Measures!C284="Decommissioning"),"",_xlfn.CONCAT(P284," ",Q284))</f>
        <v/>
      </c>
      <c r="AT284" s="264" t="str">
        <f t="shared" si="125"/>
        <v>None</v>
      </c>
      <c r="AU284" s="229">
        <f>IF(OR(AM284="Row Not Used",AM284="Controls Only"),0,INDEX(IncentiveRateTable[Incentive Rate],MATCH(AT284,IncentiveRateTable[Incentive Name],0)))</f>
        <v>0</v>
      </c>
      <c r="AV284" s="133" t="str">
        <f>IF(OR(AM284="Row Not Used",AM284="Controls Only"),"None",INDEX(IncentiveRateTable[Incentive Unit],MATCH(AT284,IncentiveRateTable[Incentive Name],0)))</f>
        <v>None</v>
      </c>
      <c r="AW284" s="578">
        <f t="shared" si="136"/>
        <v>0</v>
      </c>
      <c r="AX284" s="264" t="str">
        <f t="shared" si="126"/>
        <v>None</v>
      </c>
      <c r="AY284" s="229">
        <f>IF(OR(AM284="Row Not Used",AM284="Fixtures Only",AM284="Decommissioning"),0,INDEX(IncentiveRateTable[Incentive Rate],MATCH(AX284,IncentiveRateTable[Incentive Name],0)))</f>
        <v>0</v>
      </c>
      <c r="AZ284" s="133" t="str">
        <f>IF(OR(AM284="Row Not Used",AM284="Fixtures Only",AM284="Decommissioning"),"None",INDEX(IncentiveRateTable[Incentive Unit],MATCH(AX284,IncentiveRateTable[Incentive Name],0)))</f>
        <v>None</v>
      </c>
      <c r="BA284" s="465">
        <f t="shared" si="127"/>
        <v>0</v>
      </c>
      <c r="BB284" s="264" t="e" cm="1">
        <f t="array" ref="BB284">INDEX(BallastFactorTable[Commercial BPA Reference Number],MATCH(1,(BallastFactorTable[Fixture Class]=J284)*(BallastFactorTable[Fixture Category]=K284)*(BallastFactorTable[Fixture Sub-category]=L284),0))</f>
        <v>#N/A</v>
      </c>
      <c r="BC284" s="133" t="e" cm="1">
        <f t="array" ref="BC284">INDEX(BallastFactorTable[Industrial BPA Reference Number],MATCH(1,(BallastFactorTable[Fixture Class]=J284)*(BallastFactorTable[Fixture Category]=K284)*(BallastFactorTable[Fixture Sub-category]=L284),0))</f>
        <v>#N/A</v>
      </c>
      <c r="BD284" s="264" t="str">
        <f t="shared" si="128"/>
        <v>Sector is blank</v>
      </c>
      <c r="BE284" s="269" t="str">
        <f>IF(ISBLANK(SectorField),"Sector is blank",IF(AM284="Row Not Used","",IF(OR(R284="No Controls",ISBLANK(R284)),"",INDEX(ControlsBPARefNoTable[Reference Number],MATCH(SectorField,ControlsBPARefNoTable[Sector],0)))))</f>
        <v>Sector is blank</v>
      </c>
      <c r="BF284" s="530" t="str">
        <f t="shared" si="129"/>
        <v/>
      </c>
      <c r="BG284" s="132" t="str">
        <f t="shared" si="130"/>
        <v/>
      </c>
      <c r="BH284" s="531" t="str">
        <f t="shared" si="131"/>
        <v/>
      </c>
      <c r="BI284" s="532"/>
      <c r="BJ284" s="538" t="str">
        <f t="shared" si="137"/>
        <v/>
      </c>
      <c r="BK284" s="539" t="str">
        <f t="shared" si="138"/>
        <v/>
      </c>
      <c r="BL284" s="547" t="str">
        <f t="shared" si="139"/>
        <v/>
      </c>
    </row>
    <row r="285" spans="1:64" x14ac:dyDescent="0.3">
      <c r="A285" s="133">
        <v>278</v>
      </c>
      <c r="B285" s="294"/>
      <c r="C285" s="313"/>
      <c r="D285" s="292"/>
      <c r="E285" s="284"/>
      <c r="F285" s="284"/>
      <c r="G285" s="295"/>
      <c r="H285" s="296"/>
      <c r="I285" s="297"/>
      <c r="J285" s="292"/>
      <c r="K285" s="284"/>
      <c r="L285" s="284"/>
      <c r="M285" s="295"/>
      <c r="N285" s="296"/>
      <c r="O285" s="296"/>
      <c r="P285" s="284"/>
      <c r="Q285" s="298"/>
      <c r="R285" s="292"/>
      <c r="S285" s="299"/>
      <c r="T285" s="300"/>
      <c r="U285" s="317" t="str">
        <f t="shared" si="113"/>
        <v/>
      </c>
      <c r="V285" s="301"/>
      <c r="W285" s="136" t="str">
        <f t="shared" si="114"/>
        <v/>
      </c>
      <c r="X285" s="588" t="str">
        <f t="shared" si="132"/>
        <v/>
      </c>
      <c r="Y285" s="580"/>
      <c r="Z285" s="251" t="str">
        <f t="shared" si="115"/>
        <v/>
      </c>
      <c r="AA285" s="138" t="str">
        <f t="shared" si="140"/>
        <v/>
      </c>
      <c r="AB285" s="243" t="str">
        <f t="shared" si="133"/>
        <v/>
      </c>
      <c r="AC285" s="141" t="str">
        <f t="shared" si="116"/>
        <v/>
      </c>
      <c r="AD285" s="138" t="str">
        <f t="shared" si="134"/>
        <v/>
      </c>
      <c r="AE285" s="243" t="str">
        <f t="shared" si="117"/>
        <v/>
      </c>
      <c r="AF285" s="342" t="str">
        <f>IF(AM285="Row Not Used","",INDEX(SpaceTable[Annual Hours],(MATCH(B285,SpaceTable[Space Name Concatenated Helper],0))))</f>
        <v/>
      </c>
      <c r="AG285" s="205" t="str">
        <f t="shared" si="118"/>
        <v/>
      </c>
      <c r="AH285" s="234" t="str">
        <f t="shared" si="119"/>
        <v/>
      </c>
      <c r="AI285" s="205" t="str">
        <f t="shared" si="120"/>
        <v/>
      </c>
      <c r="AJ285" s="234" t="str">
        <f t="shared" si="121"/>
        <v/>
      </c>
      <c r="AK285" s="144" t="str">
        <f>IF(AM285="Row Not Used","",INDEX(SpaceTable[Row],(MATCH(B285,SpaceTable[Space Name Concatenated Helper],0))))</f>
        <v/>
      </c>
      <c r="AL285" s="238" t="str">
        <f>IF(AM285="Row Not Used","",INDEX(SpaceTable[HVAC Factor],(MATCH(B285,SpaceTable[Space Name Concatenated Helper],0))))</f>
        <v/>
      </c>
      <c r="AM285" s="520" t="str">
        <f t="shared" si="122"/>
        <v>Row Not Used</v>
      </c>
      <c r="AN285" s="512" t="e" cm="1">
        <f t="array" ref="AN285">INDEX(BallastFactorTable[Ballast Factor],MATCH(1,(BallastFactorTable[Fixture Class]=D285)*(BallastFactorTable[Fixture Category]=E285)*(BallastFactorTable[Fixture Sub-category]=F285),0))</f>
        <v>#N/A</v>
      </c>
      <c r="AO285" s="143" t="str">
        <f t="shared" si="135"/>
        <v/>
      </c>
      <c r="AP285" s="501" t="e" cm="1">
        <f t="array" ref="AP285">INDEX(BallastFactorTable[Wattage Range Name],MATCH(1,(BallastFactorTable[Fixture Class]=D285)*(BallastFactorTable[Fixture Category]=E285)*(BallastFactorTable[Fixture Sub-category]=F285),0))</f>
        <v>#N/A</v>
      </c>
      <c r="AQ285" s="515" t="str">
        <f t="shared" ca="1" si="123"/>
        <v>Okay</v>
      </c>
      <c r="AR285" s="512">
        <f t="shared" si="124"/>
        <v>0</v>
      </c>
      <c r="AS285" s="511" t="str">
        <f>IF(OR(Measures!AM285="Row Not Used",Measures!C285="Controls Only",Measures!C285="Decommissioning"),"",_xlfn.CONCAT(P285," ",Q285))</f>
        <v/>
      </c>
      <c r="AT285" s="264" t="str">
        <f t="shared" si="125"/>
        <v>None</v>
      </c>
      <c r="AU285" s="229">
        <f>IF(OR(AM285="Row Not Used",AM285="Controls Only"),0,INDEX(IncentiveRateTable[Incentive Rate],MATCH(AT285,IncentiveRateTable[Incentive Name],0)))</f>
        <v>0</v>
      </c>
      <c r="AV285" s="133" t="str">
        <f>IF(OR(AM285="Row Not Used",AM285="Controls Only"),"None",INDEX(IncentiveRateTable[Incentive Unit],MATCH(AT285,IncentiveRateTable[Incentive Name],0)))</f>
        <v>None</v>
      </c>
      <c r="AW285" s="578">
        <f t="shared" si="136"/>
        <v>0</v>
      </c>
      <c r="AX285" s="264" t="str">
        <f t="shared" si="126"/>
        <v>None</v>
      </c>
      <c r="AY285" s="229">
        <f>IF(OR(AM285="Row Not Used",AM285="Fixtures Only",AM285="Decommissioning"),0,INDEX(IncentiveRateTable[Incentive Rate],MATCH(AX285,IncentiveRateTable[Incentive Name],0)))</f>
        <v>0</v>
      </c>
      <c r="AZ285" s="133" t="str">
        <f>IF(OR(AM285="Row Not Used",AM285="Fixtures Only",AM285="Decommissioning"),"None",INDEX(IncentiveRateTable[Incentive Unit],MATCH(AX285,IncentiveRateTable[Incentive Name],0)))</f>
        <v>None</v>
      </c>
      <c r="BA285" s="465">
        <f t="shared" si="127"/>
        <v>0</v>
      </c>
      <c r="BB285" s="264" t="e" cm="1">
        <f t="array" ref="BB285">INDEX(BallastFactorTable[Commercial BPA Reference Number],MATCH(1,(BallastFactorTable[Fixture Class]=J285)*(BallastFactorTable[Fixture Category]=K285)*(BallastFactorTable[Fixture Sub-category]=L285),0))</f>
        <v>#N/A</v>
      </c>
      <c r="BC285" s="133" t="e" cm="1">
        <f t="array" ref="BC285">INDEX(BallastFactorTable[Industrial BPA Reference Number],MATCH(1,(BallastFactorTable[Fixture Class]=J285)*(BallastFactorTable[Fixture Category]=K285)*(BallastFactorTable[Fixture Sub-category]=L285),0))</f>
        <v>#N/A</v>
      </c>
      <c r="BD285" s="264" t="str">
        <f t="shared" si="128"/>
        <v>Sector is blank</v>
      </c>
      <c r="BE285" s="269" t="str">
        <f>IF(ISBLANK(SectorField),"Sector is blank",IF(AM285="Row Not Used","",IF(OR(R285="No Controls",ISBLANK(R285)),"",INDEX(ControlsBPARefNoTable[Reference Number],MATCH(SectorField,ControlsBPARefNoTable[Sector],0)))))</f>
        <v>Sector is blank</v>
      </c>
      <c r="BF285" s="530" t="str">
        <f t="shared" si="129"/>
        <v/>
      </c>
      <c r="BG285" s="132" t="str">
        <f t="shared" si="130"/>
        <v/>
      </c>
      <c r="BH285" s="531" t="str">
        <f t="shared" si="131"/>
        <v/>
      </c>
      <c r="BI285" s="532"/>
      <c r="BJ285" s="538" t="str">
        <f t="shared" si="137"/>
        <v/>
      </c>
      <c r="BK285" s="539" t="str">
        <f t="shared" si="138"/>
        <v/>
      </c>
      <c r="BL285" s="547" t="str">
        <f t="shared" si="139"/>
        <v/>
      </c>
    </row>
    <row r="286" spans="1:64" x14ac:dyDescent="0.3">
      <c r="A286" s="133">
        <v>279</v>
      </c>
      <c r="B286" s="294"/>
      <c r="C286" s="313"/>
      <c r="D286" s="292"/>
      <c r="E286" s="284"/>
      <c r="F286" s="284"/>
      <c r="G286" s="295"/>
      <c r="H286" s="296"/>
      <c r="I286" s="297"/>
      <c r="J286" s="292"/>
      <c r="K286" s="284"/>
      <c r="L286" s="284"/>
      <c r="M286" s="295"/>
      <c r="N286" s="296"/>
      <c r="O286" s="296"/>
      <c r="P286" s="284"/>
      <c r="Q286" s="298"/>
      <c r="R286" s="292"/>
      <c r="S286" s="299"/>
      <c r="T286" s="300"/>
      <c r="U286" s="317" t="str">
        <f t="shared" si="113"/>
        <v/>
      </c>
      <c r="V286" s="301"/>
      <c r="W286" s="137" t="str">
        <f t="shared" si="114"/>
        <v/>
      </c>
      <c r="X286" s="589" t="str">
        <f t="shared" si="132"/>
        <v/>
      </c>
      <c r="Y286" s="581"/>
      <c r="Z286" s="251" t="str">
        <f t="shared" si="115"/>
        <v/>
      </c>
      <c r="AA286" s="138" t="str">
        <f t="shared" si="140"/>
        <v/>
      </c>
      <c r="AB286" s="243" t="str">
        <f t="shared" si="133"/>
        <v/>
      </c>
      <c r="AC286" s="141" t="str">
        <f t="shared" si="116"/>
        <v/>
      </c>
      <c r="AD286" s="138" t="str">
        <f t="shared" si="134"/>
        <v/>
      </c>
      <c r="AE286" s="243" t="str">
        <f t="shared" si="117"/>
        <v/>
      </c>
      <c r="AF286" s="342" t="str">
        <f>IF(AM286="Row Not Used","",INDEX(SpaceTable[Annual Hours],(MATCH(B286,SpaceTable[Space Name Concatenated Helper],0))))</f>
        <v/>
      </c>
      <c r="AG286" s="205" t="str">
        <f t="shared" si="118"/>
        <v/>
      </c>
      <c r="AH286" s="234" t="str">
        <f t="shared" si="119"/>
        <v/>
      </c>
      <c r="AI286" s="205" t="str">
        <f t="shared" si="120"/>
        <v/>
      </c>
      <c r="AJ286" s="234" t="str">
        <f t="shared" si="121"/>
        <v/>
      </c>
      <c r="AK286" s="144" t="str">
        <f>IF(AM286="Row Not Used","",INDEX(SpaceTable[Row],(MATCH(B286,SpaceTable[Space Name Concatenated Helper],0))))</f>
        <v/>
      </c>
      <c r="AL286" s="238" t="str">
        <f>IF(AM286="Row Not Used","",INDEX(SpaceTable[HVAC Factor],(MATCH(B286,SpaceTable[Space Name Concatenated Helper],0))))</f>
        <v/>
      </c>
      <c r="AM286" s="520" t="str">
        <f t="shared" si="122"/>
        <v>Row Not Used</v>
      </c>
      <c r="AN286" s="512" t="e" cm="1">
        <f t="array" ref="AN286">INDEX(BallastFactorTable[Ballast Factor],MATCH(1,(BallastFactorTable[Fixture Class]=D286)*(BallastFactorTable[Fixture Category]=E286)*(BallastFactorTable[Fixture Sub-category]=F286),0))</f>
        <v>#N/A</v>
      </c>
      <c r="AO286" s="143" t="str">
        <f t="shared" si="135"/>
        <v/>
      </c>
      <c r="AP286" s="501" t="e" cm="1">
        <f t="array" ref="AP286">INDEX(BallastFactorTable[Wattage Range Name],MATCH(1,(BallastFactorTable[Fixture Class]=D286)*(BallastFactorTable[Fixture Category]=E286)*(BallastFactorTable[Fixture Sub-category]=F286),0))</f>
        <v>#N/A</v>
      </c>
      <c r="AQ286" s="515" t="str">
        <f t="shared" ca="1" si="123"/>
        <v>Okay</v>
      </c>
      <c r="AR286" s="512">
        <f t="shared" si="124"/>
        <v>0</v>
      </c>
      <c r="AS286" s="511" t="str">
        <f>IF(OR(Measures!AM286="Row Not Used",Measures!C286="Controls Only",Measures!C286="Decommissioning"),"",_xlfn.CONCAT(P286," ",Q286))</f>
        <v/>
      </c>
      <c r="AT286" s="264" t="str">
        <f t="shared" si="125"/>
        <v>None</v>
      </c>
      <c r="AU286" s="229">
        <f>IF(OR(AM286="Row Not Used",AM286="Controls Only"),0,INDEX(IncentiveRateTable[Incentive Rate],MATCH(AT286,IncentiveRateTable[Incentive Name],0)))</f>
        <v>0</v>
      </c>
      <c r="AV286" s="133" t="str">
        <f>IF(OR(AM286="Row Not Used",AM286="Controls Only"),"None",INDEX(IncentiveRateTable[Incentive Unit],MATCH(AT286,IncentiveRateTable[Incentive Name],0)))</f>
        <v>None</v>
      </c>
      <c r="AW286" s="578">
        <f t="shared" si="136"/>
        <v>0</v>
      </c>
      <c r="AX286" s="264" t="str">
        <f t="shared" si="126"/>
        <v>None</v>
      </c>
      <c r="AY286" s="229">
        <f>IF(OR(AM286="Row Not Used",AM286="Fixtures Only",AM286="Decommissioning"),0,INDEX(IncentiveRateTable[Incentive Rate],MATCH(AX286,IncentiveRateTable[Incentive Name],0)))</f>
        <v>0</v>
      </c>
      <c r="AZ286" s="133" t="str">
        <f>IF(OR(AM286="Row Not Used",AM286="Fixtures Only",AM286="Decommissioning"),"None",INDEX(IncentiveRateTable[Incentive Unit],MATCH(AX286,IncentiveRateTable[Incentive Name],0)))</f>
        <v>None</v>
      </c>
      <c r="BA286" s="465">
        <f t="shared" si="127"/>
        <v>0</v>
      </c>
      <c r="BB286" s="264" t="e" cm="1">
        <f t="array" ref="BB286">INDEX(BallastFactorTable[Commercial BPA Reference Number],MATCH(1,(BallastFactorTable[Fixture Class]=J286)*(BallastFactorTable[Fixture Category]=K286)*(BallastFactorTable[Fixture Sub-category]=L286),0))</f>
        <v>#N/A</v>
      </c>
      <c r="BC286" s="133" t="e" cm="1">
        <f t="array" ref="BC286">INDEX(BallastFactorTable[Industrial BPA Reference Number],MATCH(1,(BallastFactorTable[Fixture Class]=J286)*(BallastFactorTable[Fixture Category]=K286)*(BallastFactorTable[Fixture Sub-category]=L286),0))</f>
        <v>#N/A</v>
      </c>
      <c r="BD286" s="264" t="str">
        <f t="shared" si="128"/>
        <v>Sector is blank</v>
      </c>
      <c r="BE286" s="269" t="str">
        <f>IF(ISBLANK(SectorField),"Sector is blank",IF(AM286="Row Not Used","",IF(OR(R286="No Controls",ISBLANK(R286)),"",INDEX(ControlsBPARefNoTable[Reference Number],MATCH(SectorField,ControlsBPARefNoTable[Sector],0)))))</f>
        <v>Sector is blank</v>
      </c>
      <c r="BF286" s="530" t="str">
        <f t="shared" si="129"/>
        <v/>
      </c>
      <c r="BG286" s="132" t="str">
        <f t="shared" si="130"/>
        <v/>
      </c>
      <c r="BH286" s="531" t="str">
        <f t="shared" si="131"/>
        <v/>
      </c>
      <c r="BI286" s="532"/>
      <c r="BJ286" s="538" t="str">
        <f t="shared" si="137"/>
        <v/>
      </c>
      <c r="BK286" s="539" t="str">
        <f t="shared" si="138"/>
        <v/>
      </c>
      <c r="BL286" s="547" t="str">
        <f t="shared" si="139"/>
        <v/>
      </c>
    </row>
    <row r="287" spans="1:64" x14ac:dyDescent="0.3">
      <c r="A287" s="133">
        <v>280</v>
      </c>
      <c r="B287" s="294"/>
      <c r="C287" s="313"/>
      <c r="D287" s="292"/>
      <c r="E287" s="284"/>
      <c r="F287" s="284"/>
      <c r="G287" s="295"/>
      <c r="H287" s="296"/>
      <c r="I287" s="297"/>
      <c r="J287" s="292"/>
      <c r="K287" s="284"/>
      <c r="L287" s="284"/>
      <c r="M287" s="295"/>
      <c r="N287" s="296"/>
      <c r="O287" s="296"/>
      <c r="P287" s="284"/>
      <c r="Q287" s="298"/>
      <c r="R287" s="292"/>
      <c r="S287" s="299"/>
      <c r="T287" s="300"/>
      <c r="U287" s="317" t="str">
        <f t="shared" si="113"/>
        <v/>
      </c>
      <c r="V287" s="301"/>
      <c r="W287" s="136" t="str">
        <f t="shared" si="114"/>
        <v/>
      </c>
      <c r="X287" s="588" t="str">
        <f t="shared" si="132"/>
        <v/>
      </c>
      <c r="Y287" s="580"/>
      <c r="Z287" s="251" t="str">
        <f t="shared" si="115"/>
        <v/>
      </c>
      <c r="AA287" s="138" t="str">
        <f t="shared" si="140"/>
        <v/>
      </c>
      <c r="AB287" s="243" t="str">
        <f t="shared" si="133"/>
        <v/>
      </c>
      <c r="AC287" s="141" t="str">
        <f t="shared" si="116"/>
        <v/>
      </c>
      <c r="AD287" s="138" t="str">
        <f t="shared" si="134"/>
        <v/>
      </c>
      <c r="AE287" s="243" t="str">
        <f t="shared" si="117"/>
        <v/>
      </c>
      <c r="AF287" s="342" t="str">
        <f>IF(AM287="Row Not Used","",INDEX(SpaceTable[Annual Hours],(MATCH(B287,SpaceTable[Space Name Concatenated Helper],0))))</f>
        <v/>
      </c>
      <c r="AG287" s="205" t="str">
        <f t="shared" si="118"/>
        <v/>
      </c>
      <c r="AH287" s="234" t="str">
        <f t="shared" si="119"/>
        <v/>
      </c>
      <c r="AI287" s="205" t="str">
        <f t="shared" si="120"/>
        <v/>
      </c>
      <c r="AJ287" s="234" t="str">
        <f t="shared" si="121"/>
        <v/>
      </c>
      <c r="AK287" s="144" t="str">
        <f>IF(AM287="Row Not Used","",INDEX(SpaceTable[Row],(MATCH(B287,SpaceTable[Space Name Concatenated Helper],0))))</f>
        <v/>
      </c>
      <c r="AL287" s="238" t="str">
        <f>IF(AM287="Row Not Used","",INDEX(SpaceTable[HVAC Factor],(MATCH(B287,SpaceTable[Space Name Concatenated Helper],0))))</f>
        <v/>
      </c>
      <c r="AM287" s="520" t="str">
        <f t="shared" si="122"/>
        <v>Row Not Used</v>
      </c>
      <c r="AN287" s="512" t="e" cm="1">
        <f t="array" ref="AN287">INDEX(BallastFactorTable[Ballast Factor],MATCH(1,(BallastFactorTable[Fixture Class]=D287)*(BallastFactorTable[Fixture Category]=E287)*(BallastFactorTable[Fixture Sub-category]=F287),0))</f>
        <v>#N/A</v>
      </c>
      <c r="AO287" s="143" t="str">
        <f t="shared" si="135"/>
        <v/>
      </c>
      <c r="AP287" s="501" t="e" cm="1">
        <f t="array" ref="AP287">INDEX(BallastFactorTable[Wattage Range Name],MATCH(1,(BallastFactorTable[Fixture Class]=D287)*(BallastFactorTable[Fixture Category]=E287)*(BallastFactorTable[Fixture Sub-category]=F287),0))</f>
        <v>#N/A</v>
      </c>
      <c r="AQ287" s="515" t="str">
        <f t="shared" ca="1" si="123"/>
        <v>Okay</v>
      </c>
      <c r="AR287" s="512">
        <f t="shared" si="124"/>
        <v>0</v>
      </c>
      <c r="AS287" s="511" t="str">
        <f>IF(OR(Measures!AM287="Row Not Used",Measures!C287="Controls Only",Measures!C287="Decommissioning"),"",_xlfn.CONCAT(P287," ",Q287))</f>
        <v/>
      </c>
      <c r="AT287" s="264" t="str">
        <f t="shared" si="125"/>
        <v>None</v>
      </c>
      <c r="AU287" s="229">
        <f>IF(OR(AM287="Row Not Used",AM287="Controls Only"),0,INDEX(IncentiveRateTable[Incentive Rate],MATCH(AT287,IncentiveRateTable[Incentive Name],0)))</f>
        <v>0</v>
      </c>
      <c r="AV287" s="133" t="str">
        <f>IF(OR(AM287="Row Not Used",AM287="Controls Only"),"None",INDEX(IncentiveRateTable[Incentive Unit],MATCH(AT287,IncentiveRateTable[Incentive Name],0)))</f>
        <v>None</v>
      </c>
      <c r="AW287" s="578">
        <f t="shared" si="136"/>
        <v>0</v>
      </c>
      <c r="AX287" s="264" t="str">
        <f t="shared" si="126"/>
        <v>None</v>
      </c>
      <c r="AY287" s="229">
        <f>IF(OR(AM287="Row Not Used",AM287="Fixtures Only",AM287="Decommissioning"),0,INDEX(IncentiveRateTable[Incentive Rate],MATCH(AX287,IncentiveRateTable[Incentive Name],0)))</f>
        <v>0</v>
      </c>
      <c r="AZ287" s="133" t="str">
        <f>IF(OR(AM287="Row Not Used",AM287="Fixtures Only",AM287="Decommissioning"),"None",INDEX(IncentiveRateTable[Incentive Unit],MATCH(AX287,IncentiveRateTable[Incentive Name],0)))</f>
        <v>None</v>
      </c>
      <c r="BA287" s="465">
        <f t="shared" si="127"/>
        <v>0</v>
      </c>
      <c r="BB287" s="264" t="e" cm="1">
        <f t="array" ref="BB287">INDEX(BallastFactorTable[Commercial BPA Reference Number],MATCH(1,(BallastFactorTable[Fixture Class]=J287)*(BallastFactorTable[Fixture Category]=K287)*(BallastFactorTable[Fixture Sub-category]=L287),0))</f>
        <v>#N/A</v>
      </c>
      <c r="BC287" s="133" t="e" cm="1">
        <f t="array" ref="BC287">INDEX(BallastFactorTable[Industrial BPA Reference Number],MATCH(1,(BallastFactorTable[Fixture Class]=J287)*(BallastFactorTable[Fixture Category]=K287)*(BallastFactorTable[Fixture Sub-category]=L287),0))</f>
        <v>#N/A</v>
      </c>
      <c r="BD287" s="264" t="str">
        <f t="shared" si="128"/>
        <v>Sector is blank</v>
      </c>
      <c r="BE287" s="269" t="str">
        <f>IF(ISBLANK(SectorField),"Sector is blank",IF(AM287="Row Not Used","",IF(OR(R287="No Controls",ISBLANK(R287)),"",INDEX(ControlsBPARefNoTable[Reference Number],MATCH(SectorField,ControlsBPARefNoTable[Sector],0)))))</f>
        <v>Sector is blank</v>
      </c>
      <c r="BF287" s="530" t="str">
        <f t="shared" si="129"/>
        <v/>
      </c>
      <c r="BG287" s="132" t="str">
        <f t="shared" si="130"/>
        <v/>
      </c>
      <c r="BH287" s="531" t="str">
        <f t="shared" si="131"/>
        <v/>
      </c>
      <c r="BI287" s="532"/>
      <c r="BJ287" s="538" t="str">
        <f t="shared" si="137"/>
        <v/>
      </c>
      <c r="BK287" s="539" t="str">
        <f t="shared" si="138"/>
        <v/>
      </c>
      <c r="BL287" s="547" t="str">
        <f t="shared" si="139"/>
        <v/>
      </c>
    </row>
    <row r="288" spans="1:64" x14ac:dyDescent="0.3">
      <c r="A288" s="133">
        <v>281</v>
      </c>
      <c r="B288" s="294"/>
      <c r="C288" s="313"/>
      <c r="D288" s="292"/>
      <c r="E288" s="284"/>
      <c r="F288" s="284"/>
      <c r="G288" s="295"/>
      <c r="H288" s="296"/>
      <c r="I288" s="297"/>
      <c r="J288" s="292"/>
      <c r="K288" s="284"/>
      <c r="L288" s="284"/>
      <c r="M288" s="295"/>
      <c r="N288" s="296"/>
      <c r="O288" s="296"/>
      <c r="P288" s="284"/>
      <c r="Q288" s="298"/>
      <c r="R288" s="292"/>
      <c r="S288" s="299"/>
      <c r="T288" s="300"/>
      <c r="U288" s="317" t="str">
        <f t="shared" si="113"/>
        <v/>
      </c>
      <c r="V288" s="301"/>
      <c r="W288" s="137" t="str">
        <f t="shared" si="114"/>
        <v/>
      </c>
      <c r="X288" s="589" t="str">
        <f t="shared" si="132"/>
        <v/>
      </c>
      <c r="Y288" s="581"/>
      <c r="Z288" s="251" t="str">
        <f t="shared" si="115"/>
        <v/>
      </c>
      <c r="AA288" s="138" t="str">
        <f t="shared" si="140"/>
        <v/>
      </c>
      <c r="AB288" s="243" t="str">
        <f t="shared" si="133"/>
        <v/>
      </c>
      <c r="AC288" s="141" t="str">
        <f t="shared" si="116"/>
        <v/>
      </c>
      <c r="AD288" s="138" t="str">
        <f t="shared" si="134"/>
        <v/>
      </c>
      <c r="AE288" s="243" t="str">
        <f t="shared" si="117"/>
        <v/>
      </c>
      <c r="AF288" s="342" t="str">
        <f>IF(AM288="Row Not Used","",INDEX(SpaceTable[Annual Hours],(MATCH(B288,SpaceTable[Space Name Concatenated Helper],0))))</f>
        <v/>
      </c>
      <c r="AG288" s="205" t="str">
        <f t="shared" si="118"/>
        <v/>
      </c>
      <c r="AH288" s="234" t="str">
        <f t="shared" si="119"/>
        <v/>
      </c>
      <c r="AI288" s="205" t="str">
        <f t="shared" si="120"/>
        <v/>
      </c>
      <c r="AJ288" s="234" t="str">
        <f t="shared" si="121"/>
        <v/>
      </c>
      <c r="AK288" s="144" t="str">
        <f>IF(AM288="Row Not Used","",INDEX(SpaceTable[Row],(MATCH(B288,SpaceTable[Space Name Concatenated Helper],0))))</f>
        <v/>
      </c>
      <c r="AL288" s="238" t="str">
        <f>IF(AM288="Row Not Used","",INDEX(SpaceTable[HVAC Factor],(MATCH(B288,SpaceTable[Space Name Concatenated Helper],0))))</f>
        <v/>
      </c>
      <c r="AM288" s="520" t="str">
        <f t="shared" si="122"/>
        <v>Row Not Used</v>
      </c>
      <c r="AN288" s="512" t="e" cm="1">
        <f t="array" ref="AN288">INDEX(BallastFactorTable[Ballast Factor],MATCH(1,(BallastFactorTable[Fixture Class]=D288)*(BallastFactorTable[Fixture Category]=E288)*(BallastFactorTable[Fixture Sub-category]=F288),0))</f>
        <v>#N/A</v>
      </c>
      <c r="AO288" s="143" t="str">
        <f t="shared" si="135"/>
        <v/>
      </c>
      <c r="AP288" s="501" t="e" cm="1">
        <f t="array" ref="AP288">INDEX(BallastFactorTable[Wattage Range Name],MATCH(1,(BallastFactorTable[Fixture Class]=D288)*(BallastFactorTable[Fixture Category]=E288)*(BallastFactorTable[Fixture Sub-category]=F288),0))</f>
        <v>#N/A</v>
      </c>
      <c r="AQ288" s="515" t="str">
        <f t="shared" ca="1" si="123"/>
        <v>Okay</v>
      </c>
      <c r="AR288" s="512">
        <f t="shared" si="124"/>
        <v>0</v>
      </c>
      <c r="AS288" s="511" t="str">
        <f>IF(OR(Measures!AM288="Row Not Used",Measures!C288="Controls Only",Measures!C288="Decommissioning"),"",_xlfn.CONCAT(P288," ",Q288))</f>
        <v/>
      </c>
      <c r="AT288" s="264" t="str">
        <f t="shared" si="125"/>
        <v>None</v>
      </c>
      <c r="AU288" s="229">
        <f>IF(OR(AM288="Row Not Used",AM288="Controls Only"),0,INDEX(IncentiveRateTable[Incentive Rate],MATCH(AT288,IncentiveRateTable[Incentive Name],0)))</f>
        <v>0</v>
      </c>
      <c r="AV288" s="133" t="str">
        <f>IF(OR(AM288="Row Not Used",AM288="Controls Only"),"None",INDEX(IncentiveRateTable[Incentive Unit],MATCH(AT288,IncentiveRateTable[Incentive Name],0)))</f>
        <v>None</v>
      </c>
      <c r="AW288" s="578">
        <f t="shared" si="136"/>
        <v>0</v>
      </c>
      <c r="AX288" s="264" t="str">
        <f t="shared" si="126"/>
        <v>None</v>
      </c>
      <c r="AY288" s="229">
        <f>IF(OR(AM288="Row Not Used",AM288="Fixtures Only",AM288="Decommissioning"),0,INDEX(IncentiveRateTable[Incentive Rate],MATCH(AX288,IncentiveRateTable[Incentive Name],0)))</f>
        <v>0</v>
      </c>
      <c r="AZ288" s="133" t="str">
        <f>IF(OR(AM288="Row Not Used",AM288="Fixtures Only",AM288="Decommissioning"),"None",INDEX(IncentiveRateTable[Incentive Unit],MATCH(AX288,IncentiveRateTable[Incentive Name],0)))</f>
        <v>None</v>
      </c>
      <c r="BA288" s="465">
        <f t="shared" si="127"/>
        <v>0</v>
      </c>
      <c r="BB288" s="264" t="e" cm="1">
        <f t="array" ref="BB288">INDEX(BallastFactorTable[Commercial BPA Reference Number],MATCH(1,(BallastFactorTable[Fixture Class]=J288)*(BallastFactorTable[Fixture Category]=K288)*(BallastFactorTable[Fixture Sub-category]=L288),0))</f>
        <v>#N/A</v>
      </c>
      <c r="BC288" s="133" t="e" cm="1">
        <f t="array" ref="BC288">INDEX(BallastFactorTable[Industrial BPA Reference Number],MATCH(1,(BallastFactorTable[Fixture Class]=J288)*(BallastFactorTable[Fixture Category]=K288)*(BallastFactorTable[Fixture Sub-category]=L288),0))</f>
        <v>#N/A</v>
      </c>
      <c r="BD288" s="264" t="str">
        <f t="shared" si="128"/>
        <v>Sector is blank</v>
      </c>
      <c r="BE288" s="269" t="str">
        <f>IF(ISBLANK(SectorField),"Sector is blank",IF(AM288="Row Not Used","",IF(OR(R288="No Controls",ISBLANK(R288)),"",INDEX(ControlsBPARefNoTable[Reference Number],MATCH(SectorField,ControlsBPARefNoTable[Sector],0)))))</f>
        <v>Sector is blank</v>
      </c>
      <c r="BF288" s="530" t="str">
        <f t="shared" si="129"/>
        <v/>
      </c>
      <c r="BG288" s="132" t="str">
        <f t="shared" si="130"/>
        <v/>
      </c>
      <c r="BH288" s="531" t="str">
        <f t="shared" si="131"/>
        <v/>
      </c>
      <c r="BI288" s="532"/>
      <c r="BJ288" s="538" t="str">
        <f t="shared" si="137"/>
        <v/>
      </c>
      <c r="BK288" s="539" t="str">
        <f t="shared" si="138"/>
        <v/>
      </c>
      <c r="BL288" s="547" t="str">
        <f t="shared" si="139"/>
        <v/>
      </c>
    </row>
    <row r="289" spans="1:64" x14ac:dyDescent="0.3">
      <c r="A289" s="133">
        <v>282</v>
      </c>
      <c r="B289" s="294"/>
      <c r="C289" s="313"/>
      <c r="D289" s="292"/>
      <c r="E289" s="284"/>
      <c r="F289" s="284"/>
      <c r="G289" s="295"/>
      <c r="H289" s="296"/>
      <c r="I289" s="297"/>
      <c r="J289" s="292"/>
      <c r="K289" s="284"/>
      <c r="L289" s="284"/>
      <c r="M289" s="295"/>
      <c r="N289" s="296"/>
      <c r="O289" s="296"/>
      <c r="P289" s="284"/>
      <c r="Q289" s="298"/>
      <c r="R289" s="292"/>
      <c r="S289" s="299"/>
      <c r="T289" s="300"/>
      <c r="U289" s="317" t="str">
        <f t="shared" si="113"/>
        <v/>
      </c>
      <c r="V289" s="301"/>
      <c r="W289" s="136" t="str">
        <f t="shared" si="114"/>
        <v/>
      </c>
      <c r="X289" s="588" t="str">
        <f t="shared" si="132"/>
        <v/>
      </c>
      <c r="Y289" s="580"/>
      <c r="Z289" s="251" t="str">
        <f t="shared" si="115"/>
        <v/>
      </c>
      <c r="AA289" s="138" t="str">
        <f t="shared" si="140"/>
        <v/>
      </c>
      <c r="AB289" s="243" t="str">
        <f t="shared" si="133"/>
        <v/>
      </c>
      <c r="AC289" s="141" t="str">
        <f t="shared" si="116"/>
        <v/>
      </c>
      <c r="AD289" s="138" t="str">
        <f t="shared" si="134"/>
        <v/>
      </c>
      <c r="AE289" s="243" t="str">
        <f t="shared" si="117"/>
        <v/>
      </c>
      <c r="AF289" s="342" t="str">
        <f>IF(AM289="Row Not Used","",INDEX(SpaceTable[Annual Hours],(MATCH(B289,SpaceTable[Space Name Concatenated Helper],0))))</f>
        <v/>
      </c>
      <c r="AG289" s="205" t="str">
        <f t="shared" si="118"/>
        <v/>
      </c>
      <c r="AH289" s="234" t="str">
        <f t="shared" si="119"/>
        <v/>
      </c>
      <c r="AI289" s="205" t="str">
        <f t="shared" si="120"/>
        <v/>
      </c>
      <c r="AJ289" s="234" t="str">
        <f t="shared" si="121"/>
        <v/>
      </c>
      <c r="AK289" s="144" t="str">
        <f>IF(AM289="Row Not Used","",INDEX(SpaceTable[Row],(MATCH(B289,SpaceTable[Space Name Concatenated Helper],0))))</f>
        <v/>
      </c>
      <c r="AL289" s="238" t="str">
        <f>IF(AM289="Row Not Used","",INDEX(SpaceTable[HVAC Factor],(MATCH(B289,SpaceTable[Space Name Concatenated Helper],0))))</f>
        <v/>
      </c>
      <c r="AM289" s="520" t="str">
        <f t="shared" si="122"/>
        <v>Row Not Used</v>
      </c>
      <c r="AN289" s="512" t="e" cm="1">
        <f t="array" ref="AN289">INDEX(BallastFactorTable[Ballast Factor],MATCH(1,(BallastFactorTable[Fixture Class]=D289)*(BallastFactorTable[Fixture Category]=E289)*(BallastFactorTable[Fixture Sub-category]=F289),0))</f>
        <v>#N/A</v>
      </c>
      <c r="AO289" s="143" t="str">
        <f t="shared" si="135"/>
        <v/>
      </c>
      <c r="AP289" s="501" t="e" cm="1">
        <f t="array" ref="AP289">INDEX(BallastFactorTable[Wattage Range Name],MATCH(1,(BallastFactorTable[Fixture Class]=D289)*(BallastFactorTable[Fixture Category]=E289)*(BallastFactorTable[Fixture Sub-category]=F289),0))</f>
        <v>#N/A</v>
      </c>
      <c r="AQ289" s="515" t="str">
        <f t="shared" ca="1" si="123"/>
        <v>Okay</v>
      </c>
      <c r="AR289" s="512">
        <f t="shared" si="124"/>
        <v>0</v>
      </c>
      <c r="AS289" s="511" t="str">
        <f>IF(OR(Measures!AM289="Row Not Used",Measures!C289="Controls Only",Measures!C289="Decommissioning"),"",_xlfn.CONCAT(P289," ",Q289))</f>
        <v/>
      </c>
      <c r="AT289" s="264" t="str">
        <f t="shared" si="125"/>
        <v>None</v>
      </c>
      <c r="AU289" s="229">
        <f>IF(OR(AM289="Row Not Used",AM289="Controls Only"),0,INDEX(IncentiveRateTable[Incentive Rate],MATCH(AT289,IncentiveRateTable[Incentive Name],0)))</f>
        <v>0</v>
      </c>
      <c r="AV289" s="133" t="str">
        <f>IF(OR(AM289="Row Not Used",AM289="Controls Only"),"None",INDEX(IncentiveRateTable[Incentive Unit],MATCH(AT289,IncentiveRateTable[Incentive Name],0)))</f>
        <v>None</v>
      </c>
      <c r="AW289" s="578">
        <f t="shared" si="136"/>
        <v>0</v>
      </c>
      <c r="AX289" s="264" t="str">
        <f t="shared" si="126"/>
        <v>None</v>
      </c>
      <c r="AY289" s="229">
        <f>IF(OR(AM289="Row Not Used",AM289="Fixtures Only",AM289="Decommissioning"),0,INDEX(IncentiveRateTable[Incentive Rate],MATCH(AX289,IncentiveRateTable[Incentive Name],0)))</f>
        <v>0</v>
      </c>
      <c r="AZ289" s="133" t="str">
        <f>IF(OR(AM289="Row Not Used",AM289="Fixtures Only",AM289="Decommissioning"),"None",INDEX(IncentiveRateTable[Incentive Unit],MATCH(AX289,IncentiveRateTable[Incentive Name],0)))</f>
        <v>None</v>
      </c>
      <c r="BA289" s="465">
        <f t="shared" si="127"/>
        <v>0</v>
      </c>
      <c r="BB289" s="264" t="e" cm="1">
        <f t="array" ref="BB289">INDEX(BallastFactorTable[Commercial BPA Reference Number],MATCH(1,(BallastFactorTable[Fixture Class]=J289)*(BallastFactorTable[Fixture Category]=K289)*(BallastFactorTable[Fixture Sub-category]=L289),0))</f>
        <v>#N/A</v>
      </c>
      <c r="BC289" s="133" t="e" cm="1">
        <f t="array" ref="BC289">INDEX(BallastFactorTable[Industrial BPA Reference Number],MATCH(1,(BallastFactorTable[Fixture Class]=J289)*(BallastFactorTable[Fixture Category]=K289)*(BallastFactorTable[Fixture Sub-category]=L289),0))</f>
        <v>#N/A</v>
      </c>
      <c r="BD289" s="264" t="str">
        <f t="shared" si="128"/>
        <v>Sector is blank</v>
      </c>
      <c r="BE289" s="269" t="str">
        <f>IF(ISBLANK(SectorField),"Sector is blank",IF(AM289="Row Not Used","",IF(OR(R289="No Controls",ISBLANK(R289)),"",INDEX(ControlsBPARefNoTable[Reference Number],MATCH(SectorField,ControlsBPARefNoTable[Sector],0)))))</f>
        <v>Sector is blank</v>
      </c>
      <c r="BF289" s="530" t="str">
        <f t="shared" si="129"/>
        <v/>
      </c>
      <c r="BG289" s="132" t="str">
        <f t="shared" si="130"/>
        <v/>
      </c>
      <c r="BH289" s="531" t="str">
        <f t="shared" si="131"/>
        <v/>
      </c>
      <c r="BI289" s="532"/>
      <c r="BJ289" s="538" t="str">
        <f t="shared" si="137"/>
        <v/>
      </c>
      <c r="BK289" s="539" t="str">
        <f t="shared" si="138"/>
        <v/>
      </c>
      <c r="BL289" s="547" t="str">
        <f t="shared" si="139"/>
        <v/>
      </c>
    </row>
    <row r="290" spans="1:64" x14ac:dyDescent="0.3">
      <c r="A290" s="133">
        <v>283</v>
      </c>
      <c r="B290" s="294"/>
      <c r="C290" s="313"/>
      <c r="D290" s="292"/>
      <c r="E290" s="284"/>
      <c r="F290" s="284"/>
      <c r="G290" s="295"/>
      <c r="H290" s="296"/>
      <c r="I290" s="297"/>
      <c r="J290" s="292"/>
      <c r="K290" s="284"/>
      <c r="L290" s="284"/>
      <c r="M290" s="295"/>
      <c r="N290" s="296"/>
      <c r="O290" s="296"/>
      <c r="P290" s="284"/>
      <c r="Q290" s="298"/>
      <c r="R290" s="292"/>
      <c r="S290" s="299"/>
      <c r="T290" s="300"/>
      <c r="U290" s="317" t="str">
        <f t="shared" si="113"/>
        <v/>
      </c>
      <c r="V290" s="301"/>
      <c r="W290" s="137" t="str">
        <f t="shared" si="114"/>
        <v/>
      </c>
      <c r="X290" s="589" t="str">
        <f t="shared" si="132"/>
        <v/>
      </c>
      <c r="Y290" s="581"/>
      <c r="Z290" s="251" t="str">
        <f t="shared" si="115"/>
        <v/>
      </c>
      <c r="AA290" s="138" t="str">
        <f t="shared" si="140"/>
        <v/>
      </c>
      <c r="AB290" s="243" t="str">
        <f t="shared" si="133"/>
        <v/>
      </c>
      <c r="AC290" s="141" t="str">
        <f t="shared" si="116"/>
        <v/>
      </c>
      <c r="AD290" s="138" t="str">
        <f t="shared" si="134"/>
        <v/>
      </c>
      <c r="AE290" s="243" t="str">
        <f t="shared" si="117"/>
        <v/>
      </c>
      <c r="AF290" s="342" t="str">
        <f>IF(AM290="Row Not Used","",INDEX(SpaceTable[Annual Hours],(MATCH(B290,SpaceTable[Space Name Concatenated Helper],0))))</f>
        <v/>
      </c>
      <c r="AG290" s="205" t="str">
        <f t="shared" si="118"/>
        <v/>
      </c>
      <c r="AH290" s="234" t="str">
        <f t="shared" si="119"/>
        <v/>
      </c>
      <c r="AI290" s="205" t="str">
        <f t="shared" si="120"/>
        <v/>
      </c>
      <c r="AJ290" s="234" t="str">
        <f t="shared" si="121"/>
        <v/>
      </c>
      <c r="AK290" s="144" t="str">
        <f>IF(AM290="Row Not Used","",INDEX(SpaceTable[Row],(MATCH(B290,SpaceTable[Space Name Concatenated Helper],0))))</f>
        <v/>
      </c>
      <c r="AL290" s="238" t="str">
        <f>IF(AM290="Row Not Used","",INDEX(SpaceTable[HVAC Factor],(MATCH(B290,SpaceTable[Space Name Concatenated Helper],0))))</f>
        <v/>
      </c>
      <c r="AM290" s="520" t="str">
        <f t="shared" si="122"/>
        <v>Row Not Used</v>
      </c>
      <c r="AN290" s="512" t="e" cm="1">
        <f t="array" ref="AN290">INDEX(BallastFactorTable[Ballast Factor],MATCH(1,(BallastFactorTable[Fixture Class]=D290)*(BallastFactorTable[Fixture Category]=E290)*(BallastFactorTable[Fixture Sub-category]=F290),0))</f>
        <v>#N/A</v>
      </c>
      <c r="AO290" s="143" t="str">
        <f t="shared" si="135"/>
        <v/>
      </c>
      <c r="AP290" s="501" t="e" cm="1">
        <f t="array" ref="AP290">INDEX(BallastFactorTable[Wattage Range Name],MATCH(1,(BallastFactorTable[Fixture Class]=D290)*(BallastFactorTable[Fixture Category]=E290)*(BallastFactorTable[Fixture Sub-category]=F290),0))</f>
        <v>#N/A</v>
      </c>
      <c r="AQ290" s="515" t="str">
        <f t="shared" ca="1" si="123"/>
        <v>Okay</v>
      </c>
      <c r="AR290" s="512">
        <f t="shared" si="124"/>
        <v>0</v>
      </c>
      <c r="AS290" s="511" t="str">
        <f>IF(OR(Measures!AM290="Row Not Used",Measures!C290="Controls Only",Measures!C290="Decommissioning"),"",_xlfn.CONCAT(P290," ",Q290))</f>
        <v/>
      </c>
      <c r="AT290" s="264" t="str">
        <f t="shared" si="125"/>
        <v>None</v>
      </c>
      <c r="AU290" s="229">
        <f>IF(OR(AM290="Row Not Used",AM290="Controls Only"),0,INDEX(IncentiveRateTable[Incentive Rate],MATCH(AT290,IncentiveRateTable[Incentive Name],0)))</f>
        <v>0</v>
      </c>
      <c r="AV290" s="133" t="str">
        <f>IF(OR(AM290="Row Not Used",AM290="Controls Only"),"None",INDEX(IncentiveRateTable[Incentive Unit],MATCH(AT290,IncentiveRateTable[Incentive Name],0)))</f>
        <v>None</v>
      </c>
      <c r="AW290" s="578">
        <f t="shared" si="136"/>
        <v>0</v>
      </c>
      <c r="AX290" s="264" t="str">
        <f t="shared" si="126"/>
        <v>None</v>
      </c>
      <c r="AY290" s="229">
        <f>IF(OR(AM290="Row Not Used",AM290="Fixtures Only",AM290="Decommissioning"),0,INDEX(IncentiveRateTable[Incentive Rate],MATCH(AX290,IncentiveRateTable[Incentive Name],0)))</f>
        <v>0</v>
      </c>
      <c r="AZ290" s="133" t="str">
        <f>IF(OR(AM290="Row Not Used",AM290="Fixtures Only",AM290="Decommissioning"),"None",INDEX(IncentiveRateTable[Incentive Unit],MATCH(AX290,IncentiveRateTable[Incentive Name],0)))</f>
        <v>None</v>
      </c>
      <c r="BA290" s="465">
        <f t="shared" si="127"/>
        <v>0</v>
      </c>
      <c r="BB290" s="264" t="e" cm="1">
        <f t="array" ref="BB290">INDEX(BallastFactorTable[Commercial BPA Reference Number],MATCH(1,(BallastFactorTable[Fixture Class]=J290)*(BallastFactorTable[Fixture Category]=K290)*(BallastFactorTable[Fixture Sub-category]=L290),0))</f>
        <v>#N/A</v>
      </c>
      <c r="BC290" s="133" t="e" cm="1">
        <f t="array" ref="BC290">INDEX(BallastFactorTable[Industrial BPA Reference Number],MATCH(1,(BallastFactorTable[Fixture Class]=J290)*(BallastFactorTable[Fixture Category]=K290)*(BallastFactorTable[Fixture Sub-category]=L290),0))</f>
        <v>#N/A</v>
      </c>
      <c r="BD290" s="264" t="str">
        <f t="shared" si="128"/>
        <v>Sector is blank</v>
      </c>
      <c r="BE290" s="269" t="str">
        <f>IF(ISBLANK(SectorField),"Sector is blank",IF(AM290="Row Not Used","",IF(OR(R290="No Controls",ISBLANK(R290)),"",INDEX(ControlsBPARefNoTable[Reference Number],MATCH(SectorField,ControlsBPARefNoTable[Sector],0)))))</f>
        <v>Sector is blank</v>
      </c>
      <c r="BF290" s="530" t="str">
        <f t="shared" si="129"/>
        <v/>
      </c>
      <c r="BG290" s="132" t="str">
        <f t="shared" si="130"/>
        <v/>
      </c>
      <c r="BH290" s="531" t="str">
        <f t="shared" si="131"/>
        <v/>
      </c>
      <c r="BI290" s="532"/>
      <c r="BJ290" s="538" t="str">
        <f t="shared" si="137"/>
        <v/>
      </c>
      <c r="BK290" s="539" t="str">
        <f t="shared" si="138"/>
        <v/>
      </c>
      <c r="BL290" s="547" t="str">
        <f t="shared" si="139"/>
        <v/>
      </c>
    </row>
    <row r="291" spans="1:64" x14ac:dyDescent="0.3">
      <c r="A291" s="133">
        <v>284</v>
      </c>
      <c r="B291" s="294"/>
      <c r="C291" s="313"/>
      <c r="D291" s="292"/>
      <c r="E291" s="284"/>
      <c r="F291" s="284"/>
      <c r="G291" s="295"/>
      <c r="H291" s="296"/>
      <c r="I291" s="297"/>
      <c r="J291" s="292"/>
      <c r="K291" s="284"/>
      <c r="L291" s="284"/>
      <c r="M291" s="295"/>
      <c r="N291" s="296"/>
      <c r="O291" s="296"/>
      <c r="P291" s="284"/>
      <c r="Q291" s="298"/>
      <c r="R291" s="292"/>
      <c r="S291" s="299"/>
      <c r="T291" s="300"/>
      <c r="U291" s="317" t="str">
        <f t="shared" si="113"/>
        <v/>
      </c>
      <c r="V291" s="301"/>
      <c r="W291" s="136" t="str">
        <f t="shared" si="114"/>
        <v/>
      </c>
      <c r="X291" s="588" t="str">
        <f t="shared" si="132"/>
        <v/>
      </c>
      <c r="Y291" s="580"/>
      <c r="Z291" s="251" t="str">
        <f t="shared" si="115"/>
        <v/>
      </c>
      <c r="AA291" s="138" t="str">
        <f t="shared" si="140"/>
        <v/>
      </c>
      <c r="AB291" s="243" t="str">
        <f t="shared" si="133"/>
        <v/>
      </c>
      <c r="AC291" s="141" t="str">
        <f t="shared" si="116"/>
        <v/>
      </c>
      <c r="AD291" s="138" t="str">
        <f t="shared" si="134"/>
        <v/>
      </c>
      <c r="AE291" s="243" t="str">
        <f t="shared" si="117"/>
        <v/>
      </c>
      <c r="AF291" s="342" t="str">
        <f>IF(AM291="Row Not Used","",INDEX(SpaceTable[Annual Hours],(MATCH(B291,SpaceTable[Space Name Concatenated Helper],0))))</f>
        <v/>
      </c>
      <c r="AG291" s="205" t="str">
        <f t="shared" si="118"/>
        <v/>
      </c>
      <c r="AH291" s="234" t="str">
        <f t="shared" si="119"/>
        <v/>
      </c>
      <c r="AI291" s="205" t="str">
        <f t="shared" si="120"/>
        <v/>
      </c>
      <c r="AJ291" s="234" t="str">
        <f t="shared" si="121"/>
        <v/>
      </c>
      <c r="AK291" s="144" t="str">
        <f>IF(AM291="Row Not Used","",INDEX(SpaceTable[Row],(MATCH(B291,SpaceTable[Space Name Concatenated Helper],0))))</f>
        <v/>
      </c>
      <c r="AL291" s="238" t="str">
        <f>IF(AM291="Row Not Used","",INDEX(SpaceTable[HVAC Factor],(MATCH(B291,SpaceTable[Space Name Concatenated Helper],0))))</f>
        <v/>
      </c>
      <c r="AM291" s="520" t="str">
        <f t="shared" si="122"/>
        <v>Row Not Used</v>
      </c>
      <c r="AN291" s="512" t="e" cm="1">
        <f t="array" ref="AN291">INDEX(BallastFactorTable[Ballast Factor],MATCH(1,(BallastFactorTable[Fixture Class]=D291)*(BallastFactorTable[Fixture Category]=E291)*(BallastFactorTable[Fixture Sub-category]=F291),0))</f>
        <v>#N/A</v>
      </c>
      <c r="AO291" s="143" t="str">
        <f t="shared" si="135"/>
        <v/>
      </c>
      <c r="AP291" s="501" t="e" cm="1">
        <f t="array" ref="AP291">INDEX(BallastFactorTable[Wattage Range Name],MATCH(1,(BallastFactorTable[Fixture Class]=D291)*(BallastFactorTable[Fixture Category]=E291)*(BallastFactorTable[Fixture Sub-category]=F291),0))</f>
        <v>#N/A</v>
      </c>
      <c r="AQ291" s="515" t="str">
        <f t="shared" ca="1" si="123"/>
        <v>Okay</v>
      </c>
      <c r="AR291" s="512">
        <f t="shared" si="124"/>
        <v>0</v>
      </c>
      <c r="AS291" s="511" t="str">
        <f>IF(OR(Measures!AM291="Row Not Used",Measures!C291="Controls Only",Measures!C291="Decommissioning"),"",_xlfn.CONCAT(P291," ",Q291))</f>
        <v/>
      </c>
      <c r="AT291" s="264" t="str">
        <f t="shared" si="125"/>
        <v>None</v>
      </c>
      <c r="AU291" s="229">
        <f>IF(OR(AM291="Row Not Used",AM291="Controls Only"),0,INDEX(IncentiveRateTable[Incentive Rate],MATCH(AT291,IncentiveRateTable[Incentive Name],0)))</f>
        <v>0</v>
      </c>
      <c r="AV291" s="133" t="str">
        <f>IF(OR(AM291="Row Not Used",AM291="Controls Only"),"None",INDEX(IncentiveRateTable[Incentive Unit],MATCH(AT291,IncentiveRateTable[Incentive Name],0)))</f>
        <v>None</v>
      </c>
      <c r="AW291" s="578">
        <f t="shared" si="136"/>
        <v>0</v>
      </c>
      <c r="AX291" s="264" t="str">
        <f t="shared" si="126"/>
        <v>None</v>
      </c>
      <c r="AY291" s="229">
        <f>IF(OR(AM291="Row Not Used",AM291="Fixtures Only",AM291="Decommissioning"),0,INDEX(IncentiveRateTable[Incentive Rate],MATCH(AX291,IncentiveRateTable[Incentive Name],0)))</f>
        <v>0</v>
      </c>
      <c r="AZ291" s="133" t="str">
        <f>IF(OR(AM291="Row Not Used",AM291="Fixtures Only",AM291="Decommissioning"),"None",INDEX(IncentiveRateTable[Incentive Unit],MATCH(AX291,IncentiveRateTable[Incentive Name],0)))</f>
        <v>None</v>
      </c>
      <c r="BA291" s="465">
        <f t="shared" si="127"/>
        <v>0</v>
      </c>
      <c r="BB291" s="264" t="e" cm="1">
        <f t="array" ref="BB291">INDEX(BallastFactorTable[Commercial BPA Reference Number],MATCH(1,(BallastFactorTable[Fixture Class]=J291)*(BallastFactorTable[Fixture Category]=K291)*(BallastFactorTable[Fixture Sub-category]=L291),0))</f>
        <v>#N/A</v>
      </c>
      <c r="BC291" s="133" t="e" cm="1">
        <f t="array" ref="BC291">INDEX(BallastFactorTable[Industrial BPA Reference Number],MATCH(1,(BallastFactorTable[Fixture Class]=J291)*(BallastFactorTable[Fixture Category]=K291)*(BallastFactorTable[Fixture Sub-category]=L291),0))</f>
        <v>#N/A</v>
      </c>
      <c r="BD291" s="264" t="str">
        <f t="shared" si="128"/>
        <v>Sector is blank</v>
      </c>
      <c r="BE291" s="269" t="str">
        <f>IF(ISBLANK(SectorField),"Sector is blank",IF(AM291="Row Not Used","",IF(OR(R291="No Controls",ISBLANK(R291)),"",INDEX(ControlsBPARefNoTable[Reference Number],MATCH(SectorField,ControlsBPARefNoTable[Sector],0)))))</f>
        <v>Sector is blank</v>
      </c>
      <c r="BF291" s="530" t="str">
        <f t="shared" si="129"/>
        <v/>
      </c>
      <c r="BG291" s="132" t="str">
        <f t="shared" si="130"/>
        <v/>
      </c>
      <c r="BH291" s="531" t="str">
        <f t="shared" si="131"/>
        <v/>
      </c>
      <c r="BI291" s="532"/>
      <c r="BJ291" s="538" t="str">
        <f t="shared" si="137"/>
        <v/>
      </c>
      <c r="BK291" s="539" t="str">
        <f t="shared" si="138"/>
        <v/>
      </c>
      <c r="BL291" s="547" t="str">
        <f t="shared" si="139"/>
        <v/>
      </c>
    </row>
    <row r="292" spans="1:64" x14ac:dyDescent="0.3">
      <c r="A292" s="133">
        <v>285</v>
      </c>
      <c r="B292" s="294"/>
      <c r="C292" s="313"/>
      <c r="D292" s="292"/>
      <c r="E292" s="284"/>
      <c r="F292" s="284"/>
      <c r="G292" s="295"/>
      <c r="H292" s="296"/>
      <c r="I292" s="297"/>
      <c r="J292" s="292"/>
      <c r="K292" s="284"/>
      <c r="L292" s="284"/>
      <c r="M292" s="295"/>
      <c r="N292" s="296"/>
      <c r="O292" s="296"/>
      <c r="P292" s="284"/>
      <c r="Q292" s="298"/>
      <c r="R292" s="292"/>
      <c r="S292" s="299"/>
      <c r="T292" s="300"/>
      <c r="U292" s="317" t="str">
        <f t="shared" si="113"/>
        <v/>
      </c>
      <c r="V292" s="301"/>
      <c r="W292" s="137" t="str">
        <f t="shared" si="114"/>
        <v/>
      </c>
      <c r="X292" s="589" t="str">
        <f t="shared" si="132"/>
        <v/>
      </c>
      <c r="Y292" s="581"/>
      <c r="Z292" s="251" t="str">
        <f t="shared" si="115"/>
        <v/>
      </c>
      <c r="AA292" s="138" t="str">
        <f t="shared" si="140"/>
        <v/>
      </c>
      <c r="AB292" s="243" t="str">
        <f t="shared" si="133"/>
        <v/>
      </c>
      <c r="AC292" s="141" t="str">
        <f t="shared" si="116"/>
        <v/>
      </c>
      <c r="AD292" s="138" t="str">
        <f t="shared" si="134"/>
        <v/>
      </c>
      <c r="AE292" s="243" t="str">
        <f t="shared" si="117"/>
        <v/>
      </c>
      <c r="AF292" s="342" t="str">
        <f>IF(AM292="Row Not Used","",INDEX(SpaceTable[Annual Hours],(MATCH(B292,SpaceTable[Space Name Concatenated Helper],0))))</f>
        <v/>
      </c>
      <c r="AG292" s="205" t="str">
        <f t="shared" si="118"/>
        <v/>
      </c>
      <c r="AH292" s="234" t="str">
        <f t="shared" si="119"/>
        <v/>
      </c>
      <c r="AI292" s="205" t="str">
        <f t="shared" si="120"/>
        <v/>
      </c>
      <c r="AJ292" s="234" t="str">
        <f t="shared" si="121"/>
        <v/>
      </c>
      <c r="AK292" s="144" t="str">
        <f>IF(AM292="Row Not Used","",INDEX(SpaceTable[Row],(MATCH(B292,SpaceTable[Space Name Concatenated Helper],0))))</f>
        <v/>
      </c>
      <c r="AL292" s="238" t="str">
        <f>IF(AM292="Row Not Used","",INDEX(SpaceTable[HVAC Factor],(MATCH(B292,SpaceTable[Space Name Concatenated Helper],0))))</f>
        <v/>
      </c>
      <c r="AM292" s="520" t="str">
        <f t="shared" si="122"/>
        <v>Row Not Used</v>
      </c>
      <c r="AN292" s="512" t="e" cm="1">
        <f t="array" ref="AN292">INDEX(BallastFactorTable[Ballast Factor],MATCH(1,(BallastFactorTable[Fixture Class]=D292)*(BallastFactorTable[Fixture Category]=E292)*(BallastFactorTable[Fixture Sub-category]=F292),0))</f>
        <v>#N/A</v>
      </c>
      <c r="AO292" s="143" t="str">
        <f t="shared" si="135"/>
        <v/>
      </c>
      <c r="AP292" s="501" t="e" cm="1">
        <f t="array" ref="AP292">INDEX(BallastFactorTable[Wattage Range Name],MATCH(1,(BallastFactorTable[Fixture Class]=D292)*(BallastFactorTable[Fixture Category]=E292)*(BallastFactorTable[Fixture Sub-category]=F292),0))</f>
        <v>#N/A</v>
      </c>
      <c r="AQ292" s="515" t="str">
        <f t="shared" ca="1" si="123"/>
        <v>Okay</v>
      </c>
      <c r="AR292" s="512">
        <f t="shared" si="124"/>
        <v>0</v>
      </c>
      <c r="AS292" s="511" t="str">
        <f>IF(OR(Measures!AM292="Row Not Used",Measures!C292="Controls Only",Measures!C292="Decommissioning"),"",_xlfn.CONCAT(P292," ",Q292))</f>
        <v/>
      </c>
      <c r="AT292" s="264" t="str">
        <f t="shared" si="125"/>
        <v>None</v>
      </c>
      <c r="AU292" s="229">
        <f>IF(OR(AM292="Row Not Used",AM292="Controls Only"),0,INDEX(IncentiveRateTable[Incentive Rate],MATCH(AT292,IncentiveRateTable[Incentive Name],0)))</f>
        <v>0</v>
      </c>
      <c r="AV292" s="133" t="str">
        <f>IF(OR(AM292="Row Not Used",AM292="Controls Only"),"None",INDEX(IncentiveRateTable[Incentive Unit],MATCH(AT292,IncentiveRateTable[Incentive Name],0)))</f>
        <v>None</v>
      </c>
      <c r="AW292" s="578">
        <f t="shared" si="136"/>
        <v>0</v>
      </c>
      <c r="AX292" s="264" t="str">
        <f t="shared" si="126"/>
        <v>None</v>
      </c>
      <c r="AY292" s="229">
        <f>IF(OR(AM292="Row Not Used",AM292="Fixtures Only",AM292="Decommissioning"),0,INDEX(IncentiveRateTable[Incentive Rate],MATCH(AX292,IncentiveRateTable[Incentive Name],0)))</f>
        <v>0</v>
      </c>
      <c r="AZ292" s="133" t="str">
        <f>IF(OR(AM292="Row Not Used",AM292="Fixtures Only",AM292="Decommissioning"),"None",INDEX(IncentiveRateTable[Incentive Unit],MATCH(AX292,IncentiveRateTable[Incentive Name],0)))</f>
        <v>None</v>
      </c>
      <c r="BA292" s="465">
        <f t="shared" si="127"/>
        <v>0</v>
      </c>
      <c r="BB292" s="264" t="e" cm="1">
        <f t="array" ref="BB292">INDEX(BallastFactorTable[Commercial BPA Reference Number],MATCH(1,(BallastFactorTable[Fixture Class]=J292)*(BallastFactorTable[Fixture Category]=K292)*(BallastFactorTable[Fixture Sub-category]=L292),0))</f>
        <v>#N/A</v>
      </c>
      <c r="BC292" s="133" t="e" cm="1">
        <f t="array" ref="BC292">INDEX(BallastFactorTable[Industrial BPA Reference Number],MATCH(1,(BallastFactorTable[Fixture Class]=J292)*(BallastFactorTable[Fixture Category]=K292)*(BallastFactorTable[Fixture Sub-category]=L292),0))</f>
        <v>#N/A</v>
      </c>
      <c r="BD292" s="264" t="str">
        <f t="shared" si="128"/>
        <v>Sector is blank</v>
      </c>
      <c r="BE292" s="269" t="str">
        <f>IF(ISBLANK(SectorField),"Sector is blank",IF(AM292="Row Not Used","",IF(OR(R292="No Controls",ISBLANK(R292)),"",INDEX(ControlsBPARefNoTable[Reference Number],MATCH(SectorField,ControlsBPARefNoTable[Sector],0)))))</f>
        <v>Sector is blank</v>
      </c>
      <c r="BF292" s="530" t="str">
        <f t="shared" si="129"/>
        <v/>
      </c>
      <c r="BG292" s="132" t="str">
        <f t="shared" si="130"/>
        <v/>
      </c>
      <c r="BH292" s="531" t="str">
        <f t="shared" si="131"/>
        <v/>
      </c>
      <c r="BI292" s="532"/>
      <c r="BJ292" s="538" t="str">
        <f t="shared" si="137"/>
        <v/>
      </c>
      <c r="BK292" s="539" t="str">
        <f t="shared" si="138"/>
        <v/>
      </c>
      <c r="BL292" s="547" t="str">
        <f t="shared" si="139"/>
        <v/>
      </c>
    </row>
    <row r="293" spans="1:64" x14ac:dyDescent="0.3">
      <c r="A293" s="133">
        <v>286</v>
      </c>
      <c r="B293" s="294"/>
      <c r="C293" s="313"/>
      <c r="D293" s="292"/>
      <c r="E293" s="284"/>
      <c r="F293" s="284"/>
      <c r="G293" s="295"/>
      <c r="H293" s="296"/>
      <c r="I293" s="297"/>
      <c r="J293" s="292"/>
      <c r="K293" s="284"/>
      <c r="L293" s="284"/>
      <c r="M293" s="295"/>
      <c r="N293" s="296"/>
      <c r="O293" s="296"/>
      <c r="P293" s="284"/>
      <c r="Q293" s="298"/>
      <c r="R293" s="292"/>
      <c r="S293" s="299"/>
      <c r="T293" s="300"/>
      <c r="U293" s="317" t="str">
        <f t="shared" si="113"/>
        <v/>
      </c>
      <c r="V293" s="301"/>
      <c r="W293" s="136" t="str">
        <f t="shared" si="114"/>
        <v/>
      </c>
      <c r="X293" s="588" t="str">
        <f t="shared" si="132"/>
        <v/>
      </c>
      <c r="Y293" s="580"/>
      <c r="Z293" s="251" t="str">
        <f t="shared" si="115"/>
        <v/>
      </c>
      <c r="AA293" s="138" t="str">
        <f t="shared" si="140"/>
        <v/>
      </c>
      <c r="AB293" s="243" t="str">
        <f t="shared" si="133"/>
        <v/>
      </c>
      <c r="AC293" s="141" t="str">
        <f t="shared" si="116"/>
        <v/>
      </c>
      <c r="AD293" s="138" t="str">
        <f t="shared" si="134"/>
        <v/>
      </c>
      <c r="AE293" s="243" t="str">
        <f t="shared" si="117"/>
        <v/>
      </c>
      <c r="AF293" s="342" t="str">
        <f>IF(AM293="Row Not Used","",INDEX(SpaceTable[Annual Hours],(MATCH(B293,SpaceTable[Space Name Concatenated Helper],0))))</f>
        <v/>
      </c>
      <c r="AG293" s="205" t="str">
        <f t="shared" si="118"/>
        <v/>
      </c>
      <c r="AH293" s="234" t="str">
        <f t="shared" si="119"/>
        <v/>
      </c>
      <c r="AI293" s="205" t="str">
        <f t="shared" si="120"/>
        <v/>
      </c>
      <c r="AJ293" s="234" t="str">
        <f t="shared" si="121"/>
        <v/>
      </c>
      <c r="AK293" s="144" t="str">
        <f>IF(AM293="Row Not Used","",INDEX(SpaceTable[Row],(MATCH(B293,SpaceTable[Space Name Concatenated Helper],0))))</f>
        <v/>
      </c>
      <c r="AL293" s="238" t="str">
        <f>IF(AM293="Row Not Used","",INDEX(SpaceTable[HVAC Factor],(MATCH(B293,SpaceTable[Space Name Concatenated Helper],0))))</f>
        <v/>
      </c>
      <c r="AM293" s="520" t="str">
        <f t="shared" si="122"/>
        <v>Row Not Used</v>
      </c>
      <c r="AN293" s="512" t="e" cm="1">
        <f t="array" ref="AN293">INDEX(BallastFactorTable[Ballast Factor],MATCH(1,(BallastFactorTable[Fixture Class]=D293)*(BallastFactorTable[Fixture Category]=E293)*(BallastFactorTable[Fixture Sub-category]=F293),0))</f>
        <v>#N/A</v>
      </c>
      <c r="AO293" s="143" t="str">
        <f t="shared" si="135"/>
        <v/>
      </c>
      <c r="AP293" s="501" t="e" cm="1">
        <f t="array" ref="AP293">INDEX(BallastFactorTable[Wattage Range Name],MATCH(1,(BallastFactorTable[Fixture Class]=D293)*(BallastFactorTable[Fixture Category]=E293)*(BallastFactorTable[Fixture Sub-category]=F293),0))</f>
        <v>#N/A</v>
      </c>
      <c r="AQ293" s="515" t="str">
        <f t="shared" ca="1" si="123"/>
        <v>Okay</v>
      </c>
      <c r="AR293" s="512">
        <f t="shared" si="124"/>
        <v>0</v>
      </c>
      <c r="AS293" s="511" t="str">
        <f>IF(OR(Measures!AM293="Row Not Used",Measures!C293="Controls Only",Measures!C293="Decommissioning"),"",_xlfn.CONCAT(P293," ",Q293))</f>
        <v/>
      </c>
      <c r="AT293" s="264" t="str">
        <f t="shared" si="125"/>
        <v>None</v>
      </c>
      <c r="AU293" s="229">
        <f>IF(OR(AM293="Row Not Used",AM293="Controls Only"),0,INDEX(IncentiveRateTable[Incentive Rate],MATCH(AT293,IncentiveRateTable[Incentive Name],0)))</f>
        <v>0</v>
      </c>
      <c r="AV293" s="133" t="str">
        <f>IF(OR(AM293="Row Not Used",AM293="Controls Only"),"None",INDEX(IncentiveRateTable[Incentive Unit],MATCH(AT293,IncentiveRateTable[Incentive Name],0)))</f>
        <v>None</v>
      </c>
      <c r="AW293" s="578">
        <f t="shared" si="136"/>
        <v>0</v>
      </c>
      <c r="AX293" s="264" t="str">
        <f t="shared" si="126"/>
        <v>None</v>
      </c>
      <c r="AY293" s="229">
        <f>IF(OR(AM293="Row Not Used",AM293="Fixtures Only",AM293="Decommissioning"),0,INDEX(IncentiveRateTable[Incentive Rate],MATCH(AX293,IncentiveRateTable[Incentive Name],0)))</f>
        <v>0</v>
      </c>
      <c r="AZ293" s="133" t="str">
        <f>IF(OR(AM293="Row Not Used",AM293="Fixtures Only",AM293="Decommissioning"),"None",INDEX(IncentiveRateTable[Incentive Unit],MATCH(AX293,IncentiveRateTable[Incentive Name],0)))</f>
        <v>None</v>
      </c>
      <c r="BA293" s="465">
        <f t="shared" si="127"/>
        <v>0</v>
      </c>
      <c r="BB293" s="264" t="e" cm="1">
        <f t="array" ref="BB293">INDEX(BallastFactorTable[Commercial BPA Reference Number],MATCH(1,(BallastFactorTable[Fixture Class]=J293)*(BallastFactorTable[Fixture Category]=K293)*(BallastFactorTable[Fixture Sub-category]=L293),0))</f>
        <v>#N/A</v>
      </c>
      <c r="BC293" s="133" t="e" cm="1">
        <f t="array" ref="BC293">INDEX(BallastFactorTable[Industrial BPA Reference Number],MATCH(1,(BallastFactorTable[Fixture Class]=J293)*(BallastFactorTable[Fixture Category]=K293)*(BallastFactorTable[Fixture Sub-category]=L293),0))</f>
        <v>#N/A</v>
      </c>
      <c r="BD293" s="264" t="str">
        <f t="shared" si="128"/>
        <v>Sector is blank</v>
      </c>
      <c r="BE293" s="269" t="str">
        <f>IF(ISBLANK(SectorField),"Sector is blank",IF(AM293="Row Not Used","",IF(OR(R293="No Controls",ISBLANK(R293)),"",INDEX(ControlsBPARefNoTable[Reference Number],MATCH(SectorField,ControlsBPARefNoTable[Sector],0)))))</f>
        <v>Sector is blank</v>
      </c>
      <c r="BF293" s="530" t="str">
        <f t="shared" si="129"/>
        <v/>
      </c>
      <c r="BG293" s="132" t="str">
        <f t="shared" si="130"/>
        <v/>
      </c>
      <c r="BH293" s="531" t="str">
        <f t="shared" si="131"/>
        <v/>
      </c>
      <c r="BI293" s="532"/>
      <c r="BJ293" s="538" t="str">
        <f t="shared" si="137"/>
        <v/>
      </c>
      <c r="BK293" s="539" t="str">
        <f t="shared" si="138"/>
        <v/>
      </c>
      <c r="BL293" s="547" t="str">
        <f t="shared" si="139"/>
        <v/>
      </c>
    </row>
    <row r="294" spans="1:64" x14ac:dyDescent="0.3">
      <c r="A294" s="133">
        <v>287</v>
      </c>
      <c r="B294" s="294"/>
      <c r="C294" s="313"/>
      <c r="D294" s="292"/>
      <c r="E294" s="284"/>
      <c r="F294" s="284"/>
      <c r="G294" s="295"/>
      <c r="H294" s="296"/>
      <c r="I294" s="297"/>
      <c r="J294" s="292"/>
      <c r="K294" s="284"/>
      <c r="L294" s="284"/>
      <c r="M294" s="295"/>
      <c r="N294" s="296"/>
      <c r="O294" s="296"/>
      <c r="P294" s="284"/>
      <c r="Q294" s="298"/>
      <c r="R294" s="292"/>
      <c r="S294" s="299"/>
      <c r="T294" s="300"/>
      <c r="U294" s="317" t="str">
        <f t="shared" si="113"/>
        <v/>
      </c>
      <c r="V294" s="301"/>
      <c r="W294" s="137" t="str">
        <f t="shared" si="114"/>
        <v/>
      </c>
      <c r="X294" s="589" t="str">
        <f t="shared" si="132"/>
        <v/>
      </c>
      <c r="Y294" s="581"/>
      <c r="Z294" s="251" t="str">
        <f t="shared" si="115"/>
        <v/>
      </c>
      <c r="AA294" s="138" t="str">
        <f t="shared" si="140"/>
        <v/>
      </c>
      <c r="AB294" s="243" t="str">
        <f t="shared" si="133"/>
        <v/>
      </c>
      <c r="AC294" s="141" t="str">
        <f t="shared" si="116"/>
        <v/>
      </c>
      <c r="AD294" s="138" t="str">
        <f t="shared" si="134"/>
        <v/>
      </c>
      <c r="AE294" s="243" t="str">
        <f t="shared" si="117"/>
        <v/>
      </c>
      <c r="AF294" s="342" t="str">
        <f>IF(AM294="Row Not Used","",INDEX(SpaceTable[Annual Hours],(MATCH(B294,SpaceTable[Space Name Concatenated Helper],0))))</f>
        <v/>
      </c>
      <c r="AG294" s="205" t="str">
        <f t="shared" si="118"/>
        <v/>
      </c>
      <c r="AH294" s="234" t="str">
        <f t="shared" si="119"/>
        <v/>
      </c>
      <c r="AI294" s="205" t="str">
        <f t="shared" si="120"/>
        <v/>
      </c>
      <c r="AJ294" s="234" t="str">
        <f t="shared" si="121"/>
        <v/>
      </c>
      <c r="AK294" s="144" t="str">
        <f>IF(AM294="Row Not Used","",INDEX(SpaceTable[Row],(MATCH(B294,SpaceTable[Space Name Concatenated Helper],0))))</f>
        <v/>
      </c>
      <c r="AL294" s="238" t="str">
        <f>IF(AM294="Row Not Used","",INDEX(SpaceTable[HVAC Factor],(MATCH(B294,SpaceTable[Space Name Concatenated Helper],0))))</f>
        <v/>
      </c>
      <c r="AM294" s="520" t="str">
        <f t="shared" si="122"/>
        <v>Row Not Used</v>
      </c>
      <c r="AN294" s="512" t="e" cm="1">
        <f t="array" ref="AN294">INDEX(BallastFactorTable[Ballast Factor],MATCH(1,(BallastFactorTable[Fixture Class]=D294)*(BallastFactorTable[Fixture Category]=E294)*(BallastFactorTable[Fixture Sub-category]=F294),0))</f>
        <v>#N/A</v>
      </c>
      <c r="AO294" s="143" t="str">
        <f t="shared" si="135"/>
        <v/>
      </c>
      <c r="AP294" s="501" t="e" cm="1">
        <f t="array" ref="AP294">INDEX(BallastFactorTable[Wattage Range Name],MATCH(1,(BallastFactorTable[Fixture Class]=D294)*(BallastFactorTable[Fixture Category]=E294)*(BallastFactorTable[Fixture Sub-category]=F294),0))</f>
        <v>#N/A</v>
      </c>
      <c r="AQ294" s="515" t="str">
        <f t="shared" ca="1" si="123"/>
        <v>Okay</v>
      </c>
      <c r="AR294" s="512">
        <f t="shared" si="124"/>
        <v>0</v>
      </c>
      <c r="AS294" s="511" t="str">
        <f>IF(OR(Measures!AM294="Row Not Used",Measures!C294="Controls Only",Measures!C294="Decommissioning"),"",_xlfn.CONCAT(P294," ",Q294))</f>
        <v/>
      </c>
      <c r="AT294" s="264" t="str">
        <f t="shared" si="125"/>
        <v>None</v>
      </c>
      <c r="AU294" s="229">
        <f>IF(OR(AM294="Row Not Used",AM294="Controls Only"),0,INDEX(IncentiveRateTable[Incentive Rate],MATCH(AT294,IncentiveRateTable[Incentive Name],0)))</f>
        <v>0</v>
      </c>
      <c r="AV294" s="133" t="str">
        <f>IF(OR(AM294="Row Not Used",AM294="Controls Only"),"None",INDEX(IncentiveRateTable[Incentive Unit],MATCH(AT294,IncentiveRateTable[Incentive Name],0)))</f>
        <v>None</v>
      </c>
      <c r="AW294" s="578">
        <f t="shared" si="136"/>
        <v>0</v>
      </c>
      <c r="AX294" s="264" t="str">
        <f t="shared" si="126"/>
        <v>None</v>
      </c>
      <c r="AY294" s="229">
        <f>IF(OR(AM294="Row Not Used",AM294="Fixtures Only",AM294="Decommissioning"),0,INDEX(IncentiveRateTable[Incentive Rate],MATCH(AX294,IncentiveRateTable[Incentive Name],0)))</f>
        <v>0</v>
      </c>
      <c r="AZ294" s="133" t="str">
        <f>IF(OR(AM294="Row Not Used",AM294="Fixtures Only",AM294="Decommissioning"),"None",INDEX(IncentiveRateTable[Incentive Unit],MATCH(AX294,IncentiveRateTable[Incentive Name],0)))</f>
        <v>None</v>
      </c>
      <c r="BA294" s="465">
        <f t="shared" si="127"/>
        <v>0</v>
      </c>
      <c r="BB294" s="264" t="e" cm="1">
        <f t="array" ref="BB294">INDEX(BallastFactorTable[Commercial BPA Reference Number],MATCH(1,(BallastFactorTable[Fixture Class]=J294)*(BallastFactorTable[Fixture Category]=K294)*(BallastFactorTable[Fixture Sub-category]=L294),0))</f>
        <v>#N/A</v>
      </c>
      <c r="BC294" s="133" t="e" cm="1">
        <f t="array" ref="BC294">INDEX(BallastFactorTable[Industrial BPA Reference Number],MATCH(1,(BallastFactorTable[Fixture Class]=J294)*(BallastFactorTable[Fixture Category]=K294)*(BallastFactorTable[Fixture Sub-category]=L294),0))</f>
        <v>#N/A</v>
      </c>
      <c r="BD294" s="264" t="str">
        <f t="shared" si="128"/>
        <v>Sector is blank</v>
      </c>
      <c r="BE294" s="269" t="str">
        <f>IF(ISBLANK(SectorField),"Sector is blank",IF(AM294="Row Not Used","",IF(OR(R294="No Controls",ISBLANK(R294)),"",INDEX(ControlsBPARefNoTable[Reference Number],MATCH(SectorField,ControlsBPARefNoTable[Sector],0)))))</f>
        <v>Sector is blank</v>
      </c>
      <c r="BF294" s="530" t="str">
        <f t="shared" si="129"/>
        <v/>
      </c>
      <c r="BG294" s="132" t="str">
        <f t="shared" si="130"/>
        <v/>
      </c>
      <c r="BH294" s="531" t="str">
        <f t="shared" si="131"/>
        <v/>
      </c>
      <c r="BI294" s="532"/>
      <c r="BJ294" s="538" t="str">
        <f t="shared" si="137"/>
        <v/>
      </c>
      <c r="BK294" s="539" t="str">
        <f t="shared" si="138"/>
        <v/>
      </c>
      <c r="BL294" s="547" t="str">
        <f t="shared" si="139"/>
        <v/>
      </c>
    </row>
    <row r="295" spans="1:64" x14ac:dyDescent="0.3">
      <c r="A295" s="133">
        <v>288</v>
      </c>
      <c r="B295" s="294"/>
      <c r="C295" s="313"/>
      <c r="D295" s="292"/>
      <c r="E295" s="284"/>
      <c r="F295" s="284"/>
      <c r="G295" s="295"/>
      <c r="H295" s="296"/>
      <c r="I295" s="297"/>
      <c r="J295" s="292"/>
      <c r="K295" s="284"/>
      <c r="L295" s="284"/>
      <c r="M295" s="295"/>
      <c r="N295" s="296"/>
      <c r="O295" s="296"/>
      <c r="P295" s="284"/>
      <c r="Q295" s="298"/>
      <c r="R295" s="292"/>
      <c r="S295" s="299"/>
      <c r="T295" s="300"/>
      <c r="U295" s="317" t="str">
        <f t="shared" si="113"/>
        <v/>
      </c>
      <c r="V295" s="301"/>
      <c r="W295" s="136" t="str">
        <f t="shared" si="114"/>
        <v/>
      </c>
      <c r="X295" s="588" t="str">
        <f t="shared" si="132"/>
        <v/>
      </c>
      <c r="Y295" s="580"/>
      <c r="Z295" s="251" t="str">
        <f t="shared" si="115"/>
        <v/>
      </c>
      <c r="AA295" s="138" t="str">
        <f t="shared" si="140"/>
        <v/>
      </c>
      <c r="AB295" s="243" t="str">
        <f t="shared" si="133"/>
        <v/>
      </c>
      <c r="AC295" s="141" t="str">
        <f t="shared" si="116"/>
        <v/>
      </c>
      <c r="AD295" s="138" t="str">
        <f t="shared" si="134"/>
        <v/>
      </c>
      <c r="AE295" s="243" t="str">
        <f t="shared" si="117"/>
        <v/>
      </c>
      <c r="AF295" s="342" t="str">
        <f>IF(AM295="Row Not Used","",INDEX(SpaceTable[Annual Hours],(MATCH(B295,SpaceTable[Space Name Concatenated Helper],0))))</f>
        <v/>
      </c>
      <c r="AG295" s="205" t="str">
        <f t="shared" si="118"/>
        <v/>
      </c>
      <c r="AH295" s="234" t="str">
        <f t="shared" si="119"/>
        <v/>
      </c>
      <c r="AI295" s="205" t="str">
        <f t="shared" si="120"/>
        <v/>
      </c>
      <c r="AJ295" s="234" t="str">
        <f t="shared" si="121"/>
        <v/>
      </c>
      <c r="AK295" s="144" t="str">
        <f>IF(AM295="Row Not Used","",INDEX(SpaceTable[Row],(MATCH(B295,SpaceTable[Space Name Concatenated Helper],0))))</f>
        <v/>
      </c>
      <c r="AL295" s="238" t="str">
        <f>IF(AM295="Row Not Used","",INDEX(SpaceTable[HVAC Factor],(MATCH(B295,SpaceTable[Space Name Concatenated Helper],0))))</f>
        <v/>
      </c>
      <c r="AM295" s="520" t="str">
        <f t="shared" si="122"/>
        <v>Row Not Used</v>
      </c>
      <c r="AN295" s="512" t="e" cm="1">
        <f t="array" ref="AN295">INDEX(BallastFactorTable[Ballast Factor],MATCH(1,(BallastFactorTable[Fixture Class]=D295)*(BallastFactorTable[Fixture Category]=E295)*(BallastFactorTable[Fixture Sub-category]=F295),0))</f>
        <v>#N/A</v>
      </c>
      <c r="AO295" s="143" t="str">
        <f t="shared" si="135"/>
        <v/>
      </c>
      <c r="AP295" s="501" t="e" cm="1">
        <f t="array" ref="AP295">INDEX(BallastFactorTable[Wattage Range Name],MATCH(1,(BallastFactorTable[Fixture Class]=D295)*(BallastFactorTable[Fixture Category]=E295)*(BallastFactorTable[Fixture Sub-category]=F295),0))</f>
        <v>#N/A</v>
      </c>
      <c r="AQ295" s="515" t="str">
        <f t="shared" ca="1" si="123"/>
        <v>Okay</v>
      </c>
      <c r="AR295" s="512">
        <f t="shared" si="124"/>
        <v>0</v>
      </c>
      <c r="AS295" s="511" t="str">
        <f>IF(OR(Measures!AM295="Row Not Used",Measures!C295="Controls Only",Measures!C295="Decommissioning"),"",_xlfn.CONCAT(P295," ",Q295))</f>
        <v/>
      </c>
      <c r="AT295" s="264" t="str">
        <f t="shared" si="125"/>
        <v>None</v>
      </c>
      <c r="AU295" s="229">
        <f>IF(OR(AM295="Row Not Used",AM295="Controls Only"),0,INDEX(IncentiveRateTable[Incentive Rate],MATCH(AT295,IncentiveRateTable[Incentive Name],0)))</f>
        <v>0</v>
      </c>
      <c r="AV295" s="133" t="str">
        <f>IF(OR(AM295="Row Not Used",AM295="Controls Only"),"None",INDEX(IncentiveRateTable[Incentive Unit],MATCH(AT295,IncentiveRateTable[Incentive Name],0)))</f>
        <v>None</v>
      </c>
      <c r="AW295" s="578">
        <f t="shared" si="136"/>
        <v>0</v>
      </c>
      <c r="AX295" s="264" t="str">
        <f t="shared" si="126"/>
        <v>None</v>
      </c>
      <c r="AY295" s="229">
        <f>IF(OR(AM295="Row Not Used",AM295="Fixtures Only",AM295="Decommissioning"),0,INDEX(IncentiveRateTable[Incentive Rate],MATCH(AX295,IncentiveRateTable[Incentive Name],0)))</f>
        <v>0</v>
      </c>
      <c r="AZ295" s="133" t="str">
        <f>IF(OR(AM295="Row Not Used",AM295="Fixtures Only",AM295="Decommissioning"),"None",INDEX(IncentiveRateTable[Incentive Unit],MATCH(AX295,IncentiveRateTable[Incentive Name],0)))</f>
        <v>None</v>
      </c>
      <c r="BA295" s="465">
        <f t="shared" si="127"/>
        <v>0</v>
      </c>
      <c r="BB295" s="264" t="e" cm="1">
        <f t="array" ref="BB295">INDEX(BallastFactorTable[Commercial BPA Reference Number],MATCH(1,(BallastFactorTable[Fixture Class]=J295)*(BallastFactorTable[Fixture Category]=K295)*(BallastFactorTable[Fixture Sub-category]=L295),0))</f>
        <v>#N/A</v>
      </c>
      <c r="BC295" s="133" t="e" cm="1">
        <f t="array" ref="BC295">INDEX(BallastFactorTable[Industrial BPA Reference Number],MATCH(1,(BallastFactorTable[Fixture Class]=J295)*(BallastFactorTable[Fixture Category]=K295)*(BallastFactorTable[Fixture Sub-category]=L295),0))</f>
        <v>#N/A</v>
      </c>
      <c r="BD295" s="264" t="str">
        <f t="shared" si="128"/>
        <v>Sector is blank</v>
      </c>
      <c r="BE295" s="269" t="str">
        <f>IF(ISBLANK(SectorField),"Sector is blank",IF(AM295="Row Not Used","",IF(OR(R295="No Controls",ISBLANK(R295)),"",INDEX(ControlsBPARefNoTable[Reference Number],MATCH(SectorField,ControlsBPARefNoTable[Sector],0)))))</f>
        <v>Sector is blank</v>
      </c>
      <c r="BF295" s="530" t="str">
        <f t="shared" si="129"/>
        <v/>
      </c>
      <c r="BG295" s="132" t="str">
        <f t="shared" si="130"/>
        <v/>
      </c>
      <c r="BH295" s="531" t="str">
        <f t="shared" si="131"/>
        <v/>
      </c>
      <c r="BI295" s="532"/>
      <c r="BJ295" s="538" t="str">
        <f t="shared" si="137"/>
        <v/>
      </c>
      <c r="BK295" s="539" t="str">
        <f t="shared" si="138"/>
        <v/>
      </c>
      <c r="BL295" s="547" t="str">
        <f t="shared" si="139"/>
        <v/>
      </c>
    </row>
    <row r="296" spans="1:64" x14ac:dyDescent="0.3">
      <c r="A296" s="133">
        <v>289</v>
      </c>
      <c r="B296" s="294"/>
      <c r="C296" s="313"/>
      <c r="D296" s="292"/>
      <c r="E296" s="284"/>
      <c r="F296" s="284"/>
      <c r="G296" s="295"/>
      <c r="H296" s="296"/>
      <c r="I296" s="297"/>
      <c r="J296" s="292"/>
      <c r="K296" s="284"/>
      <c r="L296" s="284"/>
      <c r="M296" s="295"/>
      <c r="N296" s="296"/>
      <c r="O296" s="296"/>
      <c r="P296" s="284"/>
      <c r="Q296" s="298"/>
      <c r="R296" s="292"/>
      <c r="S296" s="299"/>
      <c r="T296" s="300"/>
      <c r="U296" s="317" t="str">
        <f t="shared" si="113"/>
        <v/>
      </c>
      <c r="V296" s="301"/>
      <c r="W296" s="137" t="str">
        <f t="shared" si="114"/>
        <v/>
      </c>
      <c r="X296" s="589" t="str">
        <f t="shared" si="132"/>
        <v/>
      </c>
      <c r="Y296" s="581"/>
      <c r="Z296" s="251" t="str">
        <f t="shared" si="115"/>
        <v/>
      </c>
      <c r="AA296" s="138" t="str">
        <f t="shared" si="140"/>
        <v/>
      </c>
      <c r="AB296" s="243" t="str">
        <f t="shared" si="133"/>
        <v/>
      </c>
      <c r="AC296" s="141" t="str">
        <f t="shared" si="116"/>
        <v/>
      </c>
      <c r="AD296" s="138" t="str">
        <f t="shared" si="134"/>
        <v/>
      </c>
      <c r="AE296" s="243" t="str">
        <f t="shared" si="117"/>
        <v/>
      </c>
      <c r="AF296" s="342" t="str">
        <f>IF(AM296="Row Not Used","",INDEX(SpaceTable[Annual Hours],(MATCH(B296,SpaceTable[Space Name Concatenated Helper],0))))</f>
        <v/>
      </c>
      <c r="AG296" s="205" t="str">
        <f t="shared" si="118"/>
        <v/>
      </c>
      <c r="AH296" s="234" t="str">
        <f t="shared" si="119"/>
        <v/>
      </c>
      <c r="AI296" s="205" t="str">
        <f t="shared" si="120"/>
        <v/>
      </c>
      <c r="AJ296" s="234" t="str">
        <f t="shared" si="121"/>
        <v/>
      </c>
      <c r="AK296" s="144" t="str">
        <f>IF(AM296="Row Not Used","",INDEX(SpaceTable[Row],(MATCH(B296,SpaceTable[Space Name Concatenated Helper],0))))</f>
        <v/>
      </c>
      <c r="AL296" s="238" t="str">
        <f>IF(AM296="Row Not Used","",INDEX(SpaceTable[HVAC Factor],(MATCH(B296,SpaceTable[Space Name Concatenated Helper],0))))</f>
        <v/>
      </c>
      <c r="AM296" s="520" t="str">
        <f t="shared" si="122"/>
        <v>Row Not Used</v>
      </c>
      <c r="AN296" s="512" t="e" cm="1">
        <f t="array" ref="AN296">INDEX(BallastFactorTable[Ballast Factor],MATCH(1,(BallastFactorTable[Fixture Class]=D296)*(BallastFactorTable[Fixture Category]=E296)*(BallastFactorTable[Fixture Sub-category]=F296),0))</f>
        <v>#N/A</v>
      </c>
      <c r="AO296" s="143" t="str">
        <f t="shared" si="135"/>
        <v/>
      </c>
      <c r="AP296" s="501" t="e" cm="1">
        <f t="array" ref="AP296">INDEX(BallastFactorTable[Wattage Range Name],MATCH(1,(BallastFactorTable[Fixture Class]=D296)*(BallastFactorTable[Fixture Category]=E296)*(BallastFactorTable[Fixture Sub-category]=F296),0))</f>
        <v>#N/A</v>
      </c>
      <c r="AQ296" s="515" t="str">
        <f t="shared" ca="1" si="123"/>
        <v>Okay</v>
      </c>
      <c r="AR296" s="512">
        <f t="shared" si="124"/>
        <v>0</v>
      </c>
      <c r="AS296" s="511" t="str">
        <f>IF(OR(Measures!AM296="Row Not Used",Measures!C296="Controls Only",Measures!C296="Decommissioning"),"",_xlfn.CONCAT(P296," ",Q296))</f>
        <v/>
      </c>
      <c r="AT296" s="264" t="str">
        <f t="shared" si="125"/>
        <v>None</v>
      </c>
      <c r="AU296" s="229">
        <f>IF(OR(AM296="Row Not Used",AM296="Controls Only"),0,INDEX(IncentiveRateTable[Incentive Rate],MATCH(AT296,IncentiveRateTable[Incentive Name],0)))</f>
        <v>0</v>
      </c>
      <c r="AV296" s="133" t="str">
        <f>IF(OR(AM296="Row Not Used",AM296="Controls Only"),"None",INDEX(IncentiveRateTable[Incentive Unit],MATCH(AT296,IncentiveRateTable[Incentive Name],0)))</f>
        <v>None</v>
      </c>
      <c r="AW296" s="578">
        <f t="shared" si="136"/>
        <v>0</v>
      </c>
      <c r="AX296" s="264" t="str">
        <f t="shared" si="126"/>
        <v>None</v>
      </c>
      <c r="AY296" s="229">
        <f>IF(OR(AM296="Row Not Used",AM296="Fixtures Only",AM296="Decommissioning"),0,INDEX(IncentiveRateTable[Incentive Rate],MATCH(AX296,IncentiveRateTable[Incentive Name],0)))</f>
        <v>0</v>
      </c>
      <c r="AZ296" s="133" t="str">
        <f>IF(OR(AM296="Row Not Used",AM296="Fixtures Only",AM296="Decommissioning"),"None",INDEX(IncentiveRateTable[Incentive Unit],MATCH(AX296,IncentiveRateTable[Incentive Name],0)))</f>
        <v>None</v>
      </c>
      <c r="BA296" s="465">
        <f t="shared" si="127"/>
        <v>0</v>
      </c>
      <c r="BB296" s="264" t="e" cm="1">
        <f t="array" ref="BB296">INDEX(BallastFactorTable[Commercial BPA Reference Number],MATCH(1,(BallastFactorTable[Fixture Class]=J296)*(BallastFactorTable[Fixture Category]=K296)*(BallastFactorTable[Fixture Sub-category]=L296),0))</f>
        <v>#N/A</v>
      </c>
      <c r="BC296" s="133" t="e" cm="1">
        <f t="array" ref="BC296">INDEX(BallastFactorTable[Industrial BPA Reference Number],MATCH(1,(BallastFactorTable[Fixture Class]=J296)*(BallastFactorTable[Fixture Category]=K296)*(BallastFactorTable[Fixture Sub-category]=L296),0))</f>
        <v>#N/A</v>
      </c>
      <c r="BD296" s="264" t="str">
        <f t="shared" si="128"/>
        <v>Sector is blank</v>
      </c>
      <c r="BE296" s="269" t="str">
        <f>IF(ISBLANK(SectorField),"Sector is blank",IF(AM296="Row Not Used","",IF(OR(R296="No Controls",ISBLANK(R296)),"",INDEX(ControlsBPARefNoTable[Reference Number],MATCH(SectorField,ControlsBPARefNoTable[Sector],0)))))</f>
        <v>Sector is blank</v>
      </c>
      <c r="BF296" s="530" t="str">
        <f t="shared" si="129"/>
        <v/>
      </c>
      <c r="BG296" s="132" t="str">
        <f t="shared" si="130"/>
        <v/>
      </c>
      <c r="BH296" s="531" t="str">
        <f t="shared" si="131"/>
        <v/>
      </c>
      <c r="BI296" s="532"/>
      <c r="BJ296" s="538" t="str">
        <f t="shared" si="137"/>
        <v/>
      </c>
      <c r="BK296" s="539" t="str">
        <f t="shared" si="138"/>
        <v/>
      </c>
      <c r="BL296" s="547" t="str">
        <f t="shared" si="139"/>
        <v/>
      </c>
    </row>
    <row r="297" spans="1:64" x14ac:dyDescent="0.3">
      <c r="A297" s="133">
        <v>290</v>
      </c>
      <c r="B297" s="294"/>
      <c r="C297" s="313"/>
      <c r="D297" s="292"/>
      <c r="E297" s="284"/>
      <c r="F297" s="284"/>
      <c r="G297" s="295"/>
      <c r="H297" s="296"/>
      <c r="I297" s="297"/>
      <c r="J297" s="292"/>
      <c r="K297" s="284"/>
      <c r="L297" s="284"/>
      <c r="M297" s="295"/>
      <c r="N297" s="296"/>
      <c r="O297" s="296"/>
      <c r="P297" s="284"/>
      <c r="Q297" s="298"/>
      <c r="R297" s="292"/>
      <c r="S297" s="299"/>
      <c r="T297" s="300"/>
      <c r="U297" s="317" t="str">
        <f t="shared" si="113"/>
        <v/>
      </c>
      <c r="V297" s="301"/>
      <c r="W297" s="136" t="str">
        <f t="shared" si="114"/>
        <v/>
      </c>
      <c r="X297" s="588" t="str">
        <f t="shared" si="132"/>
        <v/>
      </c>
      <c r="Y297" s="580"/>
      <c r="Z297" s="251" t="str">
        <f t="shared" si="115"/>
        <v/>
      </c>
      <c r="AA297" s="138" t="str">
        <f t="shared" si="140"/>
        <v/>
      </c>
      <c r="AB297" s="243" t="str">
        <f t="shared" si="133"/>
        <v/>
      </c>
      <c r="AC297" s="141" t="str">
        <f t="shared" si="116"/>
        <v/>
      </c>
      <c r="AD297" s="138" t="str">
        <f t="shared" si="134"/>
        <v/>
      </c>
      <c r="AE297" s="243" t="str">
        <f t="shared" si="117"/>
        <v/>
      </c>
      <c r="AF297" s="342" t="str">
        <f>IF(AM297="Row Not Used","",INDEX(SpaceTable[Annual Hours],(MATCH(B297,SpaceTable[Space Name Concatenated Helper],0))))</f>
        <v/>
      </c>
      <c r="AG297" s="205" t="str">
        <f t="shared" si="118"/>
        <v/>
      </c>
      <c r="AH297" s="234" t="str">
        <f t="shared" si="119"/>
        <v/>
      </c>
      <c r="AI297" s="205" t="str">
        <f t="shared" si="120"/>
        <v/>
      </c>
      <c r="AJ297" s="234" t="str">
        <f t="shared" si="121"/>
        <v/>
      </c>
      <c r="AK297" s="144" t="str">
        <f>IF(AM297="Row Not Used","",INDEX(SpaceTable[Row],(MATCH(B297,SpaceTable[Space Name Concatenated Helper],0))))</f>
        <v/>
      </c>
      <c r="AL297" s="238" t="str">
        <f>IF(AM297="Row Not Used","",INDEX(SpaceTable[HVAC Factor],(MATCH(B297,SpaceTable[Space Name Concatenated Helper],0))))</f>
        <v/>
      </c>
      <c r="AM297" s="520" t="str">
        <f t="shared" si="122"/>
        <v>Row Not Used</v>
      </c>
      <c r="AN297" s="512" t="e" cm="1">
        <f t="array" ref="AN297">INDEX(BallastFactorTable[Ballast Factor],MATCH(1,(BallastFactorTable[Fixture Class]=D297)*(BallastFactorTable[Fixture Category]=E297)*(BallastFactorTable[Fixture Sub-category]=F297),0))</f>
        <v>#N/A</v>
      </c>
      <c r="AO297" s="143" t="str">
        <f t="shared" si="135"/>
        <v/>
      </c>
      <c r="AP297" s="501" t="e" cm="1">
        <f t="array" ref="AP297">INDEX(BallastFactorTable[Wattage Range Name],MATCH(1,(BallastFactorTable[Fixture Class]=D297)*(BallastFactorTable[Fixture Category]=E297)*(BallastFactorTable[Fixture Sub-category]=F297),0))</f>
        <v>#N/A</v>
      </c>
      <c r="AQ297" s="515" t="str">
        <f t="shared" ca="1" si="123"/>
        <v>Okay</v>
      </c>
      <c r="AR297" s="512">
        <f t="shared" si="124"/>
        <v>0</v>
      </c>
      <c r="AS297" s="511" t="str">
        <f>IF(OR(Measures!AM297="Row Not Used",Measures!C297="Controls Only",Measures!C297="Decommissioning"),"",_xlfn.CONCAT(P297," ",Q297))</f>
        <v/>
      </c>
      <c r="AT297" s="264" t="str">
        <f t="shared" si="125"/>
        <v>None</v>
      </c>
      <c r="AU297" s="229">
        <f>IF(OR(AM297="Row Not Used",AM297="Controls Only"),0,INDEX(IncentiveRateTable[Incentive Rate],MATCH(AT297,IncentiveRateTable[Incentive Name],0)))</f>
        <v>0</v>
      </c>
      <c r="AV297" s="133" t="str">
        <f>IF(OR(AM297="Row Not Used",AM297="Controls Only"),"None",INDEX(IncentiveRateTable[Incentive Unit],MATCH(AT297,IncentiveRateTable[Incentive Name],0)))</f>
        <v>None</v>
      </c>
      <c r="AW297" s="578">
        <f t="shared" si="136"/>
        <v>0</v>
      </c>
      <c r="AX297" s="264" t="str">
        <f t="shared" si="126"/>
        <v>None</v>
      </c>
      <c r="AY297" s="229">
        <f>IF(OR(AM297="Row Not Used",AM297="Fixtures Only",AM297="Decommissioning"),0,INDEX(IncentiveRateTable[Incentive Rate],MATCH(AX297,IncentiveRateTable[Incentive Name],0)))</f>
        <v>0</v>
      </c>
      <c r="AZ297" s="133" t="str">
        <f>IF(OR(AM297="Row Not Used",AM297="Fixtures Only",AM297="Decommissioning"),"None",INDEX(IncentiveRateTable[Incentive Unit],MATCH(AX297,IncentiveRateTable[Incentive Name],0)))</f>
        <v>None</v>
      </c>
      <c r="BA297" s="465">
        <f t="shared" si="127"/>
        <v>0</v>
      </c>
      <c r="BB297" s="264" t="e" cm="1">
        <f t="array" ref="BB297">INDEX(BallastFactorTable[Commercial BPA Reference Number],MATCH(1,(BallastFactorTable[Fixture Class]=J297)*(BallastFactorTable[Fixture Category]=K297)*(BallastFactorTable[Fixture Sub-category]=L297),0))</f>
        <v>#N/A</v>
      </c>
      <c r="BC297" s="133" t="e" cm="1">
        <f t="array" ref="BC297">INDEX(BallastFactorTable[Industrial BPA Reference Number],MATCH(1,(BallastFactorTable[Fixture Class]=J297)*(BallastFactorTable[Fixture Category]=K297)*(BallastFactorTable[Fixture Sub-category]=L297),0))</f>
        <v>#N/A</v>
      </c>
      <c r="BD297" s="264" t="str">
        <f t="shared" si="128"/>
        <v>Sector is blank</v>
      </c>
      <c r="BE297" s="269" t="str">
        <f>IF(ISBLANK(SectorField),"Sector is blank",IF(AM297="Row Not Used","",IF(OR(R297="No Controls",ISBLANK(R297)),"",INDEX(ControlsBPARefNoTable[Reference Number],MATCH(SectorField,ControlsBPARefNoTable[Sector],0)))))</f>
        <v>Sector is blank</v>
      </c>
      <c r="BF297" s="530" t="str">
        <f t="shared" si="129"/>
        <v/>
      </c>
      <c r="BG297" s="132" t="str">
        <f t="shared" si="130"/>
        <v/>
      </c>
      <c r="BH297" s="531" t="str">
        <f t="shared" si="131"/>
        <v/>
      </c>
      <c r="BI297" s="532"/>
      <c r="BJ297" s="538" t="str">
        <f t="shared" si="137"/>
        <v/>
      </c>
      <c r="BK297" s="539" t="str">
        <f t="shared" si="138"/>
        <v/>
      </c>
      <c r="BL297" s="547" t="str">
        <f t="shared" si="139"/>
        <v/>
      </c>
    </row>
    <row r="298" spans="1:64" x14ac:dyDescent="0.3">
      <c r="A298" s="133">
        <v>291</v>
      </c>
      <c r="B298" s="294"/>
      <c r="C298" s="313"/>
      <c r="D298" s="292"/>
      <c r="E298" s="284"/>
      <c r="F298" s="284"/>
      <c r="G298" s="295"/>
      <c r="H298" s="296"/>
      <c r="I298" s="297"/>
      <c r="J298" s="292"/>
      <c r="K298" s="284"/>
      <c r="L298" s="284"/>
      <c r="M298" s="295"/>
      <c r="N298" s="296"/>
      <c r="O298" s="296"/>
      <c r="P298" s="284"/>
      <c r="Q298" s="298"/>
      <c r="R298" s="292"/>
      <c r="S298" s="299"/>
      <c r="T298" s="300"/>
      <c r="U298" s="317" t="str">
        <f t="shared" si="113"/>
        <v/>
      </c>
      <c r="V298" s="301"/>
      <c r="W298" s="137" t="str">
        <f t="shared" si="114"/>
        <v/>
      </c>
      <c r="X298" s="589" t="str">
        <f t="shared" si="132"/>
        <v/>
      </c>
      <c r="Y298" s="581"/>
      <c r="Z298" s="251" t="str">
        <f t="shared" si="115"/>
        <v/>
      </c>
      <c r="AA298" s="138" t="str">
        <f t="shared" si="140"/>
        <v/>
      </c>
      <c r="AB298" s="243" t="str">
        <f t="shared" si="133"/>
        <v/>
      </c>
      <c r="AC298" s="141" t="str">
        <f t="shared" si="116"/>
        <v/>
      </c>
      <c r="AD298" s="138" t="str">
        <f t="shared" si="134"/>
        <v/>
      </c>
      <c r="AE298" s="243" t="str">
        <f t="shared" si="117"/>
        <v/>
      </c>
      <c r="AF298" s="342" t="str">
        <f>IF(AM298="Row Not Used","",INDEX(SpaceTable[Annual Hours],(MATCH(B298,SpaceTable[Space Name Concatenated Helper],0))))</f>
        <v/>
      </c>
      <c r="AG298" s="205" t="str">
        <f t="shared" si="118"/>
        <v/>
      </c>
      <c r="AH298" s="234" t="str">
        <f t="shared" si="119"/>
        <v/>
      </c>
      <c r="AI298" s="205" t="str">
        <f t="shared" si="120"/>
        <v/>
      </c>
      <c r="AJ298" s="234" t="str">
        <f t="shared" si="121"/>
        <v/>
      </c>
      <c r="AK298" s="144" t="str">
        <f>IF(AM298="Row Not Used","",INDEX(SpaceTable[Row],(MATCH(B298,SpaceTable[Space Name Concatenated Helper],0))))</f>
        <v/>
      </c>
      <c r="AL298" s="238" t="str">
        <f>IF(AM298="Row Not Used","",INDEX(SpaceTable[HVAC Factor],(MATCH(B298,SpaceTable[Space Name Concatenated Helper],0))))</f>
        <v/>
      </c>
      <c r="AM298" s="520" t="str">
        <f t="shared" si="122"/>
        <v>Row Not Used</v>
      </c>
      <c r="AN298" s="512" t="e" cm="1">
        <f t="array" ref="AN298">INDEX(BallastFactorTable[Ballast Factor],MATCH(1,(BallastFactorTable[Fixture Class]=D298)*(BallastFactorTable[Fixture Category]=E298)*(BallastFactorTable[Fixture Sub-category]=F298),0))</f>
        <v>#N/A</v>
      </c>
      <c r="AO298" s="143" t="str">
        <f t="shared" si="135"/>
        <v/>
      </c>
      <c r="AP298" s="501" t="e" cm="1">
        <f t="array" ref="AP298">INDEX(BallastFactorTable[Wattage Range Name],MATCH(1,(BallastFactorTable[Fixture Class]=D298)*(BallastFactorTable[Fixture Category]=E298)*(BallastFactorTable[Fixture Sub-category]=F298),0))</f>
        <v>#N/A</v>
      </c>
      <c r="AQ298" s="515" t="str">
        <f t="shared" ca="1" si="123"/>
        <v>Okay</v>
      </c>
      <c r="AR298" s="512">
        <f t="shared" si="124"/>
        <v>0</v>
      </c>
      <c r="AS298" s="511" t="str">
        <f>IF(OR(Measures!AM298="Row Not Used",Measures!C298="Controls Only",Measures!C298="Decommissioning"),"",_xlfn.CONCAT(P298," ",Q298))</f>
        <v/>
      </c>
      <c r="AT298" s="264" t="str">
        <f t="shared" si="125"/>
        <v>None</v>
      </c>
      <c r="AU298" s="229">
        <f>IF(OR(AM298="Row Not Used",AM298="Controls Only"),0,INDEX(IncentiveRateTable[Incentive Rate],MATCH(AT298,IncentiveRateTable[Incentive Name],0)))</f>
        <v>0</v>
      </c>
      <c r="AV298" s="133" t="str">
        <f>IF(OR(AM298="Row Not Used",AM298="Controls Only"),"None",INDEX(IncentiveRateTable[Incentive Unit],MATCH(AT298,IncentiveRateTable[Incentive Name],0)))</f>
        <v>None</v>
      </c>
      <c r="AW298" s="578">
        <f t="shared" si="136"/>
        <v>0</v>
      </c>
      <c r="AX298" s="264" t="str">
        <f t="shared" si="126"/>
        <v>None</v>
      </c>
      <c r="AY298" s="229">
        <f>IF(OR(AM298="Row Not Used",AM298="Fixtures Only",AM298="Decommissioning"),0,INDEX(IncentiveRateTable[Incentive Rate],MATCH(AX298,IncentiveRateTable[Incentive Name],0)))</f>
        <v>0</v>
      </c>
      <c r="AZ298" s="133" t="str">
        <f>IF(OR(AM298="Row Not Used",AM298="Fixtures Only",AM298="Decommissioning"),"None",INDEX(IncentiveRateTable[Incentive Unit],MATCH(AX298,IncentiveRateTable[Incentive Name],0)))</f>
        <v>None</v>
      </c>
      <c r="BA298" s="465">
        <f t="shared" si="127"/>
        <v>0</v>
      </c>
      <c r="BB298" s="264" t="e" cm="1">
        <f t="array" ref="BB298">INDEX(BallastFactorTable[Commercial BPA Reference Number],MATCH(1,(BallastFactorTable[Fixture Class]=J298)*(BallastFactorTable[Fixture Category]=K298)*(BallastFactorTable[Fixture Sub-category]=L298),0))</f>
        <v>#N/A</v>
      </c>
      <c r="BC298" s="133" t="e" cm="1">
        <f t="array" ref="BC298">INDEX(BallastFactorTable[Industrial BPA Reference Number],MATCH(1,(BallastFactorTable[Fixture Class]=J298)*(BallastFactorTable[Fixture Category]=K298)*(BallastFactorTable[Fixture Sub-category]=L298),0))</f>
        <v>#N/A</v>
      </c>
      <c r="BD298" s="264" t="str">
        <f t="shared" si="128"/>
        <v>Sector is blank</v>
      </c>
      <c r="BE298" s="269" t="str">
        <f>IF(ISBLANK(SectorField),"Sector is blank",IF(AM298="Row Not Used","",IF(OR(R298="No Controls",ISBLANK(R298)),"",INDEX(ControlsBPARefNoTable[Reference Number],MATCH(SectorField,ControlsBPARefNoTable[Sector],0)))))</f>
        <v>Sector is blank</v>
      </c>
      <c r="BF298" s="530" t="str">
        <f t="shared" si="129"/>
        <v/>
      </c>
      <c r="BG298" s="132" t="str">
        <f t="shared" si="130"/>
        <v/>
      </c>
      <c r="BH298" s="531" t="str">
        <f t="shared" si="131"/>
        <v/>
      </c>
      <c r="BI298" s="532"/>
      <c r="BJ298" s="538" t="str">
        <f t="shared" si="137"/>
        <v/>
      </c>
      <c r="BK298" s="539" t="str">
        <f t="shared" si="138"/>
        <v/>
      </c>
      <c r="BL298" s="547" t="str">
        <f t="shared" si="139"/>
        <v/>
      </c>
    </row>
    <row r="299" spans="1:64" x14ac:dyDescent="0.3">
      <c r="A299" s="133">
        <v>292</v>
      </c>
      <c r="B299" s="294"/>
      <c r="C299" s="313"/>
      <c r="D299" s="292"/>
      <c r="E299" s="284"/>
      <c r="F299" s="284"/>
      <c r="G299" s="295"/>
      <c r="H299" s="296"/>
      <c r="I299" s="297"/>
      <c r="J299" s="292"/>
      <c r="K299" s="284"/>
      <c r="L299" s="284"/>
      <c r="M299" s="295"/>
      <c r="N299" s="296"/>
      <c r="O299" s="296"/>
      <c r="P299" s="284"/>
      <c r="Q299" s="298"/>
      <c r="R299" s="292"/>
      <c r="S299" s="299"/>
      <c r="T299" s="300"/>
      <c r="U299" s="317" t="str">
        <f t="shared" si="113"/>
        <v/>
      </c>
      <c r="V299" s="301"/>
      <c r="W299" s="136" t="str">
        <f t="shared" si="114"/>
        <v/>
      </c>
      <c r="X299" s="588" t="str">
        <f t="shared" si="132"/>
        <v/>
      </c>
      <c r="Y299" s="580"/>
      <c r="Z299" s="251" t="str">
        <f t="shared" si="115"/>
        <v/>
      </c>
      <c r="AA299" s="138" t="str">
        <f t="shared" si="140"/>
        <v/>
      </c>
      <c r="AB299" s="243" t="str">
        <f t="shared" si="133"/>
        <v/>
      </c>
      <c r="AC299" s="141" t="str">
        <f t="shared" si="116"/>
        <v/>
      </c>
      <c r="AD299" s="138" t="str">
        <f t="shared" si="134"/>
        <v/>
      </c>
      <c r="AE299" s="243" t="str">
        <f t="shared" si="117"/>
        <v/>
      </c>
      <c r="AF299" s="342" t="str">
        <f>IF(AM299="Row Not Used","",INDEX(SpaceTable[Annual Hours],(MATCH(B299,SpaceTable[Space Name Concatenated Helper],0))))</f>
        <v/>
      </c>
      <c r="AG299" s="205" t="str">
        <f t="shared" si="118"/>
        <v/>
      </c>
      <c r="AH299" s="234" t="str">
        <f t="shared" si="119"/>
        <v/>
      </c>
      <c r="AI299" s="205" t="str">
        <f t="shared" si="120"/>
        <v/>
      </c>
      <c r="AJ299" s="234" t="str">
        <f t="shared" si="121"/>
        <v/>
      </c>
      <c r="AK299" s="144" t="str">
        <f>IF(AM299="Row Not Used","",INDEX(SpaceTable[Row],(MATCH(B299,SpaceTable[Space Name Concatenated Helper],0))))</f>
        <v/>
      </c>
      <c r="AL299" s="238" t="str">
        <f>IF(AM299="Row Not Used","",INDEX(SpaceTable[HVAC Factor],(MATCH(B299,SpaceTable[Space Name Concatenated Helper],0))))</f>
        <v/>
      </c>
      <c r="AM299" s="520" t="str">
        <f t="shared" si="122"/>
        <v>Row Not Used</v>
      </c>
      <c r="AN299" s="512" t="e" cm="1">
        <f t="array" ref="AN299">INDEX(BallastFactorTable[Ballast Factor],MATCH(1,(BallastFactorTable[Fixture Class]=D299)*(BallastFactorTable[Fixture Category]=E299)*(BallastFactorTable[Fixture Sub-category]=F299),0))</f>
        <v>#N/A</v>
      </c>
      <c r="AO299" s="143" t="str">
        <f t="shared" si="135"/>
        <v/>
      </c>
      <c r="AP299" s="501" t="e" cm="1">
        <f t="array" ref="AP299">INDEX(BallastFactorTable[Wattage Range Name],MATCH(1,(BallastFactorTable[Fixture Class]=D299)*(BallastFactorTable[Fixture Category]=E299)*(BallastFactorTable[Fixture Sub-category]=F299),0))</f>
        <v>#N/A</v>
      </c>
      <c r="AQ299" s="515" t="str">
        <f t="shared" ca="1" si="123"/>
        <v>Okay</v>
      </c>
      <c r="AR299" s="512">
        <f t="shared" si="124"/>
        <v>0</v>
      </c>
      <c r="AS299" s="511" t="str">
        <f>IF(OR(Measures!AM299="Row Not Used",Measures!C299="Controls Only",Measures!C299="Decommissioning"),"",_xlfn.CONCAT(P299," ",Q299))</f>
        <v/>
      </c>
      <c r="AT299" s="264" t="str">
        <f t="shared" si="125"/>
        <v>None</v>
      </c>
      <c r="AU299" s="229">
        <f>IF(OR(AM299="Row Not Used",AM299="Controls Only"),0,INDEX(IncentiveRateTable[Incentive Rate],MATCH(AT299,IncentiveRateTable[Incentive Name],0)))</f>
        <v>0</v>
      </c>
      <c r="AV299" s="133" t="str">
        <f>IF(OR(AM299="Row Not Used",AM299="Controls Only"),"None",INDEX(IncentiveRateTable[Incentive Unit],MATCH(AT299,IncentiveRateTable[Incentive Name],0)))</f>
        <v>None</v>
      </c>
      <c r="AW299" s="578">
        <f t="shared" si="136"/>
        <v>0</v>
      </c>
      <c r="AX299" s="264" t="str">
        <f t="shared" si="126"/>
        <v>None</v>
      </c>
      <c r="AY299" s="229">
        <f>IF(OR(AM299="Row Not Used",AM299="Fixtures Only",AM299="Decommissioning"),0,INDEX(IncentiveRateTable[Incentive Rate],MATCH(AX299,IncentiveRateTable[Incentive Name],0)))</f>
        <v>0</v>
      </c>
      <c r="AZ299" s="133" t="str">
        <f>IF(OR(AM299="Row Not Used",AM299="Fixtures Only",AM299="Decommissioning"),"None",INDEX(IncentiveRateTable[Incentive Unit],MATCH(AX299,IncentiveRateTable[Incentive Name],0)))</f>
        <v>None</v>
      </c>
      <c r="BA299" s="465">
        <f t="shared" si="127"/>
        <v>0</v>
      </c>
      <c r="BB299" s="264" t="e" cm="1">
        <f t="array" ref="BB299">INDEX(BallastFactorTable[Commercial BPA Reference Number],MATCH(1,(BallastFactorTable[Fixture Class]=J299)*(BallastFactorTable[Fixture Category]=K299)*(BallastFactorTable[Fixture Sub-category]=L299),0))</f>
        <v>#N/A</v>
      </c>
      <c r="BC299" s="133" t="e" cm="1">
        <f t="array" ref="BC299">INDEX(BallastFactorTable[Industrial BPA Reference Number],MATCH(1,(BallastFactorTable[Fixture Class]=J299)*(BallastFactorTable[Fixture Category]=K299)*(BallastFactorTable[Fixture Sub-category]=L299),0))</f>
        <v>#N/A</v>
      </c>
      <c r="BD299" s="264" t="str">
        <f t="shared" si="128"/>
        <v>Sector is blank</v>
      </c>
      <c r="BE299" s="269" t="str">
        <f>IF(ISBLANK(SectorField),"Sector is blank",IF(AM299="Row Not Used","",IF(OR(R299="No Controls",ISBLANK(R299)),"",INDEX(ControlsBPARefNoTable[Reference Number],MATCH(SectorField,ControlsBPARefNoTable[Sector],0)))))</f>
        <v>Sector is blank</v>
      </c>
      <c r="BF299" s="530" t="str">
        <f t="shared" si="129"/>
        <v/>
      </c>
      <c r="BG299" s="132" t="str">
        <f t="shared" si="130"/>
        <v/>
      </c>
      <c r="BH299" s="531" t="str">
        <f t="shared" si="131"/>
        <v/>
      </c>
      <c r="BI299" s="532"/>
      <c r="BJ299" s="538" t="str">
        <f t="shared" si="137"/>
        <v/>
      </c>
      <c r="BK299" s="539" t="str">
        <f t="shared" si="138"/>
        <v/>
      </c>
      <c r="BL299" s="547" t="str">
        <f t="shared" si="139"/>
        <v/>
      </c>
    </row>
    <row r="300" spans="1:64" x14ac:dyDescent="0.3">
      <c r="A300" s="133">
        <v>293</v>
      </c>
      <c r="B300" s="294"/>
      <c r="C300" s="313"/>
      <c r="D300" s="292"/>
      <c r="E300" s="284"/>
      <c r="F300" s="284"/>
      <c r="G300" s="295"/>
      <c r="H300" s="296"/>
      <c r="I300" s="297"/>
      <c r="J300" s="292"/>
      <c r="K300" s="284"/>
      <c r="L300" s="284"/>
      <c r="M300" s="295"/>
      <c r="N300" s="296"/>
      <c r="O300" s="296"/>
      <c r="P300" s="284"/>
      <c r="Q300" s="298"/>
      <c r="R300" s="292"/>
      <c r="S300" s="299"/>
      <c r="T300" s="300"/>
      <c r="U300" s="317" t="str">
        <f t="shared" si="113"/>
        <v/>
      </c>
      <c r="V300" s="301"/>
      <c r="W300" s="137" t="str">
        <f t="shared" si="114"/>
        <v/>
      </c>
      <c r="X300" s="589" t="str">
        <f t="shared" si="132"/>
        <v/>
      </c>
      <c r="Y300" s="581"/>
      <c r="Z300" s="251" t="str">
        <f t="shared" si="115"/>
        <v/>
      </c>
      <c r="AA300" s="138" t="str">
        <f t="shared" si="140"/>
        <v/>
      </c>
      <c r="AB300" s="243" t="str">
        <f t="shared" si="133"/>
        <v/>
      </c>
      <c r="AC300" s="141" t="str">
        <f t="shared" si="116"/>
        <v/>
      </c>
      <c r="AD300" s="138" t="str">
        <f t="shared" si="134"/>
        <v/>
      </c>
      <c r="AE300" s="243" t="str">
        <f t="shared" si="117"/>
        <v/>
      </c>
      <c r="AF300" s="342" t="str">
        <f>IF(AM300="Row Not Used","",INDEX(SpaceTable[Annual Hours],(MATCH(B300,SpaceTable[Space Name Concatenated Helper],0))))</f>
        <v/>
      </c>
      <c r="AG300" s="205" t="str">
        <f t="shared" si="118"/>
        <v/>
      </c>
      <c r="AH300" s="234" t="str">
        <f t="shared" si="119"/>
        <v/>
      </c>
      <c r="AI300" s="205" t="str">
        <f t="shared" si="120"/>
        <v/>
      </c>
      <c r="AJ300" s="234" t="str">
        <f t="shared" si="121"/>
        <v/>
      </c>
      <c r="AK300" s="144" t="str">
        <f>IF(AM300="Row Not Used","",INDEX(SpaceTable[Row],(MATCH(B300,SpaceTable[Space Name Concatenated Helper],0))))</f>
        <v/>
      </c>
      <c r="AL300" s="238" t="str">
        <f>IF(AM300="Row Not Used","",INDEX(SpaceTable[HVAC Factor],(MATCH(B300,SpaceTable[Space Name Concatenated Helper],0))))</f>
        <v/>
      </c>
      <c r="AM300" s="520" t="str">
        <f t="shared" si="122"/>
        <v>Row Not Used</v>
      </c>
      <c r="AN300" s="512" t="e" cm="1">
        <f t="array" ref="AN300">INDEX(BallastFactorTable[Ballast Factor],MATCH(1,(BallastFactorTable[Fixture Class]=D300)*(BallastFactorTable[Fixture Category]=E300)*(BallastFactorTable[Fixture Sub-category]=F300),0))</f>
        <v>#N/A</v>
      </c>
      <c r="AO300" s="143" t="str">
        <f t="shared" si="135"/>
        <v/>
      </c>
      <c r="AP300" s="501" t="e" cm="1">
        <f t="array" ref="AP300">INDEX(BallastFactorTable[Wattage Range Name],MATCH(1,(BallastFactorTable[Fixture Class]=D300)*(BallastFactorTable[Fixture Category]=E300)*(BallastFactorTable[Fixture Sub-category]=F300),0))</f>
        <v>#N/A</v>
      </c>
      <c r="AQ300" s="515" t="str">
        <f t="shared" ca="1" si="123"/>
        <v>Okay</v>
      </c>
      <c r="AR300" s="512">
        <f t="shared" si="124"/>
        <v>0</v>
      </c>
      <c r="AS300" s="511" t="str">
        <f>IF(OR(Measures!AM300="Row Not Used",Measures!C300="Controls Only",Measures!C300="Decommissioning"),"",_xlfn.CONCAT(P300," ",Q300))</f>
        <v/>
      </c>
      <c r="AT300" s="264" t="str">
        <f t="shared" si="125"/>
        <v>None</v>
      </c>
      <c r="AU300" s="229">
        <f>IF(OR(AM300="Row Not Used",AM300="Controls Only"),0,INDEX(IncentiveRateTable[Incentive Rate],MATCH(AT300,IncentiveRateTable[Incentive Name],0)))</f>
        <v>0</v>
      </c>
      <c r="AV300" s="133" t="str">
        <f>IF(OR(AM300="Row Not Used",AM300="Controls Only"),"None",INDEX(IncentiveRateTable[Incentive Unit],MATCH(AT300,IncentiveRateTable[Incentive Name],0)))</f>
        <v>None</v>
      </c>
      <c r="AW300" s="578">
        <f t="shared" si="136"/>
        <v>0</v>
      </c>
      <c r="AX300" s="264" t="str">
        <f t="shared" si="126"/>
        <v>None</v>
      </c>
      <c r="AY300" s="229">
        <f>IF(OR(AM300="Row Not Used",AM300="Fixtures Only",AM300="Decommissioning"),0,INDEX(IncentiveRateTable[Incentive Rate],MATCH(AX300,IncentiveRateTable[Incentive Name],0)))</f>
        <v>0</v>
      </c>
      <c r="AZ300" s="133" t="str">
        <f>IF(OR(AM300="Row Not Used",AM300="Fixtures Only",AM300="Decommissioning"),"None",INDEX(IncentiveRateTable[Incentive Unit],MATCH(AX300,IncentiveRateTable[Incentive Name],0)))</f>
        <v>None</v>
      </c>
      <c r="BA300" s="465">
        <f t="shared" si="127"/>
        <v>0</v>
      </c>
      <c r="BB300" s="264" t="e" cm="1">
        <f t="array" ref="BB300">INDEX(BallastFactorTable[Commercial BPA Reference Number],MATCH(1,(BallastFactorTable[Fixture Class]=J300)*(BallastFactorTable[Fixture Category]=K300)*(BallastFactorTable[Fixture Sub-category]=L300),0))</f>
        <v>#N/A</v>
      </c>
      <c r="BC300" s="133" t="e" cm="1">
        <f t="array" ref="BC300">INDEX(BallastFactorTable[Industrial BPA Reference Number],MATCH(1,(BallastFactorTable[Fixture Class]=J300)*(BallastFactorTable[Fixture Category]=K300)*(BallastFactorTable[Fixture Sub-category]=L300),0))</f>
        <v>#N/A</v>
      </c>
      <c r="BD300" s="264" t="str">
        <f t="shared" si="128"/>
        <v>Sector is blank</v>
      </c>
      <c r="BE300" s="269" t="str">
        <f>IF(ISBLANK(SectorField),"Sector is blank",IF(AM300="Row Not Used","",IF(OR(R300="No Controls",ISBLANK(R300)),"",INDEX(ControlsBPARefNoTable[Reference Number],MATCH(SectorField,ControlsBPARefNoTable[Sector],0)))))</f>
        <v>Sector is blank</v>
      </c>
      <c r="BF300" s="530" t="str">
        <f t="shared" si="129"/>
        <v/>
      </c>
      <c r="BG300" s="132" t="str">
        <f t="shared" si="130"/>
        <v/>
      </c>
      <c r="BH300" s="531" t="str">
        <f t="shared" si="131"/>
        <v/>
      </c>
      <c r="BI300" s="532"/>
      <c r="BJ300" s="538" t="str">
        <f t="shared" si="137"/>
        <v/>
      </c>
      <c r="BK300" s="539" t="str">
        <f t="shared" si="138"/>
        <v/>
      </c>
      <c r="BL300" s="547" t="str">
        <f t="shared" si="139"/>
        <v/>
      </c>
    </row>
    <row r="301" spans="1:64" x14ac:dyDescent="0.3">
      <c r="A301" s="133">
        <v>294</v>
      </c>
      <c r="B301" s="294"/>
      <c r="C301" s="313"/>
      <c r="D301" s="292"/>
      <c r="E301" s="284"/>
      <c r="F301" s="284"/>
      <c r="G301" s="295"/>
      <c r="H301" s="296"/>
      <c r="I301" s="297"/>
      <c r="J301" s="292"/>
      <c r="K301" s="284"/>
      <c r="L301" s="284"/>
      <c r="M301" s="295"/>
      <c r="N301" s="296"/>
      <c r="O301" s="296"/>
      <c r="P301" s="284"/>
      <c r="Q301" s="298"/>
      <c r="R301" s="292"/>
      <c r="S301" s="299"/>
      <c r="T301" s="300"/>
      <c r="U301" s="317" t="str">
        <f t="shared" si="113"/>
        <v/>
      </c>
      <c r="V301" s="301"/>
      <c r="W301" s="136" t="str">
        <f t="shared" si="114"/>
        <v/>
      </c>
      <c r="X301" s="588" t="str">
        <f t="shared" si="132"/>
        <v/>
      </c>
      <c r="Y301" s="580"/>
      <c r="Z301" s="251" t="str">
        <f t="shared" si="115"/>
        <v/>
      </c>
      <c r="AA301" s="138" t="str">
        <f t="shared" si="140"/>
        <v/>
      </c>
      <c r="AB301" s="243" t="str">
        <f t="shared" si="133"/>
        <v/>
      </c>
      <c r="AC301" s="141" t="str">
        <f t="shared" si="116"/>
        <v/>
      </c>
      <c r="AD301" s="138" t="str">
        <f t="shared" si="134"/>
        <v/>
      </c>
      <c r="AE301" s="243" t="str">
        <f t="shared" si="117"/>
        <v/>
      </c>
      <c r="AF301" s="342" t="str">
        <f>IF(AM301="Row Not Used","",INDEX(SpaceTable[Annual Hours],(MATCH(B301,SpaceTable[Space Name Concatenated Helper],0))))</f>
        <v/>
      </c>
      <c r="AG301" s="205" t="str">
        <f t="shared" si="118"/>
        <v/>
      </c>
      <c r="AH301" s="234" t="str">
        <f t="shared" si="119"/>
        <v/>
      </c>
      <c r="AI301" s="205" t="str">
        <f t="shared" si="120"/>
        <v/>
      </c>
      <c r="AJ301" s="234" t="str">
        <f t="shared" si="121"/>
        <v/>
      </c>
      <c r="AK301" s="144" t="str">
        <f>IF(AM301="Row Not Used","",INDEX(SpaceTable[Row],(MATCH(B301,SpaceTable[Space Name Concatenated Helper],0))))</f>
        <v/>
      </c>
      <c r="AL301" s="238" t="str">
        <f>IF(AM301="Row Not Used","",INDEX(SpaceTable[HVAC Factor],(MATCH(B301,SpaceTable[Space Name Concatenated Helper],0))))</f>
        <v/>
      </c>
      <c r="AM301" s="520" t="str">
        <f t="shared" si="122"/>
        <v>Row Not Used</v>
      </c>
      <c r="AN301" s="512" t="e" cm="1">
        <f t="array" ref="AN301">INDEX(BallastFactorTable[Ballast Factor],MATCH(1,(BallastFactorTable[Fixture Class]=D301)*(BallastFactorTable[Fixture Category]=E301)*(BallastFactorTable[Fixture Sub-category]=F301),0))</f>
        <v>#N/A</v>
      </c>
      <c r="AO301" s="143" t="str">
        <f t="shared" si="135"/>
        <v/>
      </c>
      <c r="AP301" s="501" t="e" cm="1">
        <f t="array" ref="AP301">INDEX(BallastFactorTable[Wattage Range Name],MATCH(1,(BallastFactorTable[Fixture Class]=D301)*(BallastFactorTable[Fixture Category]=E301)*(BallastFactorTable[Fixture Sub-category]=F301),0))</f>
        <v>#N/A</v>
      </c>
      <c r="AQ301" s="515" t="str">
        <f t="shared" ca="1" si="123"/>
        <v>Okay</v>
      </c>
      <c r="AR301" s="512">
        <f t="shared" si="124"/>
        <v>0</v>
      </c>
      <c r="AS301" s="511" t="str">
        <f>IF(OR(Measures!AM301="Row Not Used",Measures!C301="Controls Only",Measures!C301="Decommissioning"),"",_xlfn.CONCAT(P301," ",Q301))</f>
        <v/>
      </c>
      <c r="AT301" s="264" t="str">
        <f t="shared" si="125"/>
        <v>None</v>
      </c>
      <c r="AU301" s="229">
        <f>IF(OR(AM301="Row Not Used",AM301="Controls Only"),0,INDEX(IncentiveRateTable[Incentive Rate],MATCH(AT301,IncentiveRateTable[Incentive Name],0)))</f>
        <v>0</v>
      </c>
      <c r="AV301" s="133" t="str">
        <f>IF(OR(AM301="Row Not Used",AM301="Controls Only"),"None",INDEX(IncentiveRateTable[Incentive Unit],MATCH(AT301,IncentiveRateTable[Incentive Name],0)))</f>
        <v>None</v>
      </c>
      <c r="AW301" s="578">
        <f t="shared" si="136"/>
        <v>0</v>
      </c>
      <c r="AX301" s="264" t="str">
        <f t="shared" si="126"/>
        <v>None</v>
      </c>
      <c r="AY301" s="229">
        <f>IF(OR(AM301="Row Not Used",AM301="Fixtures Only",AM301="Decommissioning"),0,INDEX(IncentiveRateTable[Incentive Rate],MATCH(AX301,IncentiveRateTable[Incentive Name],0)))</f>
        <v>0</v>
      </c>
      <c r="AZ301" s="133" t="str">
        <f>IF(OR(AM301="Row Not Used",AM301="Fixtures Only",AM301="Decommissioning"),"None",INDEX(IncentiveRateTable[Incentive Unit],MATCH(AX301,IncentiveRateTable[Incentive Name],0)))</f>
        <v>None</v>
      </c>
      <c r="BA301" s="465">
        <f t="shared" si="127"/>
        <v>0</v>
      </c>
      <c r="BB301" s="264" t="e" cm="1">
        <f t="array" ref="BB301">INDEX(BallastFactorTable[Commercial BPA Reference Number],MATCH(1,(BallastFactorTable[Fixture Class]=J301)*(BallastFactorTable[Fixture Category]=K301)*(BallastFactorTable[Fixture Sub-category]=L301),0))</f>
        <v>#N/A</v>
      </c>
      <c r="BC301" s="133" t="e" cm="1">
        <f t="array" ref="BC301">INDEX(BallastFactorTable[Industrial BPA Reference Number],MATCH(1,(BallastFactorTable[Fixture Class]=J301)*(BallastFactorTable[Fixture Category]=K301)*(BallastFactorTable[Fixture Sub-category]=L301),0))</f>
        <v>#N/A</v>
      </c>
      <c r="BD301" s="264" t="str">
        <f t="shared" si="128"/>
        <v>Sector is blank</v>
      </c>
      <c r="BE301" s="269" t="str">
        <f>IF(ISBLANK(SectorField),"Sector is blank",IF(AM301="Row Not Used","",IF(OR(R301="No Controls",ISBLANK(R301)),"",INDEX(ControlsBPARefNoTable[Reference Number],MATCH(SectorField,ControlsBPARefNoTable[Sector],0)))))</f>
        <v>Sector is blank</v>
      </c>
      <c r="BF301" s="530" t="str">
        <f t="shared" si="129"/>
        <v/>
      </c>
      <c r="BG301" s="132" t="str">
        <f t="shared" si="130"/>
        <v/>
      </c>
      <c r="BH301" s="531" t="str">
        <f t="shared" si="131"/>
        <v/>
      </c>
      <c r="BI301" s="532"/>
      <c r="BJ301" s="538" t="str">
        <f t="shared" si="137"/>
        <v/>
      </c>
      <c r="BK301" s="539" t="str">
        <f t="shared" si="138"/>
        <v/>
      </c>
      <c r="BL301" s="547" t="str">
        <f t="shared" si="139"/>
        <v/>
      </c>
    </row>
    <row r="302" spans="1:64" x14ac:dyDescent="0.3">
      <c r="A302" s="133">
        <v>295</v>
      </c>
      <c r="B302" s="294"/>
      <c r="C302" s="313"/>
      <c r="D302" s="292"/>
      <c r="E302" s="284"/>
      <c r="F302" s="284"/>
      <c r="G302" s="295"/>
      <c r="H302" s="296"/>
      <c r="I302" s="297"/>
      <c r="J302" s="292"/>
      <c r="K302" s="284"/>
      <c r="L302" s="284"/>
      <c r="M302" s="295"/>
      <c r="N302" s="296"/>
      <c r="O302" s="296"/>
      <c r="P302" s="284"/>
      <c r="Q302" s="298"/>
      <c r="R302" s="292"/>
      <c r="S302" s="299"/>
      <c r="T302" s="300"/>
      <c r="U302" s="317" t="str">
        <f t="shared" si="113"/>
        <v/>
      </c>
      <c r="V302" s="301"/>
      <c r="W302" s="137" t="str">
        <f t="shared" si="114"/>
        <v/>
      </c>
      <c r="X302" s="589" t="str">
        <f t="shared" si="132"/>
        <v/>
      </c>
      <c r="Y302" s="581"/>
      <c r="Z302" s="251" t="str">
        <f t="shared" si="115"/>
        <v/>
      </c>
      <c r="AA302" s="138" t="str">
        <f t="shared" si="140"/>
        <v/>
      </c>
      <c r="AB302" s="243" t="str">
        <f t="shared" si="133"/>
        <v/>
      </c>
      <c r="AC302" s="141" t="str">
        <f t="shared" si="116"/>
        <v/>
      </c>
      <c r="AD302" s="138" t="str">
        <f t="shared" si="134"/>
        <v/>
      </c>
      <c r="AE302" s="243" t="str">
        <f t="shared" si="117"/>
        <v/>
      </c>
      <c r="AF302" s="342" t="str">
        <f>IF(AM302="Row Not Used","",INDEX(SpaceTable[Annual Hours],(MATCH(B302,SpaceTable[Space Name Concatenated Helper],0))))</f>
        <v/>
      </c>
      <c r="AG302" s="205" t="str">
        <f t="shared" si="118"/>
        <v/>
      </c>
      <c r="AH302" s="234" t="str">
        <f t="shared" si="119"/>
        <v/>
      </c>
      <c r="AI302" s="205" t="str">
        <f t="shared" si="120"/>
        <v/>
      </c>
      <c r="AJ302" s="234" t="str">
        <f t="shared" si="121"/>
        <v/>
      </c>
      <c r="AK302" s="144" t="str">
        <f>IF(AM302="Row Not Used","",INDEX(SpaceTable[Row],(MATCH(B302,SpaceTable[Space Name Concatenated Helper],0))))</f>
        <v/>
      </c>
      <c r="AL302" s="238" t="str">
        <f>IF(AM302="Row Not Used","",INDEX(SpaceTable[HVAC Factor],(MATCH(B302,SpaceTable[Space Name Concatenated Helper],0))))</f>
        <v/>
      </c>
      <c r="AM302" s="520" t="str">
        <f t="shared" si="122"/>
        <v>Row Not Used</v>
      </c>
      <c r="AN302" s="512" t="e" cm="1">
        <f t="array" ref="AN302">INDEX(BallastFactorTable[Ballast Factor],MATCH(1,(BallastFactorTable[Fixture Class]=D302)*(BallastFactorTable[Fixture Category]=E302)*(BallastFactorTable[Fixture Sub-category]=F302),0))</f>
        <v>#N/A</v>
      </c>
      <c r="AO302" s="143" t="str">
        <f t="shared" si="135"/>
        <v/>
      </c>
      <c r="AP302" s="501" t="e" cm="1">
        <f t="array" ref="AP302">INDEX(BallastFactorTable[Wattage Range Name],MATCH(1,(BallastFactorTable[Fixture Class]=D302)*(BallastFactorTable[Fixture Category]=E302)*(BallastFactorTable[Fixture Sub-category]=F302),0))</f>
        <v>#N/A</v>
      </c>
      <c r="AQ302" s="515" t="str">
        <f t="shared" ca="1" si="123"/>
        <v>Okay</v>
      </c>
      <c r="AR302" s="512">
        <f t="shared" si="124"/>
        <v>0</v>
      </c>
      <c r="AS302" s="511" t="str">
        <f>IF(OR(Measures!AM302="Row Not Used",Measures!C302="Controls Only",Measures!C302="Decommissioning"),"",_xlfn.CONCAT(P302," ",Q302))</f>
        <v/>
      </c>
      <c r="AT302" s="264" t="str">
        <f t="shared" si="125"/>
        <v>None</v>
      </c>
      <c r="AU302" s="229">
        <f>IF(OR(AM302="Row Not Used",AM302="Controls Only"),0,INDEX(IncentiveRateTable[Incentive Rate],MATCH(AT302,IncentiveRateTable[Incentive Name],0)))</f>
        <v>0</v>
      </c>
      <c r="AV302" s="133" t="str">
        <f>IF(OR(AM302="Row Not Used",AM302="Controls Only"),"None",INDEX(IncentiveRateTable[Incentive Unit],MATCH(AT302,IncentiveRateTable[Incentive Name],0)))</f>
        <v>None</v>
      </c>
      <c r="AW302" s="578">
        <f t="shared" si="136"/>
        <v>0</v>
      </c>
      <c r="AX302" s="264" t="str">
        <f t="shared" si="126"/>
        <v>None</v>
      </c>
      <c r="AY302" s="229">
        <f>IF(OR(AM302="Row Not Used",AM302="Fixtures Only",AM302="Decommissioning"),0,INDEX(IncentiveRateTable[Incentive Rate],MATCH(AX302,IncentiveRateTable[Incentive Name],0)))</f>
        <v>0</v>
      </c>
      <c r="AZ302" s="133" t="str">
        <f>IF(OR(AM302="Row Not Used",AM302="Fixtures Only",AM302="Decommissioning"),"None",INDEX(IncentiveRateTable[Incentive Unit],MATCH(AX302,IncentiveRateTable[Incentive Name],0)))</f>
        <v>None</v>
      </c>
      <c r="BA302" s="465">
        <f t="shared" si="127"/>
        <v>0</v>
      </c>
      <c r="BB302" s="264" t="e" cm="1">
        <f t="array" ref="BB302">INDEX(BallastFactorTable[Commercial BPA Reference Number],MATCH(1,(BallastFactorTable[Fixture Class]=J302)*(BallastFactorTable[Fixture Category]=K302)*(BallastFactorTable[Fixture Sub-category]=L302),0))</f>
        <v>#N/A</v>
      </c>
      <c r="BC302" s="133" t="e" cm="1">
        <f t="array" ref="BC302">INDEX(BallastFactorTable[Industrial BPA Reference Number],MATCH(1,(BallastFactorTable[Fixture Class]=J302)*(BallastFactorTable[Fixture Category]=K302)*(BallastFactorTable[Fixture Sub-category]=L302),0))</f>
        <v>#N/A</v>
      </c>
      <c r="BD302" s="264" t="str">
        <f t="shared" si="128"/>
        <v>Sector is blank</v>
      </c>
      <c r="BE302" s="269" t="str">
        <f>IF(ISBLANK(SectorField),"Sector is blank",IF(AM302="Row Not Used","",IF(OR(R302="No Controls",ISBLANK(R302)),"",INDEX(ControlsBPARefNoTable[Reference Number],MATCH(SectorField,ControlsBPARefNoTable[Sector],0)))))</f>
        <v>Sector is blank</v>
      </c>
      <c r="BF302" s="530" t="str">
        <f t="shared" si="129"/>
        <v/>
      </c>
      <c r="BG302" s="132" t="str">
        <f t="shared" si="130"/>
        <v/>
      </c>
      <c r="BH302" s="531" t="str">
        <f t="shared" si="131"/>
        <v/>
      </c>
      <c r="BI302" s="532"/>
      <c r="BJ302" s="538" t="str">
        <f t="shared" si="137"/>
        <v/>
      </c>
      <c r="BK302" s="539" t="str">
        <f t="shared" si="138"/>
        <v/>
      </c>
      <c r="BL302" s="547" t="str">
        <f t="shared" si="139"/>
        <v/>
      </c>
    </row>
    <row r="303" spans="1:64" x14ac:dyDescent="0.3">
      <c r="A303" s="133">
        <v>296</v>
      </c>
      <c r="B303" s="294"/>
      <c r="C303" s="313"/>
      <c r="D303" s="292"/>
      <c r="E303" s="284"/>
      <c r="F303" s="284"/>
      <c r="G303" s="295"/>
      <c r="H303" s="296"/>
      <c r="I303" s="297"/>
      <c r="J303" s="292"/>
      <c r="K303" s="284"/>
      <c r="L303" s="284"/>
      <c r="M303" s="295"/>
      <c r="N303" s="296"/>
      <c r="O303" s="296"/>
      <c r="P303" s="284"/>
      <c r="Q303" s="298"/>
      <c r="R303" s="292"/>
      <c r="S303" s="299"/>
      <c r="T303" s="300"/>
      <c r="U303" s="317" t="str">
        <f t="shared" si="113"/>
        <v/>
      </c>
      <c r="V303" s="301"/>
      <c r="W303" s="136" t="str">
        <f t="shared" si="114"/>
        <v/>
      </c>
      <c r="X303" s="588" t="str">
        <f t="shared" si="132"/>
        <v/>
      </c>
      <c r="Y303" s="580"/>
      <c r="Z303" s="251" t="str">
        <f t="shared" si="115"/>
        <v/>
      </c>
      <c r="AA303" s="138" t="str">
        <f t="shared" si="140"/>
        <v/>
      </c>
      <c r="AB303" s="243" t="str">
        <f t="shared" si="133"/>
        <v/>
      </c>
      <c r="AC303" s="141" t="str">
        <f t="shared" si="116"/>
        <v/>
      </c>
      <c r="AD303" s="138" t="str">
        <f t="shared" si="134"/>
        <v/>
      </c>
      <c r="AE303" s="243" t="str">
        <f t="shared" si="117"/>
        <v/>
      </c>
      <c r="AF303" s="342" t="str">
        <f>IF(AM303="Row Not Used","",INDEX(SpaceTable[Annual Hours],(MATCH(B303,SpaceTable[Space Name Concatenated Helper],0))))</f>
        <v/>
      </c>
      <c r="AG303" s="205" t="str">
        <f t="shared" si="118"/>
        <v/>
      </c>
      <c r="AH303" s="234" t="str">
        <f t="shared" si="119"/>
        <v/>
      </c>
      <c r="AI303" s="205" t="str">
        <f t="shared" si="120"/>
        <v/>
      </c>
      <c r="AJ303" s="234" t="str">
        <f t="shared" si="121"/>
        <v/>
      </c>
      <c r="AK303" s="144" t="str">
        <f>IF(AM303="Row Not Used","",INDEX(SpaceTable[Row],(MATCH(B303,SpaceTable[Space Name Concatenated Helper],0))))</f>
        <v/>
      </c>
      <c r="AL303" s="238" t="str">
        <f>IF(AM303="Row Not Used","",INDEX(SpaceTable[HVAC Factor],(MATCH(B303,SpaceTable[Space Name Concatenated Helper],0))))</f>
        <v/>
      </c>
      <c r="AM303" s="520" t="str">
        <f t="shared" si="122"/>
        <v>Row Not Used</v>
      </c>
      <c r="AN303" s="512" t="e" cm="1">
        <f t="array" ref="AN303">INDEX(BallastFactorTable[Ballast Factor],MATCH(1,(BallastFactorTable[Fixture Class]=D303)*(BallastFactorTable[Fixture Category]=E303)*(BallastFactorTable[Fixture Sub-category]=F303),0))</f>
        <v>#N/A</v>
      </c>
      <c r="AO303" s="143" t="str">
        <f t="shared" si="135"/>
        <v/>
      </c>
      <c r="AP303" s="501" t="e" cm="1">
        <f t="array" ref="AP303">INDEX(BallastFactorTable[Wattage Range Name],MATCH(1,(BallastFactorTable[Fixture Class]=D303)*(BallastFactorTable[Fixture Category]=E303)*(BallastFactorTable[Fixture Sub-category]=F303),0))</f>
        <v>#N/A</v>
      </c>
      <c r="AQ303" s="515" t="str">
        <f t="shared" ca="1" si="123"/>
        <v>Okay</v>
      </c>
      <c r="AR303" s="512">
        <f t="shared" si="124"/>
        <v>0</v>
      </c>
      <c r="AS303" s="511" t="str">
        <f>IF(OR(Measures!AM303="Row Not Used",Measures!C303="Controls Only",Measures!C303="Decommissioning"),"",_xlfn.CONCAT(P303," ",Q303))</f>
        <v/>
      </c>
      <c r="AT303" s="264" t="str">
        <f t="shared" si="125"/>
        <v>None</v>
      </c>
      <c r="AU303" s="229">
        <f>IF(OR(AM303="Row Not Used",AM303="Controls Only"),0,INDEX(IncentiveRateTable[Incentive Rate],MATCH(AT303,IncentiveRateTable[Incentive Name],0)))</f>
        <v>0</v>
      </c>
      <c r="AV303" s="133" t="str">
        <f>IF(OR(AM303="Row Not Used",AM303="Controls Only"),"None",INDEX(IncentiveRateTable[Incentive Unit],MATCH(AT303,IncentiveRateTable[Incentive Name],0)))</f>
        <v>None</v>
      </c>
      <c r="AW303" s="578">
        <f t="shared" si="136"/>
        <v>0</v>
      </c>
      <c r="AX303" s="264" t="str">
        <f t="shared" si="126"/>
        <v>None</v>
      </c>
      <c r="AY303" s="229">
        <f>IF(OR(AM303="Row Not Used",AM303="Fixtures Only",AM303="Decommissioning"),0,INDEX(IncentiveRateTable[Incentive Rate],MATCH(AX303,IncentiveRateTable[Incentive Name],0)))</f>
        <v>0</v>
      </c>
      <c r="AZ303" s="133" t="str">
        <f>IF(OR(AM303="Row Not Used",AM303="Fixtures Only",AM303="Decommissioning"),"None",INDEX(IncentiveRateTable[Incentive Unit],MATCH(AX303,IncentiveRateTable[Incentive Name],0)))</f>
        <v>None</v>
      </c>
      <c r="BA303" s="465">
        <f t="shared" si="127"/>
        <v>0</v>
      </c>
      <c r="BB303" s="264" t="e" cm="1">
        <f t="array" ref="BB303">INDEX(BallastFactorTable[Commercial BPA Reference Number],MATCH(1,(BallastFactorTable[Fixture Class]=J303)*(BallastFactorTable[Fixture Category]=K303)*(BallastFactorTable[Fixture Sub-category]=L303),0))</f>
        <v>#N/A</v>
      </c>
      <c r="BC303" s="133" t="e" cm="1">
        <f t="array" ref="BC303">INDEX(BallastFactorTable[Industrial BPA Reference Number],MATCH(1,(BallastFactorTable[Fixture Class]=J303)*(BallastFactorTable[Fixture Category]=K303)*(BallastFactorTable[Fixture Sub-category]=L303),0))</f>
        <v>#N/A</v>
      </c>
      <c r="BD303" s="264" t="str">
        <f t="shared" si="128"/>
        <v>Sector is blank</v>
      </c>
      <c r="BE303" s="269" t="str">
        <f>IF(ISBLANK(SectorField),"Sector is blank",IF(AM303="Row Not Used","",IF(OR(R303="No Controls",ISBLANK(R303)),"",INDEX(ControlsBPARefNoTable[Reference Number],MATCH(SectorField,ControlsBPARefNoTable[Sector],0)))))</f>
        <v>Sector is blank</v>
      </c>
      <c r="BF303" s="530" t="str">
        <f t="shared" si="129"/>
        <v/>
      </c>
      <c r="BG303" s="132" t="str">
        <f t="shared" si="130"/>
        <v/>
      </c>
      <c r="BH303" s="531" t="str">
        <f t="shared" si="131"/>
        <v/>
      </c>
      <c r="BI303" s="532"/>
      <c r="BJ303" s="538" t="str">
        <f t="shared" si="137"/>
        <v/>
      </c>
      <c r="BK303" s="539" t="str">
        <f t="shared" si="138"/>
        <v/>
      </c>
      <c r="BL303" s="547" t="str">
        <f t="shared" si="139"/>
        <v/>
      </c>
    </row>
    <row r="304" spans="1:64" x14ac:dyDescent="0.3">
      <c r="A304" s="133">
        <v>297</v>
      </c>
      <c r="B304" s="294"/>
      <c r="C304" s="313"/>
      <c r="D304" s="292"/>
      <c r="E304" s="284"/>
      <c r="F304" s="284"/>
      <c r="G304" s="295"/>
      <c r="H304" s="296"/>
      <c r="I304" s="297"/>
      <c r="J304" s="292"/>
      <c r="K304" s="284"/>
      <c r="L304" s="284"/>
      <c r="M304" s="295"/>
      <c r="N304" s="296"/>
      <c r="O304" s="296"/>
      <c r="P304" s="284"/>
      <c r="Q304" s="298"/>
      <c r="R304" s="292"/>
      <c r="S304" s="299"/>
      <c r="T304" s="300"/>
      <c r="U304" s="317" t="str">
        <f t="shared" si="113"/>
        <v/>
      </c>
      <c r="V304" s="301"/>
      <c r="W304" s="137" t="str">
        <f t="shared" si="114"/>
        <v/>
      </c>
      <c r="X304" s="589" t="str">
        <f t="shared" si="132"/>
        <v/>
      </c>
      <c r="Y304" s="581"/>
      <c r="Z304" s="251" t="str">
        <f t="shared" si="115"/>
        <v/>
      </c>
      <c r="AA304" s="138" t="str">
        <f t="shared" si="140"/>
        <v/>
      </c>
      <c r="AB304" s="243" t="str">
        <f t="shared" si="133"/>
        <v/>
      </c>
      <c r="AC304" s="141" t="str">
        <f t="shared" si="116"/>
        <v/>
      </c>
      <c r="AD304" s="138" t="str">
        <f t="shared" si="134"/>
        <v/>
      </c>
      <c r="AE304" s="243" t="str">
        <f t="shared" si="117"/>
        <v/>
      </c>
      <c r="AF304" s="342" t="str">
        <f>IF(AM304="Row Not Used","",INDEX(SpaceTable[Annual Hours],(MATCH(B304,SpaceTable[Space Name Concatenated Helper],0))))</f>
        <v/>
      </c>
      <c r="AG304" s="205" t="str">
        <f t="shared" si="118"/>
        <v/>
      </c>
      <c r="AH304" s="234" t="str">
        <f t="shared" si="119"/>
        <v/>
      </c>
      <c r="AI304" s="205" t="str">
        <f t="shared" si="120"/>
        <v/>
      </c>
      <c r="AJ304" s="234" t="str">
        <f t="shared" si="121"/>
        <v/>
      </c>
      <c r="AK304" s="144" t="str">
        <f>IF(AM304="Row Not Used","",INDEX(SpaceTable[Row],(MATCH(B304,SpaceTable[Space Name Concatenated Helper],0))))</f>
        <v/>
      </c>
      <c r="AL304" s="238" t="str">
        <f>IF(AM304="Row Not Used","",INDEX(SpaceTable[HVAC Factor],(MATCH(B304,SpaceTable[Space Name Concatenated Helper],0))))</f>
        <v/>
      </c>
      <c r="AM304" s="520" t="str">
        <f t="shared" si="122"/>
        <v>Row Not Used</v>
      </c>
      <c r="AN304" s="512" t="e" cm="1">
        <f t="array" ref="AN304">INDEX(BallastFactorTable[Ballast Factor],MATCH(1,(BallastFactorTable[Fixture Class]=D304)*(BallastFactorTable[Fixture Category]=E304)*(BallastFactorTable[Fixture Sub-category]=F304),0))</f>
        <v>#N/A</v>
      </c>
      <c r="AO304" s="143" t="str">
        <f t="shared" si="135"/>
        <v/>
      </c>
      <c r="AP304" s="501" t="e" cm="1">
        <f t="array" ref="AP304">INDEX(BallastFactorTable[Wattage Range Name],MATCH(1,(BallastFactorTable[Fixture Class]=D304)*(BallastFactorTable[Fixture Category]=E304)*(BallastFactorTable[Fixture Sub-category]=F304),0))</f>
        <v>#N/A</v>
      </c>
      <c r="AQ304" s="515" t="str">
        <f t="shared" ca="1" si="123"/>
        <v>Okay</v>
      </c>
      <c r="AR304" s="512">
        <f t="shared" si="124"/>
        <v>0</v>
      </c>
      <c r="AS304" s="511" t="str">
        <f>IF(OR(Measures!AM304="Row Not Used",Measures!C304="Controls Only",Measures!C304="Decommissioning"),"",_xlfn.CONCAT(P304," ",Q304))</f>
        <v/>
      </c>
      <c r="AT304" s="264" t="str">
        <f t="shared" si="125"/>
        <v>None</v>
      </c>
      <c r="AU304" s="229">
        <f>IF(OR(AM304="Row Not Used",AM304="Controls Only"),0,INDEX(IncentiveRateTable[Incentive Rate],MATCH(AT304,IncentiveRateTable[Incentive Name],0)))</f>
        <v>0</v>
      </c>
      <c r="AV304" s="133" t="str">
        <f>IF(OR(AM304="Row Not Used",AM304="Controls Only"),"None",INDEX(IncentiveRateTable[Incentive Unit],MATCH(AT304,IncentiveRateTable[Incentive Name],0)))</f>
        <v>None</v>
      </c>
      <c r="AW304" s="578">
        <f t="shared" si="136"/>
        <v>0</v>
      </c>
      <c r="AX304" s="264" t="str">
        <f t="shared" si="126"/>
        <v>None</v>
      </c>
      <c r="AY304" s="229">
        <f>IF(OR(AM304="Row Not Used",AM304="Fixtures Only",AM304="Decommissioning"),0,INDEX(IncentiveRateTable[Incentive Rate],MATCH(AX304,IncentiveRateTable[Incentive Name],0)))</f>
        <v>0</v>
      </c>
      <c r="AZ304" s="133" t="str">
        <f>IF(OR(AM304="Row Not Used",AM304="Fixtures Only",AM304="Decommissioning"),"None",INDEX(IncentiveRateTable[Incentive Unit],MATCH(AX304,IncentiveRateTable[Incentive Name],0)))</f>
        <v>None</v>
      </c>
      <c r="BA304" s="465">
        <f t="shared" si="127"/>
        <v>0</v>
      </c>
      <c r="BB304" s="264" t="e" cm="1">
        <f t="array" ref="BB304">INDEX(BallastFactorTable[Commercial BPA Reference Number],MATCH(1,(BallastFactorTable[Fixture Class]=J304)*(BallastFactorTable[Fixture Category]=K304)*(BallastFactorTable[Fixture Sub-category]=L304),0))</f>
        <v>#N/A</v>
      </c>
      <c r="BC304" s="133" t="e" cm="1">
        <f t="array" ref="BC304">INDEX(BallastFactorTable[Industrial BPA Reference Number],MATCH(1,(BallastFactorTable[Fixture Class]=J304)*(BallastFactorTable[Fixture Category]=K304)*(BallastFactorTable[Fixture Sub-category]=L304),0))</f>
        <v>#N/A</v>
      </c>
      <c r="BD304" s="264" t="str">
        <f t="shared" si="128"/>
        <v>Sector is blank</v>
      </c>
      <c r="BE304" s="269" t="str">
        <f>IF(ISBLANK(SectorField),"Sector is blank",IF(AM304="Row Not Used","",IF(OR(R304="No Controls",ISBLANK(R304)),"",INDEX(ControlsBPARefNoTable[Reference Number],MATCH(SectorField,ControlsBPARefNoTable[Sector],0)))))</f>
        <v>Sector is blank</v>
      </c>
      <c r="BF304" s="530" t="str">
        <f t="shared" si="129"/>
        <v/>
      </c>
      <c r="BG304" s="132" t="str">
        <f t="shared" si="130"/>
        <v/>
      </c>
      <c r="BH304" s="531" t="str">
        <f t="shared" si="131"/>
        <v/>
      </c>
      <c r="BI304" s="532"/>
      <c r="BJ304" s="538" t="str">
        <f t="shared" si="137"/>
        <v/>
      </c>
      <c r="BK304" s="539" t="str">
        <f t="shared" si="138"/>
        <v/>
      </c>
      <c r="BL304" s="547" t="str">
        <f t="shared" si="139"/>
        <v/>
      </c>
    </row>
    <row r="305" spans="1:64" x14ac:dyDescent="0.3">
      <c r="A305" s="133">
        <v>298</v>
      </c>
      <c r="B305" s="294"/>
      <c r="C305" s="313"/>
      <c r="D305" s="292"/>
      <c r="E305" s="284"/>
      <c r="F305" s="284"/>
      <c r="G305" s="295"/>
      <c r="H305" s="296"/>
      <c r="I305" s="297"/>
      <c r="J305" s="292"/>
      <c r="K305" s="284"/>
      <c r="L305" s="284"/>
      <c r="M305" s="295"/>
      <c r="N305" s="296"/>
      <c r="O305" s="296"/>
      <c r="P305" s="284"/>
      <c r="Q305" s="298"/>
      <c r="R305" s="292"/>
      <c r="S305" s="299"/>
      <c r="T305" s="300"/>
      <c r="U305" s="317" t="str">
        <f t="shared" si="113"/>
        <v/>
      </c>
      <c r="V305" s="301"/>
      <c r="W305" s="136" t="str">
        <f t="shared" si="114"/>
        <v/>
      </c>
      <c r="X305" s="588" t="str">
        <f t="shared" si="132"/>
        <v/>
      </c>
      <c r="Y305" s="580"/>
      <c r="Z305" s="251" t="str">
        <f t="shared" si="115"/>
        <v/>
      </c>
      <c r="AA305" s="138" t="str">
        <f t="shared" si="140"/>
        <v/>
      </c>
      <c r="AB305" s="243" t="str">
        <f t="shared" si="133"/>
        <v/>
      </c>
      <c r="AC305" s="141" t="str">
        <f t="shared" si="116"/>
        <v/>
      </c>
      <c r="AD305" s="138" t="str">
        <f t="shared" si="134"/>
        <v/>
      </c>
      <c r="AE305" s="243" t="str">
        <f t="shared" si="117"/>
        <v/>
      </c>
      <c r="AF305" s="342" t="str">
        <f>IF(AM305="Row Not Used","",INDEX(SpaceTable[Annual Hours],(MATCH(B305,SpaceTable[Space Name Concatenated Helper],0))))</f>
        <v/>
      </c>
      <c r="AG305" s="205" t="str">
        <f t="shared" si="118"/>
        <v/>
      </c>
      <c r="AH305" s="234" t="str">
        <f t="shared" si="119"/>
        <v/>
      </c>
      <c r="AI305" s="205" t="str">
        <f t="shared" si="120"/>
        <v/>
      </c>
      <c r="AJ305" s="234" t="str">
        <f t="shared" si="121"/>
        <v/>
      </c>
      <c r="AK305" s="144" t="str">
        <f>IF(AM305="Row Not Used","",INDEX(SpaceTable[Row],(MATCH(B305,SpaceTable[Space Name Concatenated Helper],0))))</f>
        <v/>
      </c>
      <c r="AL305" s="238" t="str">
        <f>IF(AM305="Row Not Used","",INDEX(SpaceTable[HVAC Factor],(MATCH(B305,SpaceTable[Space Name Concatenated Helper],0))))</f>
        <v/>
      </c>
      <c r="AM305" s="520" t="str">
        <f t="shared" si="122"/>
        <v>Row Not Used</v>
      </c>
      <c r="AN305" s="512" t="e" cm="1">
        <f t="array" ref="AN305">INDEX(BallastFactorTable[Ballast Factor],MATCH(1,(BallastFactorTable[Fixture Class]=D305)*(BallastFactorTable[Fixture Category]=E305)*(BallastFactorTable[Fixture Sub-category]=F305),0))</f>
        <v>#N/A</v>
      </c>
      <c r="AO305" s="143" t="str">
        <f t="shared" si="135"/>
        <v/>
      </c>
      <c r="AP305" s="501" t="e" cm="1">
        <f t="array" ref="AP305">INDEX(BallastFactorTable[Wattage Range Name],MATCH(1,(BallastFactorTable[Fixture Class]=D305)*(BallastFactorTable[Fixture Category]=E305)*(BallastFactorTable[Fixture Sub-category]=F305),0))</f>
        <v>#N/A</v>
      </c>
      <c r="AQ305" s="515" t="str">
        <f t="shared" ca="1" si="123"/>
        <v>Okay</v>
      </c>
      <c r="AR305" s="512">
        <f t="shared" si="124"/>
        <v>0</v>
      </c>
      <c r="AS305" s="511" t="str">
        <f>IF(OR(Measures!AM305="Row Not Used",Measures!C305="Controls Only",Measures!C305="Decommissioning"),"",_xlfn.CONCAT(P305," ",Q305))</f>
        <v/>
      </c>
      <c r="AT305" s="264" t="str">
        <f t="shared" si="125"/>
        <v>None</v>
      </c>
      <c r="AU305" s="229">
        <f>IF(OR(AM305="Row Not Used",AM305="Controls Only"),0,INDEX(IncentiveRateTable[Incentive Rate],MATCH(AT305,IncentiveRateTable[Incentive Name],0)))</f>
        <v>0</v>
      </c>
      <c r="AV305" s="133" t="str">
        <f>IF(OR(AM305="Row Not Used",AM305="Controls Only"),"None",INDEX(IncentiveRateTable[Incentive Unit],MATCH(AT305,IncentiveRateTable[Incentive Name],0)))</f>
        <v>None</v>
      </c>
      <c r="AW305" s="578">
        <f t="shared" si="136"/>
        <v>0</v>
      </c>
      <c r="AX305" s="264" t="str">
        <f t="shared" si="126"/>
        <v>None</v>
      </c>
      <c r="AY305" s="229">
        <f>IF(OR(AM305="Row Not Used",AM305="Fixtures Only",AM305="Decommissioning"),0,INDEX(IncentiveRateTable[Incentive Rate],MATCH(AX305,IncentiveRateTable[Incentive Name],0)))</f>
        <v>0</v>
      </c>
      <c r="AZ305" s="133" t="str">
        <f>IF(OR(AM305="Row Not Used",AM305="Fixtures Only",AM305="Decommissioning"),"None",INDEX(IncentiveRateTable[Incentive Unit],MATCH(AX305,IncentiveRateTable[Incentive Name],0)))</f>
        <v>None</v>
      </c>
      <c r="BA305" s="465">
        <f t="shared" si="127"/>
        <v>0</v>
      </c>
      <c r="BB305" s="264" t="e" cm="1">
        <f t="array" ref="BB305">INDEX(BallastFactorTable[Commercial BPA Reference Number],MATCH(1,(BallastFactorTable[Fixture Class]=J305)*(BallastFactorTable[Fixture Category]=K305)*(BallastFactorTable[Fixture Sub-category]=L305),0))</f>
        <v>#N/A</v>
      </c>
      <c r="BC305" s="133" t="e" cm="1">
        <f t="array" ref="BC305">INDEX(BallastFactorTable[Industrial BPA Reference Number],MATCH(1,(BallastFactorTable[Fixture Class]=J305)*(BallastFactorTable[Fixture Category]=K305)*(BallastFactorTable[Fixture Sub-category]=L305),0))</f>
        <v>#N/A</v>
      </c>
      <c r="BD305" s="264" t="str">
        <f t="shared" si="128"/>
        <v>Sector is blank</v>
      </c>
      <c r="BE305" s="269" t="str">
        <f>IF(ISBLANK(SectorField),"Sector is blank",IF(AM305="Row Not Used","",IF(OR(R305="No Controls",ISBLANK(R305)),"",INDEX(ControlsBPARefNoTable[Reference Number],MATCH(SectorField,ControlsBPARefNoTable[Sector],0)))))</f>
        <v>Sector is blank</v>
      </c>
      <c r="BF305" s="530" t="str">
        <f t="shared" si="129"/>
        <v/>
      </c>
      <c r="BG305" s="132" t="str">
        <f t="shared" si="130"/>
        <v/>
      </c>
      <c r="BH305" s="531" t="str">
        <f t="shared" si="131"/>
        <v/>
      </c>
      <c r="BI305" s="532"/>
      <c r="BJ305" s="538" t="str">
        <f t="shared" si="137"/>
        <v/>
      </c>
      <c r="BK305" s="539" t="str">
        <f t="shared" si="138"/>
        <v/>
      </c>
      <c r="BL305" s="547" t="str">
        <f t="shared" si="139"/>
        <v/>
      </c>
    </row>
    <row r="306" spans="1:64" x14ac:dyDescent="0.3">
      <c r="A306" s="133">
        <v>299</v>
      </c>
      <c r="B306" s="294"/>
      <c r="C306" s="313"/>
      <c r="D306" s="292"/>
      <c r="E306" s="284"/>
      <c r="F306" s="284"/>
      <c r="G306" s="295"/>
      <c r="H306" s="296"/>
      <c r="I306" s="297"/>
      <c r="J306" s="292"/>
      <c r="K306" s="284"/>
      <c r="L306" s="284"/>
      <c r="M306" s="295"/>
      <c r="N306" s="296"/>
      <c r="O306" s="296"/>
      <c r="P306" s="284"/>
      <c r="Q306" s="298"/>
      <c r="R306" s="292"/>
      <c r="S306" s="299"/>
      <c r="T306" s="300"/>
      <c r="U306" s="317" t="str">
        <f t="shared" si="113"/>
        <v/>
      </c>
      <c r="V306" s="301"/>
      <c r="W306" s="137" t="str">
        <f t="shared" si="114"/>
        <v/>
      </c>
      <c r="X306" s="589" t="str">
        <f t="shared" si="132"/>
        <v/>
      </c>
      <c r="Y306" s="581"/>
      <c r="Z306" s="251" t="str">
        <f t="shared" si="115"/>
        <v/>
      </c>
      <c r="AA306" s="138" t="str">
        <f t="shared" si="140"/>
        <v/>
      </c>
      <c r="AB306" s="243" t="str">
        <f t="shared" si="133"/>
        <v/>
      </c>
      <c r="AC306" s="141" t="str">
        <f t="shared" si="116"/>
        <v/>
      </c>
      <c r="AD306" s="138" t="str">
        <f t="shared" si="134"/>
        <v/>
      </c>
      <c r="AE306" s="243" t="str">
        <f t="shared" si="117"/>
        <v/>
      </c>
      <c r="AF306" s="342" t="str">
        <f>IF(AM306="Row Not Used","",INDEX(SpaceTable[Annual Hours],(MATCH(B306,SpaceTable[Space Name Concatenated Helper],0))))</f>
        <v/>
      </c>
      <c r="AG306" s="205" t="str">
        <f t="shared" si="118"/>
        <v/>
      </c>
      <c r="AH306" s="234" t="str">
        <f t="shared" si="119"/>
        <v/>
      </c>
      <c r="AI306" s="205" t="str">
        <f t="shared" si="120"/>
        <v/>
      </c>
      <c r="AJ306" s="234" t="str">
        <f t="shared" si="121"/>
        <v/>
      </c>
      <c r="AK306" s="144" t="str">
        <f>IF(AM306="Row Not Used","",INDEX(SpaceTable[Row],(MATCH(B306,SpaceTable[Space Name Concatenated Helper],0))))</f>
        <v/>
      </c>
      <c r="AL306" s="238" t="str">
        <f>IF(AM306="Row Not Used","",INDEX(SpaceTable[HVAC Factor],(MATCH(B306,SpaceTable[Space Name Concatenated Helper],0))))</f>
        <v/>
      </c>
      <c r="AM306" s="520" t="str">
        <f t="shared" si="122"/>
        <v>Row Not Used</v>
      </c>
      <c r="AN306" s="512" t="e" cm="1">
        <f t="array" ref="AN306">INDEX(BallastFactorTable[Ballast Factor],MATCH(1,(BallastFactorTable[Fixture Class]=D306)*(BallastFactorTable[Fixture Category]=E306)*(BallastFactorTable[Fixture Sub-category]=F306),0))</f>
        <v>#N/A</v>
      </c>
      <c r="AO306" s="143" t="str">
        <f t="shared" si="135"/>
        <v/>
      </c>
      <c r="AP306" s="501" t="e" cm="1">
        <f t="array" ref="AP306">INDEX(BallastFactorTable[Wattage Range Name],MATCH(1,(BallastFactorTable[Fixture Class]=D306)*(BallastFactorTable[Fixture Category]=E306)*(BallastFactorTable[Fixture Sub-category]=F306),0))</f>
        <v>#N/A</v>
      </c>
      <c r="AQ306" s="515" t="str">
        <f t="shared" ca="1" si="123"/>
        <v>Okay</v>
      </c>
      <c r="AR306" s="512">
        <f t="shared" si="124"/>
        <v>0</v>
      </c>
      <c r="AS306" s="511" t="str">
        <f>IF(OR(Measures!AM306="Row Not Used",Measures!C306="Controls Only",Measures!C306="Decommissioning"),"",_xlfn.CONCAT(P306," ",Q306))</f>
        <v/>
      </c>
      <c r="AT306" s="264" t="str">
        <f t="shared" si="125"/>
        <v>None</v>
      </c>
      <c r="AU306" s="229">
        <f>IF(OR(AM306="Row Not Used",AM306="Controls Only"),0,INDEX(IncentiveRateTable[Incentive Rate],MATCH(AT306,IncentiveRateTable[Incentive Name],0)))</f>
        <v>0</v>
      </c>
      <c r="AV306" s="133" t="str">
        <f>IF(OR(AM306="Row Not Used",AM306="Controls Only"),"None",INDEX(IncentiveRateTable[Incentive Unit],MATCH(AT306,IncentiveRateTable[Incentive Name],0)))</f>
        <v>None</v>
      </c>
      <c r="AW306" s="578">
        <f t="shared" si="136"/>
        <v>0</v>
      </c>
      <c r="AX306" s="264" t="str">
        <f t="shared" si="126"/>
        <v>None</v>
      </c>
      <c r="AY306" s="229">
        <f>IF(OR(AM306="Row Not Used",AM306="Fixtures Only",AM306="Decommissioning"),0,INDEX(IncentiveRateTable[Incentive Rate],MATCH(AX306,IncentiveRateTable[Incentive Name],0)))</f>
        <v>0</v>
      </c>
      <c r="AZ306" s="133" t="str">
        <f>IF(OR(AM306="Row Not Used",AM306="Fixtures Only",AM306="Decommissioning"),"None",INDEX(IncentiveRateTable[Incentive Unit],MATCH(AX306,IncentiveRateTable[Incentive Name],0)))</f>
        <v>None</v>
      </c>
      <c r="BA306" s="465">
        <f t="shared" si="127"/>
        <v>0</v>
      </c>
      <c r="BB306" s="264" t="e" cm="1">
        <f t="array" ref="BB306">INDEX(BallastFactorTable[Commercial BPA Reference Number],MATCH(1,(BallastFactorTable[Fixture Class]=J306)*(BallastFactorTable[Fixture Category]=K306)*(BallastFactorTable[Fixture Sub-category]=L306),0))</f>
        <v>#N/A</v>
      </c>
      <c r="BC306" s="133" t="e" cm="1">
        <f t="array" ref="BC306">INDEX(BallastFactorTable[Industrial BPA Reference Number],MATCH(1,(BallastFactorTable[Fixture Class]=J306)*(BallastFactorTable[Fixture Category]=K306)*(BallastFactorTable[Fixture Sub-category]=L306),0))</f>
        <v>#N/A</v>
      </c>
      <c r="BD306" s="264" t="str">
        <f t="shared" si="128"/>
        <v>Sector is blank</v>
      </c>
      <c r="BE306" s="269" t="str">
        <f>IF(ISBLANK(SectorField),"Sector is blank",IF(AM306="Row Not Used","",IF(OR(R306="No Controls",ISBLANK(R306)),"",INDEX(ControlsBPARefNoTable[Reference Number],MATCH(SectorField,ControlsBPARefNoTable[Sector],0)))))</f>
        <v>Sector is blank</v>
      </c>
      <c r="BF306" s="530" t="str">
        <f t="shared" si="129"/>
        <v/>
      </c>
      <c r="BG306" s="132" t="str">
        <f t="shared" si="130"/>
        <v/>
      </c>
      <c r="BH306" s="531" t="str">
        <f t="shared" si="131"/>
        <v/>
      </c>
      <c r="BI306" s="532"/>
      <c r="BJ306" s="538" t="str">
        <f t="shared" si="137"/>
        <v/>
      </c>
      <c r="BK306" s="539" t="str">
        <f t="shared" si="138"/>
        <v/>
      </c>
      <c r="BL306" s="547" t="str">
        <f t="shared" si="139"/>
        <v/>
      </c>
    </row>
    <row r="307" spans="1:64" x14ac:dyDescent="0.3">
      <c r="A307" s="133">
        <v>300</v>
      </c>
      <c r="B307" s="294"/>
      <c r="C307" s="313"/>
      <c r="D307" s="292"/>
      <c r="E307" s="284"/>
      <c r="F307" s="284"/>
      <c r="G307" s="295"/>
      <c r="H307" s="296"/>
      <c r="I307" s="297"/>
      <c r="J307" s="292"/>
      <c r="K307" s="284"/>
      <c r="L307" s="284"/>
      <c r="M307" s="295"/>
      <c r="N307" s="296"/>
      <c r="O307" s="296"/>
      <c r="P307" s="284"/>
      <c r="Q307" s="298"/>
      <c r="R307" s="292"/>
      <c r="S307" s="299"/>
      <c r="T307" s="300"/>
      <c r="U307" s="317" t="str">
        <f t="shared" si="113"/>
        <v/>
      </c>
      <c r="V307" s="301"/>
      <c r="W307" s="136" t="str">
        <f t="shared" si="114"/>
        <v/>
      </c>
      <c r="X307" s="588" t="str">
        <f t="shared" si="132"/>
        <v/>
      </c>
      <c r="Y307" s="580"/>
      <c r="Z307" s="251" t="str">
        <f t="shared" si="115"/>
        <v/>
      </c>
      <c r="AA307" s="138" t="str">
        <f t="shared" si="140"/>
        <v/>
      </c>
      <c r="AB307" s="243" t="str">
        <f t="shared" si="133"/>
        <v/>
      </c>
      <c r="AC307" s="141" t="str">
        <f t="shared" si="116"/>
        <v/>
      </c>
      <c r="AD307" s="138" t="str">
        <f t="shared" si="134"/>
        <v/>
      </c>
      <c r="AE307" s="243" t="str">
        <f t="shared" si="117"/>
        <v/>
      </c>
      <c r="AF307" s="342" t="str">
        <f>IF(AM307="Row Not Used","",INDEX(SpaceTable[Annual Hours],(MATCH(B307,SpaceTable[Space Name Concatenated Helper],0))))</f>
        <v/>
      </c>
      <c r="AG307" s="205" t="str">
        <f t="shared" si="118"/>
        <v/>
      </c>
      <c r="AH307" s="234" t="str">
        <f t="shared" si="119"/>
        <v/>
      </c>
      <c r="AI307" s="205" t="str">
        <f t="shared" si="120"/>
        <v/>
      </c>
      <c r="AJ307" s="234" t="str">
        <f t="shared" si="121"/>
        <v/>
      </c>
      <c r="AK307" s="144" t="str">
        <f>IF(AM307="Row Not Used","",INDEX(SpaceTable[Row],(MATCH(B307,SpaceTable[Space Name Concatenated Helper],0))))</f>
        <v/>
      </c>
      <c r="AL307" s="238" t="str">
        <f>IF(AM307="Row Not Used","",INDEX(SpaceTable[HVAC Factor],(MATCH(B307,SpaceTable[Space Name Concatenated Helper],0))))</f>
        <v/>
      </c>
      <c r="AM307" s="520" t="str">
        <f t="shared" si="122"/>
        <v>Row Not Used</v>
      </c>
      <c r="AN307" s="512" t="e" cm="1">
        <f t="array" ref="AN307">INDEX(BallastFactorTable[Ballast Factor],MATCH(1,(BallastFactorTable[Fixture Class]=D307)*(BallastFactorTable[Fixture Category]=E307)*(BallastFactorTable[Fixture Sub-category]=F307),0))</f>
        <v>#N/A</v>
      </c>
      <c r="AO307" s="143" t="str">
        <f t="shared" si="135"/>
        <v/>
      </c>
      <c r="AP307" s="501" t="e" cm="1">
        <f t="array" ref="AP307">INDEX(BallastFactorTable[Wattage Range Name],MATCH(1,(BallastFactorTable[Fixture Class]=D307)*(BallastFactorTable[Fixture Category]=E307)*(BallastFactorTable[Fixture Sub-category]=F307),0))</f>
        <v>#N/A</v>
      </c>
      <c r="AQ307" s="515" t="str">
        <f t="shared" ca="1" si="123"/>
        <v>Okay</v>
      </c>
      <c r="AR307" s="512">
        <f t="shared" si="124"/>
        <v>0</v>
      </c>
      <c r="AS307" s="511" t="str">
        <f>IF(OR(Measures!AM307="Row Not Used",Measures!C307="Controls Only",Measures!C307="Decommissioning"),"",_xlfn.CONCAT(P307," ",Q307))</f>
        <v/>
      </c>
      <c r="AT307" s="264" t="str">
        <f t="shared" si="125"/>
        <v>None</v>
      </c>
      <c r="AU307" s="229">
        <f>IF(OR(AM307="Row Not Used",AM307="Controls Only"),0,INDEX(IncentiveRateTable[Incentive Rate],MATCH(AT307,IncentiveRateTable[Incentive Name],0)))</f>
        <v>0</v>
      </c>
      <c r="AV307" s="133" t="str">
        <f>IF(OR(AM307="Row Not Used",AM307="Controls Only"),"None",INDEX(IncentiveRateTable[Incentive Unit],MATCH(AT307,IncentiveRateTable[Incentive Name],0)))</f>
        <v>None</v>
      </c>
      <c r="AW307" s="578">
        <f t="shared" si="136"/>
        <v>0</v>
      </c>
      <c r="AX307" s="264" t="str">
        <f t="shared" si="126"/>
        <v>None</v>
      </c>
      <c r="AY307" s="229">
        <f>IF(OR(AM307="Row Not Used",AM307="Fixtures Only",AM307="Decommissioning"),0,INDEX(IncentiveRateTable[Incentive Rate],MATCH(AX307,IncentiveRateTable[Incentive Name],0)))</f>
        <v>0</v>
      </c>
      <c r="AZ307" s="133" t="str">
        <f>IF(OR(AM307="Row Not Used",AM307="Fixtures Only",AM307="Decommissioning"),"None",INDEX(IncentiveRateTable[Incentive Unit],MATCH(AX307,IncentiveRateTable[Incentive Name],0)))</f>
        <v>None</v>
      </c>
      <c r="BA307" s="465">
        <f t="shared" si="127"/>
        <v>0</v>
      </c>
      <c r="BB307" s="264" t="e" cm="1">
        <f t="array" ref="BB307">INDEX(BallastFactorTable[Commercial BPA Reference Number],MATCH(1,(BallastFactorTable[Fixture Class]=J307)*(BallastFactorTable[Fixture Category]=K307)*(BallastFactorTable[Fixture Sub-category]=L307),0))</f>
        <v>#N/A</v>
      </c>
      <c r="BC307" s="133" t="e" cm="1">
        <f t="array" ref="BC307">INDEX(BallastFactorTable[Industrial BPA Reference Number],MATCH(1,(BallastFactorTable[Fixture Class]=J307)*(BallastFactorTable[Fixture Category]=K307)*(BallastFactorTable[Fixture Sub-category]=L307),0))</f>
        <v>#N/A</v>
      </c>
      <c r="BD307" s="264" t="str">
        <f t="shared" si="128"/>
        <v>Sector is blank</v>
      </c>
      <c r="BE307" s="269" t="str">
        <f>IF(ISBLANK(SectorField),"Sector is blank",IF(AM307="Row Not Used","",IF(OR(R307="No Controls",ISBLANK(R307)),"",INDEX(ControlsBPARefNoTable[Reference Number],MATCH(SectorField,ControlsBPARefNoTable[Sector],0)))))</f>
        <v>Sector is blank</v>
      </c>
      <c r="BF307" s="530" t="str">
        <f t="shared" si="129"/>
        <v/>
      </c>
      <c r="BG307" s="132" t="str">
        <f t="shared" si="130"/>
        <v/>
      </c>
      <c r="BH307" s="531" t="str">
        <f t="shared" si="131"/>
        <v/>
      </c>
      <c r="BI307" s="532"/>
      <c r="BJ307" s="538" t="str">
        <f t="shared" si="137"/>
        <v/>
      </c>
      <c r="BK307" s="539" t="str">
        <f t="shared" si="138"/>
        <v/>
      </c>
      <c r="BL307" s="547" t="str">
        <f t="shared" si="139"/>
        <v/>
      </c>
    </row>
    <row r="308" spans="1:64" x14ac:dyDescent="0.3">
      <c r="A308" s="133">
        <v>301</v>
      </c>
      <c r="B308" s="294"/>
      <c r="C308" s="313"/>
      <c r="D308" s="292"/>
      <c r="E308" s="284"/>
      <c r="F308" s="284"/>
      <c r="G308" s="295"/>
      <c r="H308" s="296"/>
      <c r="I308" s="297"/>
      <c r="J308" s="292"/>
      <c r="K308" s="284"/>
      <c r="L308" s="284"/>
      <c r="M308" s="295"/>
      <c r="N308" s="296"/>
      <c r="O308" s="296"/>
      <c r="P308" s="284"/>
      <c r="Q308" s="298"/>
      <c r="R308" s="292"/>
      <c r="S308" s="299"/>
      <c r="T308" s="300"/>
      <c r="U308" s="317" t="str">
        <f t="shared" si="113"/>
        <v/>
      </c>
      <c r="V308" s="301"/>
      <c r="W308" s="137" t="str">
        <f t="shared" si="114"/>
        <v/>
      </c>
      <c r="X308" s="589" t="str">
        <f t="shared" si="132"/>
        <v/>
      </c>
      <c r="Y308" s="581"/>
      <c r="Z308" s="251" t="str">
        <f t="shared" si="115"/>
        <v/>
      </c>
      <c r="AA308" s="138" t="str">
        <f t="shared" si="140"/>
        <v/>
      </c>
      <c r="AB308" s="243" t="str">
        <f t="shared" si="133"/>
        <v/>
      </c>
      <c r="AC308" s="141" t="str">
        <f t="shared" si="116"/>
        <v/>
      </c>
      <c r="AD308" s="138" t="str">
        <f t="shared" si="134"/>
        <v/>
      </c>
      <c r="AE308" s="243" t="str">
        <f t="shared" si="117"/>
        <v/>
      </c>
      <c r="AF308" s="342" t="str">
        <f>IF(AM308="Row Not Used","",INDEX(SpaceTable[Annual Hours],(MATCH(B308,SpaceTable[Space Name Concatenated Helper],0))))</f>
        <v/>
      </c>
      <c r="AG308" s="205" t="str">
        <f t="shared" si="118"/>
        <v/>
      </c>
      <c r="AH308" s="234" t="str">
        <f t="shared" si="119"/>
        <v/>
      </c>
      <c r="AI308" s="205" t="str">
        <f t="shared" si="120"/>
        <v/>
      </c>
      <c r="AJ308" s="234" t="str">
        <f t="shared" si="121"/>
        <v/>
      </c>
      <c r="AK308" s="144" t="str">
        <f>IF(AM308="Row Not Used","",INDEX(SpaceTable[Row],(MATCH(B308,SpaceTable[Space Name Concatenated Helper],0))))</f>
        <v/>
      </c>
      <c r="AL308" s="238" t="str">
        <f>IF(AM308="Row Not Used","",INDEX(SpaceTable[HVAC Factor],(MATCH(B308,SpaceTable[Space Name Concatenated Helper],0))))</f>
        <v/>
      </c>
      <c r="AM308" s="520" t="str">
        <f t="shared" si="122"/>
        <v>Row Not Used</v>
      </c>
      <c r="AN308" s="512" t="e" cm="1">
        <f t="array" ref="AN308">INDEX(BallastFactorTable[Ballast Factor],MATCH(1,(BallastFactorTable[Fixture Class]=D308)*(BallastFactorTable[Fixture Category]=E308)*(BallastFactorTable[Fixture Sub-category]=F308),0))</f>
        <v>#N/A</v>
      </c>
      <c r="AO308" s="143" t="str">
        <f t="shared" si="135"/>
        <v/>
      </c>
      <c r="AP308" s="501" t="e" cm="1">
        <f t="array" ref="AP308">INDEX(BallastFactorTable[Wattage Range Name],MATCH(1,(BallastFactorTable[Fixture Class]=D308)*(BallastFactorTable[Fixture Category]=E308)*(BallastFactorTable[Fixture Sub-category]=F308),0))</f>
        <v>#N/A</v>
      </c>
      <c r="AQ308" s="515" t="str">
        <f t="shared" ca="1" si="123"/>
        <v>Okay</v>
      </c>
      <c r="AR308" s="512">
        <f t="shared" si="124"/>
        <v>0</v>
      </c>
      <c r="AS308" s="511" t="str">
        <f>IF(OR(Measures!AM308="Row Not Used",Measures!C308="Controls Only",Measures!C308="Decommissioning"),"",_xlfn.CONCAT(P308," ",Q308))</f>
        <v/>
      </c>
      <c r="AT308" s="264" t="str">
        <f t="shared" si="125"/>
        <v>None</v>
      </c>
      <c r="AU308" s="229">
        <f>IF(OR(AM308="Row Not Used",AM308="Controls Only"),0,INDEX(IncentiveRateTable[Incentive Rate],MATCH(AT308,IncentiveRateTable[Incentive Name],0)))</f>
        <v>0</v>
      </c>
      <c r="AV308" s="133" t="str">
        <f>IF(OR(AM308="Row Not Used",AM308="Controls Only"),"None",INDEX(IncentiveRateTable[Incentive Unit],MATCH(AT308,IncentiveRateTable[Incentive Name],0)))</f>
        <v>None</v>
      </c>
      <c r="AW308" s="578">
        <f t="shared" si="136"/>
        <v>0</v>
      </c>
      <c r="AX308" s="264" t="str">
        <f t="shared" si="126"/>
        <v>None</v>
      </c>
      <c r="AY308" s="229">
        <f>IF(OR(AM308="Row Not Used",AM308="Fixtures Only",AM308="Decommissioning"),0,INDEX(IncentiveRateTable[Incentive Rate],MATCH(AX308,IncentiveRateTable[Incentive Name],0)))</f>
        <v>0</v>
      </c>
      <c r="AZ308" s="133" t="str">
        <f>IF(OR(AM308="Row Not Used",AM308="Fixtures Only",AM308="Decommissioning"),"None",INDEX(IncentiveRateTable[Incentive Unit],MATCH(AX308,IncentiveRateTable[Incentive Name],0)))</f>
        <v>None</v>
      </c>
      <c r="BA308" s="465">
        <f t="shared" si="127"/>
        <v>0</v>
      </c>
      <c r="BB308" s="264" t="e" cm="1">
        <f t="array" ref="BB308">INDEX(BallastFactorTable[Commercial BPA Reference Number],MATCH(1,(BallastFactorTable[Fixture Class]=J308)*(BallastFactorTable[Fixture Category]=K308)*(BallastFactorTable[Fixture Sub-category]=L308),0))</f>
        <v>#N/A</v>
      </c>
      <c r="BC308" s="133" t="e" cm="1">
        <f t="array" ref="BC308">INDEX(BallastFactorTable[Industrial BPA Reference Number],MATCH(1,(BallastFactorTable[Fixture Class]=J308)*(BallastFactorTable[Fixture Category]=K308)*(BallastFactorTable[Fixture Sub-category]=L308),0))</f>
        <v>#N/A</v>
      </c>
      <c r="BD308" s="264" t="str">
        <f t="shared" si="128"/>
        <v>Sector is blank</v>
      </c>
      <c r="BE308" s="269" t="str">
        <f>IF(ISBLANK(SectorField),"Sector is blank",IF(AM308="Row Not Used","",IF(OR(R308="No Controls",ISBLANK(R308)),"",INDEX(ControlsBPARefNoTable[Reference Number],MATCH(SectorField,ControlsBPARefNoTable[Sector],0)))))</f>
        <v>Sector is blank</v>
      </c>
      <c r="BF308" s="530" t="str">
        <f t="shared" si="129"/>
        <v/>
      </c>
      <c r="BG308" s="132" t="str">
        <f t="shared" si="130"/>
        <v/>
      </c>
      <c r="BH308" s="531" t="str">
        <f t="shared" si="131"/>
        <v/>
      </c>
      <c r="BI308" s="532"/>
      <c r="BJ308" s="538" t="str">
        <f t="shared" si="137"/>
        <v/>
      </c>
      <c r="BK308" s="539" t="str">
        <f t="shared" si="138"/>
        <v/>
      </c>
      <c r="BL308" s="547" t="str">
        <f t="shared" si="139"/>
        <v/>
      </c>
    </row>
    <row r="309" spans="1:64" x14ac:dyDescent="0.3">
      <c r="A309" s="133">
        <v>302</v>
      </c>
      <c r="B309" s="294"/>
      <c r="C309" s="313"/>
      <c r="D309" s="292"/>
      <c r="E309" s="284"/>
      <c r="F309" s="284"/>
      <c r="G309" s="295"/>
      <c r="H309" s="296"/>
      <c r="I309" s="297"/>
      <c r="J309" s="292"/>
      <c r="K309" s="284"/>
      <c r="L309" s="284"/>
      <c r="M309" s="295"/>
      <c r="N309" s="296"/>
      <c r="O309" s="296"/>
      <c r="P309" s="284"/>
      <c r="Q309" s="298"/>
      <c r="R309" s="292"/>
      <c r="S309" s="299"/>
      <c r="T309" s="300"/>
      <c r="U309" s="317" t="str">
        <f t="shared" si="113"/>
        <v/>
      </c>
      <c r="V309" s="301"/>
      <c r="W309" s="136" t="str">
        <f t="shared" si="114"/>
        <v/>
      </c>
      <c r="X309" s="588" t="str">
        <f t="shared" si="132"/>
        <v/>
      </c>
      <c r="Y309" s="580"/>
      <c r="Z309" s="251" t="str">
        <f t="shared" si="115"/>
        <v/>
      </c>
      <c r="AA309" s="138" t="str">
        <f t="shared" si="140"/>
        <v/>
      </c>
      <c r="AB309" s="243" t="str">
        <f t="shared" si="133"/>
        <v/>
      </c>
      <c r="AC309" s="141" t="str">
        <f t="shared" si="116"/>
        <v/>
      </c>
      <c r="AD309" s="138" t="str">
        <f t="shared" si="134"/>
        <v/>
      </c>
      <c r="AE309" s="243" t="str">
        <f t="shared" si="117"/>
        <v/>
      </c>
      <c r="AF309" s="342" t="str">
        <f>IF(AM309="Row Not Used","",INDEX(SpaceTable[Annual Hours],(MATCH(B309,SpaceTable[Space Name Concatenated Helper],0))))</f>
        <v/>
      </c>
      <c r="AG309" s="205" t="str">
        <f t="shared" si="118"/>
        <v/>
      </c>
      <c r="AH309" s="234" t="str">
        <f t="shared" si="119"/>
        <v/>
      </c>
      <c r="AI309" s="205" t="str">
        <f t="shared" si="120"/>
        <v/>
      </c>
      <c r="AJ309" s="234" t="str">
        <f t="shared" si="121"/>
        <v/>
      </c>
      <c r="AK309" s="144" t="str">
        <f>IF(AM309="Row Not Used","",INDEX(SpaceTable[Row],(MATCH(B309,SpaceTable[Space Name Concatenated Helper],0))))</f>
        <v/>
      </c>
      <c r="AL309" s="238" t="str">
        <f>IF(AM309="Row Not Used","",INDEX(SpaceTable[HVAC Factor],(MATCH(B309,SpaceTable[Space Name Concatenated Helper],0))))</f>
        <v/>
      </c>
      <c r="AM309" s="520" t="str">
        <f t="shared" si="122"/>
        <v>Row Not Used</v>
      </c>
      <c r="AN309" s="512" t="e" cm="1">
        <f t="array" ref="AN309">INDEX(BallastFactorTable[Ballast Factor],MATCH(1,(BallastFactorTable[Fixture Class]=D309)*(BallastFactorTable[Fixture Category]=E309)*(BallastFactorTable[Fixture Sub-category]=F309),0))</f>
        <v>#N/A</v>
      </c>
      <c r="AO309" s="143" t="str">
        <f t="shared" si="135"/>
        <v/>
      </c>
      <c r="AP309" s="501" t="e" cm="1">
        <f t="array" ref="AP309">INDEX(BallastFactorTable[Wattage Range Name],MATCH(1,(BallastFactorTable[Fixture Class]=D309)*(BallastFactorTable[Fixture Category]=E309)*(BallastFactorTable[Fixture Sub-category]=F309),0))</f>
        <v>#N/A</v>
      </c>
      <c r="AQ309" s="515" t="str">
        <f t="shared" ca="1" si="123"/>
        <v>Okay</v>
      </c>
      <c r="AR309" s="512">
        <f t="shared" si="124"/>
        <v>0</v>
      </c>
      <c r="AS309" s="511" t="str">
        <f>IF(OR(Measures!AM309="Row Not Used",Measures!C309="Controls Only",Measures!C309="Decommissioning"),"",_xlfn.CONCAT(P309," ",Q309))</f>
        <v/>
      </c>
      <c r="AT309" s="264" t="str">
        <f t="shared" si="125"/>
        <v>None</v>
      </c>
      <c r="AU309" s="229">
        <f>IF(OR(AM309="Row Not Used",AM309="Controls Only"),0,INDEX(IncentiveRateTable[Incentive Rate],MATCH(AT309,IncentiveRateTable[Incentive Name],0)))</f>
        <v>0</v>
      </c>
      <c r="AV309" s="133" t="str">
        <f>IF(OR(AM309="Row Not Used",AM309="Controls Only"),"None",INDEX(IncentiveRateTable[Incentive Unit],MATCH(AT309,IncentiveRateTable[Incentive Name],0)))</f>
        <v>None</v>
      </c>
      <c r="AW309" s="578">
        <f t="shared" si="136"/>
        <v>0</v>
      </c>
      <c r="AX309" s="264" t="str">
        <f t="shared" si="126"/>
        <v>None</v>
      </c>
      <c r="AY309" s="229">
        <f>IF(OR(AM309="Row Not Used",AM309="Fixtures Only",AM309="Decommissioning"),0,INDEX(IncentiveRateTable[Incentive Rate],MATCH(AX309,IncentiveRateTable[Incentive Name],0)))</f>
        <v>0</v>
      </c>
      <c r="AZ309" s="133" t="str">
        <f>IF(OR(AM309="Row Not Used",AM309="Fixtures Only",AM309="Decommissioning"),"None",INDEX(IncentiveRateTable[Incentive Unit],MATCH(AX309,IncentiveRateTable[Incentive Name],0)))</f>
        <v>None</v>
      </c>
      <c r="BA309" s="465">
        <f t="shared" si="127"/>
        <v>0</v>
      </c>
      <c r="BB309" s="264" t="e" cm="1">
        <f t="array" ref="BB309">INDEX(BallastFactorTable[Commercial BPA Reference Number],MATCH(1,(BallastFactorTable[Fixture Class]=J309)*(BallastFactorTable[Fixture Category]=K309)*(BallastFactorTable[Fixture Sub-category]=L309),0))</f>
        <v>#N/A</v>
      </c>
      <c r="BC309" s="133" t="e" cm="1">
        <f t="array" ref="BC309">INDEX(BallastFactorTable[Industrial BPA Reference Number],MATCH(1,(BallastFactorTable[Fixture Class]=J309)*(BallastFactorTable[Fixture Category]=K309)*(BallastFactorTable[Fixture Sub-category]=L309),0))</f>
        <v>#N/A</v>
      </c>
      <c r="BD309" s="264" t="str">
        <f t="shared" si="128"/>
        <v>Sector is blank</v>
      </c>
      <c r="BE309" s="269" t="str">
        <f>IF(ISBLANK(SectorField),"Sector is blank",IF(AM309="Row Not Used","",IF(OR(R309="No Controls",ISBLANK(R309)),"",INDEX(ControlsBPARefNoTable[Reference Number],MATCH(SectorField,ControlsBPARefNoTable[Sector],0)))))</f>
        <v>Sector is blank</v>
      </c>
      <c r="BF309" s="530" t="str">
        <f t="shared" si="129"/>
        <v/>
      </c>
      <c r="BG309" s="132" t="str">
        <f t="shared" si="130"/>
        <v/>
      </c>
      <c r="BH309" s="531" t="str">
        <f t="shared" si="131"/>
        <v/>
      </c>
      <c r="BI309" s="532"/>
      <c r="BJ309" s="538" t="str">
        <f t="shared" si="137"/>
        <v/>
      </c>
      <c r="BK309" s="539" t="str">
        <f t="shared" si="138"/>
        <v/>
      </c>
      <c r="BL309" s="547" t="str">
        <f t="shared" si="139"/>
        <v/>
      </c>
    </row>
    <row r="310" spans="1:64" x14ac:dyDescent="0.3">
      <c r="A310" s="133">
        <v>303</v>
      </c>
      <c r="B310" s="294"/>
      <c r="C310" s="313"/>
      <c r="D310" s="292"/>
      <c r="E310" s="284"/>
      <c r="F310" s="284"/>
      <c r="G310" s="295"/>
      <c r="H310" s="296"/>
      <c r="I310" s="297"/>
      <c r="J310" s="292"/>
      <c r="K310" s="284"/>
      <c r="L310" s="284"/>
      <c r="M310" s="295"/>
      <c r="N310" s="296"/>
      <c r="O310" s="296"/>
      <c r="P310" s="284"/>
      <c r="Q310" s="298"/>
      <c r="R310" s="292"/>
      <c r="S310" s="299"/>
      <c r="T310" s="300"/>
      <c r="U310" s="317" t="str">
        <f t="shared" si="113"/>
        <v/>
      </c>
      <c r="V310" s="301"/>
      <c r="W310" s="137" t="str">
        <f t="shared" si="114"/>
        <v/>
      </c>
      <c r="X310" s="589" t="str">
        <f t="shared" si="132"/>
        <v/>
      </c>
      <c r="Y310" s="581"/>
      <c r="Z310" s="251" t="str">
        <f t="shared" si="115"/>
        <v/>
      </c>
      <c r="AA310" s="138" t="str">
        <f t="shared" si="140"/>
        <v/>
      </c>
      <c r="AB310" s="243" t="str">
        <f t="shared" si="133"/>
        <v/>
      </c>
      <c r="AC310" s="141" t="str">
        <f t="shared" si="116"/>
        <v/>
      </c>
      <c r="AD310" s="138" t="str">
        <f t="shared" si="134"/>
        <v/>
      </c>
      <c r="AE310" s="243" t="str">
        <f t="shared" si="117"/>
        <v/>
      </c>
      <c r="AF310" s="342" t="str">
        <f>IF(AM310="Row Not Used","",INDEX(SpaceTable[Annual Hours],(MATCH(B310,SpaceTable[Space Name Concatenated Helper],0))))</f>
        <v/>
      </c>
      <c r="AG310" s="205" t="str">
        <f t="shared" si="118"/>
        <v/>
      </c>
      <c r="AH310" s="234" t="str">
        <f t="shared" si="119"/>
        <v/>
      </c>
      <c r="AI310" s="205" t="str">
        <f t="shared" si="120"/>
        <v/>
      </c>
      <c r="AJ310" s="234" t="str">
        <f t="shared" si="121"/>
        <v/>
      </c>
      <c r="AK310" s="144" t="str">
        <f>IF(AM310="Row Not Used","",INDEX(SpaceTable[Row],(MATCH(B310,SpaceTable[Space Name Concatenated Helper],0))))</f>
        <v/>
      </c>
      <c r="AL310" s="238" t="str">
        <f>IF(AM310="Row Not Used","",INDEX(SpaceTable[HVAC Factor],(MATCH(B310,SpaceTable[Space Name Concatenated Helper],0))))</f>
        <v/>
      </c>
      <c r="AM310" s="520" t="str">
        <f t="shared" si="122"/>
        <v>Row Not Used</v>
      </c>
      <c r="AN310" s="512" t="e" cm="1">
        <f t="array" ref="AN310">INDEX(BallastFactorTable[Ballast Factor],MATCH(1,(BallastFactorTable[Fixture Class]=D310)*(BallastFactorTable[Fixture Category]=E310)*(BallastFactorTable[Fixture Sub-category]=F310),0))</f>
        <v>#N/A</v>
      </c>
      <c r="AO310" s="143" t="str">
        <f t="shared" si="135"/>
        <v/>
      </c>
      <c r="AP310" s="501" t="e" cm="1">
        <f t="array" ref="AP310">INDEX(BallastFactorTable[Wattage Range Name],MATCH(1,(BallastFactorTable[Fixture Class]=D310)*(BallastFactorTable[Fixture Category]=E310)*(BallastFactorTable[Fixture Sub-category]=F310),0))</f>
        <v>#N/A</v>
      </c>
      <c r="AQ310" s="515" t="str">
        <f t="shared" ca="1" si="123"/>
        <v>Okay</v>
      </c>
      <c r="AR310" s="512">
        <f t="shared" si="124"/>
        <v>0</v>
      </c>
      <c r="AS310" s="511" t="str">
        <f>IF(OR(Measures!AM310="Row Not Used",Measures!C310="Controls Only",Measures!C310="Decommissioning"),"",_xlfn.CONCAT(P310," ",Q310))</f>
        <v/>
      </c>
      <c r="AT310" s="264" t="str">
        <f t="shared" si="125"/>
        <v>None</v>
      </c>
      <c r="AU310" s="229">
        <f>IF(OR(AM310="Row Not Used",AM310="Controls Only"),0,INDEX(IncentiveRateTable[Incentive Rate],MATCH(AT310,IncentiveRateTable[Incentive Name],0)))</f>
        <v>0</v>
      </c>
      <c r="AV310" s="133" t="str">
        <f>IF(OR(AM310="Row Not Used",AM310="Controls Only"),"None",INDEX(IncentiveRateTable[Incentive Unit],MATCH(AT310,IncentiveRateTable[Incentive Name],0)))</f>
        <v>None</v>
      </c>
      <c r="AW310" s="578">
        <f t="shared" si="136"/>
        <v>0</v>
      </c>
      <c r="AX310" s="264" t="str">
        <f t="shared" si="126"/>
        <v>None</v>
      </c>
      <c r="AY310" s="229">
        <f>IF(OR(AM310="Row Not Used",AM310="Fixtures Only",AM310="Decommissioning"),0,INDEX(IncentiveRateTable[Incentive Rate],MATCH(AX310,IncentiveRateTable[Incentive Name],0)))</f>
        <v>0</v>
      </c>
      <c r="AZ310" s="133" t="str">
        <f>IF(OR(AM310="Row Not Used",AM310="Fixtures Only",AM310="Decommissioning"),"None",INDEX(IncentiveRateTable[Incentive Unit],MATCH(AX310,IncentiveRateTable[Incentive Name],0)))</f>
        <v>None</v>
      </c>
      <c r="BA310" s="465">
        <f t="shared" si="127"/>
        <v>0</v>
      </c>
      <c r="BB310" s="264" t="e" cm="1">
        <f t="array" ref="BB310">INDEX(BallastFactorTable[Commercial BPA Reference Number],MATCH(1,(BallastFactorTable[Fixture Class]=J310)*(BallastFactorTable[Fixture Category]=K310)*(BallastFactorTable[Fixture Sub-category]=L310),0))</f>
        <v>#N/A</v>
      </c>
      <c r="BC310" s="133" t="e" cm="1">
        <f t="array" ref="BC310">INDEX(BallastFactorTable[Industrial BPA Reference Number],MATCH(1,(BallastFactorTable[Fixture Class]=J310)*(BallastFactorTable[Fixture Category]=K310)*(BallastFactorTable[Fixture Sub-category]=L310),0))</f>
        <v>#N/A</v>
      </c>
      <c r="BD310" s="264" t="str">
        <f t="shared" si="128"/>
        <v>Sector is blank</v>
      </c>
      <c r="BE310" s="269" t="str">
        <f>IF(ISBLANK(SectorField),"Sector is blank",IF(AM310="Row Not Used","",IF(OR(R310="No Controls",ISBLANK(R310)),"",INDEX(ControlsBPARefNoTable[Reference Number],MATCH(SectorField,ControlsBPARefNoTable[Sector],0)))))</f>
        <v>Sector is blank</v>
      </c>
      <c r="BF310" s="530" t="str">
        <f t="shared" si="129"/>
        <v/>
      </c>
      <c r="BG310" s="132" t="str">
        <f t="shared" si="130"/>
        <v/>
      </c>
      <c r="BH310" s="531" t="str">
        <f t="shared" si="131"/>
        <v/>
      </c>
      <c r="BI310" s="532"/>
      <c r="BJ310" s="538" t="str">
        <f t="shared" si="137"/>
        <v/>
      </c>
      <c r="BK310" s="539" t="str">
        <f t="shared" si="138"/>
        <v/>
      </c>
      <c r="BL310" s="547" t="str">
        <f t="shared" si="139"/>
        <v/>
      </c>
    </row>
    <row r="311" spans="1:64" x14ac:dyDescent="0.3">
      <c r="A311" s="133">
        <v>304</v>
      </c>
      <c r="B311" s="294"/>
      <c r="C311" s="313"/>
      <c r="D311" s="292"/>
      <c r="E311" s="284"/>
      <c r="F311" s="284"/>
      <c r="G311" s="295"/>
      <c r="H311" s="296"/>
      <c r="I311" s="297"/>
      <c r="J311" s="292"/>
      <c r="K311" s="284"/>
      <c r="L311" s="284"/>
      <c r="M311" s="295"/>
      <c r="N311" s="296"/>
      <c r="O311" s="296"/>
      <c r="P311" s="284"/>
      <c r="Q311" s="298"/>
      <c r="R311" s="292"/>
      <c r="S311" s="299"/>
      <c r="T311" s="300"/>
      <c r="U311" s="317" t="str">
        <f t="shared" si="113"/>
        <v/>
      </c>
      <c r="V311" s="301"/>
      <c r="W311" s="136" t="str">
        <f t="shared" si="114"/>
        <v/>
      </c>
      <c r="X311" s="588" t="str">
        <f t="shared" si="132"/>
        <v/>
      </c>
      <c r="Y311" s="580"/>
      <c r="Z311" s="251" t="str">
        <f t="shared" si="115"/>
        <v/>
      </c>
      <c r="AA311" s="138" t="str">
        <f t="shared" si="140"/>
        <v/>
      </c>
      <c r="AB311" s="243" t="str">
        <f t="shared" si="133"/>
        <v/>
      </c>
      <c r="AC311" s="141" t="str">
        <f t="shared" si="116"/>
        <v/>
      </c>
      <c r="AD311" s="138" t="str">
        <f t="shared" si="134"/>
        <v/>
      </c>
      <c r="AE311" s="243" t="str">
        <f t="shared" si="117"/>
        <v/>
      </c>
      <c r="AF311" s="342" t="str">
        <f>IF(AM311="Row Not Used","",INDEX(SpaceTable[Annual Hours],(MATCH(B311,SpaceTable[Space Name Concatenated Helper],0))))</f>
        <v/>
      </c>
      <c r="AG311" s="205" t="str">
        <f t="shared" si="118"/>
        <v/>
      </c>
      <c r="AH311" s="234" t="str">
        <f t="shared" si="119"/>
        <v/>
      </c>
      <c r="AI311" s="205" t="str">
        <f t="shared" si="120"/>
        <v/>
      </c>
      <c r="AJ311" s="234" t="str">
        <f t="shared" si="121"/>
        <v/>
      </c>
      <c r="AK311" s="144" t="str">
        <f>IF(AM311="Row Not Used","",INDEX(SpaceTable[Row],(MATCH(B311,SpaceTable[Space Name Concatenated Helper],0))))</f>
        <v/>
      </c>
      <c r="AL311" s="238" t="str">
        <f>IF(AM311="Row Not Used","",INDEX(SpaceTable[HVAC Factor],(MATCH(B311,SpaceTable[Space Name Concatenated Helper],0))))</f>
        <v/>
      </c>
      <c r="AM311" s="520" t="str">
        <f t="shared" si="122"/>
        <v>Row Not Used</v>
      </c>
      <c r="AN311" s="512" t="e" cm="1">
        <f t="array" ref="AN311">INDEX(BallastFactorTable[Ballast Factor],MATCH(1,(BallastFactorTable[Fixture Class]=D311)*(BallastFactorTable[Fixture Category]=E311)*(BallastFactorTable[Fixture Sub-category]=F311),0))</f>
        <v>#N/A</v>
      </c>
      <c r="AO311" s="143" t="str">
        <f t="shared" si="135"/>
        <v/>
      </c>
      <c r="AP311" s="501" t="e" cm="1">
        <f t="array" ref="AP311">INDEX(BallastFactorTable[Wattage Range Name],MATCH(1,(BallastFactorTable[Fixture Class]=D311)*(BallastFactorTable[Fixture Category]=E311)*(BallastFactorTable[Fixture Sub-category]=F311),0))</f>
        <v>#N/A</v>
      </c>
      <c r="AQ311" s="515" t="str">
        <f t="shared" ca="1" si="123"/>
        <v>Okay</v>
      </c>
      <c r="AR311" s="512">
        <f t="shared" si="124"/>
        <v>0</v>
      </c>
      <c r="AS311" s="511" t="str">
        <f>IF(OR(Measures!AM311="Row Not Used",Measures!C311="Controls Only",Measures!C311="Decommissioning"),"",_xlfn.CONCAT(P311," ",Q311))</f>
        <v/>
      </c>
      <c r="AT311" s="264" t="str">
        <f t="shared" si="125"/>
        <v>None</v>
      </c>
      <c r="AU311" s="229">
        <f>IF(OR(AM311="Row Not Used",AM311="Controls Only"),0,INDEX(IncentiveRateTable[Incentive Rate],MATCH(AT311,IncentiveRateTable[Incentive Name],0)))</f>
        <v>0</v>
      </c>
      <c r="AV311" s="133" t="str">
        <f>IF(OR(AM311="Row Not Used",AM311="Controls Only"),"None",INDEX(IncentiveRateTable[Incentive Unit],MATCH(AT311,IncentiveRateTable[Incentive Name],0)))</f>
        <v>None</v>
      </c>
      <c r="AW311" s="578">
        <f t="shared" si="136"/>
        <v>0</v>
      </c>
      <c r="AX311" s="264" t="str">
        <f t="shared" si="126"/>
        <v>None</v>
      </c>
      <c r="AY311" s="229">
        <f>IF(OR(AM311="Row Not Used",AM311="Fixtures Only",AM311="Decommissioning"),0,INDEX(IncentiveRateTable[Incentive Rate],MATCH(AX311,IncentiveRateTable[Incentive Name],0)))</f>
        <v>0</v>
      </c>
      <c r="AZ311" s="133" t="str">
        <f>IF(OR(AM311="Row Not Used",AM311="Fixtures Only",AM311="Decommissioning"),"None",INDEX(IncentiveRateTable[Incentive Unit],MATCH(AX311,IncentiveRateTable[Incentive Name],0)))</f>
        <v>None</v>
      </c>
      <c r="BA311" s="465">
        <f t="shared" si="127"/>
        <v>0</v>
      </c>
      <c r="BB311" s="264" t="e" cm="1">
        <f t="array" ref="BB311">INDEX(BallastFactorTable[Commercial BPA Reference Number],MATCH(1,(BallastFactorTable[Fixture Class]=J311)*(BallastFactorTable[Fixture Category]=K311)*(BallastFactorTable[Fixture Sub-category]=L311),0))</f>
        <v>#N/A</v>
      </c>
      <c r="BC311" s="133" t="e" cm="1">
        <f t="array" ref="BC311">INDEX(BallastFactorTable[Industrial BPA Reference Number],MATCH(1,(BallastFactorTable[Fixture Class]=J311)*(BallastFactorTable[Fixture Category]=K311)*(BallastFactorTable[Fixture Sub-category]=L311),0))</f>
        <v>#N/A</v>
      </c>
      <c r="BD311" s="264" t="str">
        <f t="shared" si="128"/>
        <v>Sector is blank</v>
      </c>
      <c r="BE311" s="269" t="str">
        <f>IF(ISBLANK(SectorField),"Sector is blank",IF(AM311="Row Not Used","",IF(OR(R311="No Controls",ISBLANK(R311)),"",INDEX(ControlsBPARefNoTable[Reference Number],MATCH(SectorField,ControlsBPARefNoTable[Sector],0)))))</f>
        <v>Sector is blank</v>
      </c>
      <c r="BF311" s="530" t="str">
        <f t="shared" si="129"/>
        <v/>
      </c>
      <c r="BG311" s="132" t="str">
        <f t="shared" si="130"/>
        <v/>
      </c>
      <c r="BH311" s="531" t="str">
        <f t="shared" si="131"/>
        <v/>
      </c>
      <c r="BI311" s="532"/>
      <c r="BJ311" s="538" t="str">
        <f t="shared" si="137"/>
        <v/>
      </c>
      <c r="BK311" s="539" t="str">
        <f t="shared" si="138"/>
        <v/>
      </c>
      <c r="BL311" s="547" t="str">
        <f t="shared" si="139"/>
        <v/>
      </c>
    </row>
    <row r="312" spans="1:64" x14ac:dyDescent="0.3">
      <c r="A312" s="133">
        <v>305</v>
      </c>
      <c r="B312" s="294"/>
      <c r="C312" s="313"/>
      <c r="D312" s="292"/>
      <c r="E312" s="284"/>
      <c r="F312" s="284"/>
      <c r="G312" s="295"/>
      <c r="H312" s="296"/>
      <c r="I312" s="297"/>
      <c r="J312" s="292"/>
      <c r="K312" s="284"/>
      <c r="L312" s="284"/>
      <c r="M312" s="295"/>
      <c r="N312" s="296"/>
      <c r="O312" s="296"/>
      <c r="P312" s="284"/>
      <c r="Q312" s="298"/>
      <c r="R312" s="292"/>
      <c r="S312" s="299"/>
      <c r="T312" s="300"/>
      <c r="U312" s="317" t="str">
        <f t="shared" si="113"/>
        <v/>
      </c>
      <c r="V312" s="301"/>
      <c r="W312" s="137" t="str">
        <f t="shared" si="114"/>
        <v/>
      </c>
      <c r="X312" s="589" t="str">
        <f t="shared" si="132"/>
        <v/>
      </c>
      <c r="Y312" s="581"/>
      <c r="Z312" s="251" t="str">
        <f t="shared" si="115"/>
        <v/>
      </c>
      <c r="AA312" s="138" t="str">
        <f t="shared" si="140"/>
        <v/>
      </c>
      <c r="AB312" s="243" t="str">
        <f t="shared" si="133"/>
        <v/>
      </c>
      <c r="AC312" s="141" t="str">
        <f t="shared" si="116"/>
        <v/>
      </c>
      <c r="AD312" s="138" t="str">
        <f t="shared" si="134"/>
        <v/>
      </c>
      <c r="AE312" s="243" t="str">
        <f t="shared" si="117"/>
        <v/>
      </c>
      <c r="AF312" s="342" t="str">
        <f>IF(AM312="Row Not Used","",INDEX(SpaceTable[Annual Hours],(MATCH(B312,SpaceTable[Space Name Concatenated Helper],0))))</f>
        <v/>
      </c>
      <c r="AG312" s="205" t="str">
        <f t="shared" si="118"/>
        <v/>
      </c>
      <c r="AH312" s="234" t="str">
        <f t="shared" si="119"/>
        <v/>
      </c>
      <c r="AI312" s="205" t="str">
        <f t="shared" si="120"/>
        <v/>
      </c>
      <c r="AJ312" s="234" t="str">
        <f t="shared" si="121"/>
        <v/>
      </c>
      <c r="AK312" s="144" t="str">
        <f>IF(AM312="Row Not Used","",INDEX(SpaceTable[Row],(MATCH(B312,SpaceTable[Space Name Concatenated Helper],0))))</f>
        <v/>
      </c>
      <c r="AL312" s="238" t="str">
        <f>IF(AM312="Row Not Used","",INDEX(SpaceTable[HVAC Factor],(MATCH(B312,SpaceTable[Space Name Concatenated Helper],0))))</f>
        <v/>
      </c>
      <c r="AM312" s="520" t="str">
        <f t="shared" si="122"/>
        <v>Row Not Used</v>
      </c>
      <c r="AN312" s="512" t="e" cm="1">
        <f t="array" ref="AN312">INDEX(BallastFactorTable[Ballast Factor],MATCH(1,(BallastFactorTable[Fixture Class]=D312)*(BallastFactorTable[Fixture Category]=E312)*(BallastFactorTable[Fixture Sub-category]=F312),0))</f>
        <v>#N/A</v>
      </c>
      <c r="AO312" s="143" t="str">
        <f t="shared" si="135"/>
        <v/>
      </c>
      <c r="AP312" s="501" t="e" cm="1">
        <f t="array" ref="AP312">INDEX(BallastFactorTable[Wattage Range Name],MATCH(1,(BallastFactorTable[Fixture Class]=D312)*(BallastFactorTable[Fixture Category]=E312)*(BallastFactorTable[Fixture Sub-category]=F312),0))</f>
        <v>#N/A</v>
      </c>
      <c r="AQ312" s="515" t="str">
        <f t="shared" ca="1" si="123"/>
        <v>Okay</v>
      </c>
      <c r="AR312" s="512">
        <f t="shared" si="124"/>
        <v>0</v>
      </c>
      <c r="AS312" s="511" t="str">
        <f>IF(OR(Measures!AM312="Row Not Used",Measures!C312="Controls Only",Measures!C312="Decommissioning"),"",_xlfn.CONCAT(P312," ",Q312))</f>
        <v/>
      </c>
      <c r="AT312" s="264" t="str">
        <f t="shared" si="125"/>
        <v>None</v>
      </c>
      <c r="AU312" s="229">
        <f>IF(OR(AM312="Row Not Used",AM312="Controls Only"),0,INDEX(IncentiveRateTable[Incentive Rate],MATCH(AT312,IncentiveRateTable[Incentive Name],0)))</f>
        <v>0</v>
      </c>
      <c r="AV312" s="133" t="str">
        <f>IF(OR(AM312="Row Not Used",AM312="Controls Only"),"None",INDEX(IncentiveRateTable[Incentive Unit],MATCH(AT312,IncentiveRateTable[Incentive Name],0)))</f>
        <v>None</v>
      </c>
      <c r="AW312" s="578">
        <f t="shared" si="136"/>
        <v>0</v>
      </c>
      <c r="AX312" s="264" t="str">
        <f t="shared" si="126"/>
        <v>None</v>
      </c>
      <c r="AY312" s="229">
        <f>IF(OR(AM312="Row Not Used",AM312="Fixtures Only",AM312="Decommissioning"),0,INDEX(IncentiveRateTable[Incentive Rate],MATCH(AX312,IncentiveRateTable[Incentive Name],0)))</f>
        <v>0</v>
      </c>
      <c r="AZ312" s="133" t="str">
        <f>IF(OR(AM312="Row Not Used",AM312="Fixtures Only",AM312="Decommissioning"),"None",INDEX(IncentiveRateTable[Incentive Unit],MATCH(AX312,IncentiveRateTable[Incentive Name],0)))</f>
        <v>None</v>
      </c>
      <c r="BA312" s="465">
        <f t="shared" si="127"/>
        <v>0</v>
      </c>
      <c r="BB312" s="264" t="e" cm="1">
        <f t="array" ref="BB312">INDEX(BallastFactorTable[Commercial BPA Reference Number],MATCH(1,(BallastFactorTable[Fixture Class]=J312)*(BallastFactorTable[Fixture Category]=K312)*(BallastFactorTable[Fixture Sub-category]=L312),0))</f>
        <v>#N/A</v>
      </c>
      <c r="BC312" s="133" t="e" cm="1">
        <f t="array" ref="BC312">INDEX(BallastFactorTable[Industrial BPA Reference Number],MATCH(1,(BallastFactorTable[Fixture Class]=J312)*(BallastFactorTable[Fixture Category]=K312)*(BallastFactorTable[Fixture Sub-category]=L312),0))</f>
        <v>#N/A</v>
      </c>
      <c r="BD312" s="264" t="str">
        <f t="shared" si="128"/>
        <v>Sector is blank</v>
      </c>
      <c r="BE312" s="269" t="str">
        <f>IF(ISBLANK(SectorField),"Sector is blank",IF(AM312="Row Not Used","",IF(OR(R312="No Controls",ISBLANK(R312)),"",INDEX(ControlsBPARefNoTable[Reference Number],MATCH(SectorField,ControlsBPARefNoTable[Sector],0)))))</f>
        <v>Sector is blank</v>
      </c>
      <c r="BF312" s="530" t="str">
        <f t="shared" si="129"/>
        <v/>
      </c>
      <c r="BG312" s="132" t="str">
        <f t="shared" si="130"/>
        <v/>
      </c>
      <c r="BH312" s="531" t="str">
        <f t="shared" si="131"/>
        <v/>
      </c>
      <c r="BI312" s="532"/>
      <c r="BJ312" s="538" t="str">
        <f t="shared" si="137"/>
        <v/>
      </c>
      <c r="BK312" s="539" t="str">
        <f t="shared" si="138"/>
        <v/>
      </c>
      <c r="BL312" s="547" t="str">
        <f t="shared" si="139"/>
        <v/>
      </c>
    </row>
    <row r="313" spans="1:64" x14ac:dyDescent="0.3">
      <c r="A313" s="133">
        <v>306</v>
      </c>
      <c r="B313" s="294"/>
      <c r="C313" s="313"/>
      <c r="D313" s="292"/>
      <c r="E313" s="284"/>
      <c r="F313" s="284"/>
      <c r="G313" s="295"/>
      <c r="H313" s="296"/>
      <c r="I313" s="297"/>
      <c r="J313" s="292"/>
      <c r="K313" s="284"/>
      <c r="L313" s="284"/>
      <c r="M313" s="295"/>
      <c r="N313" s="296"/>
      <c r="O313" s="296"/>
      <c r="P313" s="284"/>
      <c r="Q313" s="298"/>
      <c r="R313" s="292"/>
      <c r="S313" s="299"/>
      <c r="T313" s="300"/>
      <c r="U313" s="317" t="str">
        <f t="shared" si="113"/>
        <v/>
      </c>
      <c r="V313" s="301"/>
      <c r="W313" s="136" t="str">
        <f t="shared" si="114"/>
        <v/>
      </c>
      <c r="X313" s="588" t="str">
        <f t="shared" si="132"/>
        <v/>
      </c>
      <c r="Y313" s="580"/>
      <c r="Z313" s="251" t="str">
        <f t="shared" si="115"/>
        <v/>
      </c>
      <c r="AA313" s="138" t="str">
        <f t="shared" si="140"/>
        <v/>
      </c>
      <c r="AB313" s="243" t="str">
        <f t="shared" si="133"/>
        <v/>
      </c>
      <c r="AC313" s="141" t="str">
        <f t="shared" si="116"/>
        <v/>
      </c>
      <c r="AD313" s="138" t="str">
        <f t="shared" si="134"/>
        <v/>
      </c>
      <c r="AE313" s="243" t="str">
        <f t="shared" si="117"/>
        <v/>
      </c>
      <c r="AF313" s="342" t="str">
        <f>IF(AM313="Row Not Used","",INDEX(SpaceTable[Annual Hours],(MATCH(B313,SpaceTable[Space Name Concatenated Helper],0))))</f>
        <v/>
      </c>
      <c r="AG313" s="205" t="str">
        <f t="shared" si="118"/>
        <v/>
      </c>
      <c r="AH313" s="234" t="str">
        <f t="shared" si="119"/>
        <v/>
      </c>
      <c r="AI313" s="205" t="str">
        <f t="shared" si="120"/>
        <v/>
      </c>
      <c r="AJ313" s="234" t="str">
        <f t="shared" si="121"/>
        <v/>
      </c>
      <c r="AK313" s="144" t="str">
        <f>IF(AM313="Row Not Used","",INDEX(SpaceTable[Row],(MATCH(B313,SpaceTable[Space Name Concatenated Helper],0))))</f>
        <v/>
      </c>
      <c r="AL313" s="238" t="str">
        <f>IF(AM313="Row Not Used","",INDEX(SpaceTable[HVAC Factor],(MATCH(B313,SpaceTable[Space Name Concatenated Helper],0))))</f>
        <v/>
      </c>
      <c r="AM313" s="520" t="str">
        <f t="shared" si="122"/>
        <v>Row Not Used</v>
      </c>
      <c r="AN313" s="512" t="e" cm="1">
        <f t="array" ref="AN313">INDEX(BallastFactorTable[Ballast Factor],MATCH(1,(BallastFactorTable[Fixture Class]=D313)*(BallastFactorTable[Fixture Category]=E313)*(BallastFactorTable[Fixture Sub-category]=F313),0))</f>
        <v>#N/A</v>
      </c>
      <c r="AO313" s="143" t="str">
        <f t="shared" si="135"/>
        <v/>
      </c>
      <c r="AP313" s="501" t="e" cm="1">
        <f t="array" ref="AP313">INDEX(BallastFactorTable[Wattage Range Name],MATCH(1,(BallastFactorTable[Fixture Class]=D313)*(BallastFactorTable[Fixture Category]=E313)*(BallastFactorTable[Fixture Sub-category]=F313),0))</f>
        <v>#N/A</v>
      </c>
      <c r="AQ313" s="515" t="str">
        <f t="shared" ca="1" si="123"/>
        <v>Okay</v>
      </c>
      <c r="AR313" s="512">
        <f t="shared" si="124"/>
        <v>0</v>
      </c>
      <c r="AS313" s="511" t="str">
        <f>IF(OR(Measures!AM313="Row Not Used",Measures!C313="Controls Only",Measures!C313="Decommissioning"),"",_xlfn.CONCAT(P313," ",Q313))</f>
        <v/>
      </c>
      <c r="AT313" s="264" t="str">
        <f t="shared" si="125"/>
        <v>None</v>
      </c>
      <c r="AU313" s="229">
        <f>IF(OR(AM313="Row Not Used",AM313="Controls Only"),0,INDEX(IncentiveRateTable[Incentive Rate],MATCH(AT313,IncentiveRateTable[Incentive Name],0)))</f>
        <v>0</v>
      </c>
      <c r="AV313" s="133" t="str">
        <f>IF(OR(AM313="Row Not Used",AM313="Controls Only"),"None",INDEX(IncentiveRateTable[Incentive Unit],MATCH(AT313,IncentiveRateTable[Incentive Name],0)))</f>
        <v>None</v>
      </c>
      <c r="AW313" s="578">
        <f t="shared" si="136"/>
        <v>0</v>
      </c>
      <c r="AX313" s="264" t="str">
        <f t="shared" si="126"/>
        <v>None</v>
      </c>
      <c r="AY313" s="229">
        <f>IF(OR(AM313="Row Not Used",AM313="Fixtures Only",AM313="Decommissioning"),0,INDEX(IncentiveRateTable[Incentive Rate],MATCH(AX313,IncentiveRateTable[Incentive Name],0)))</f>
        <v>0</v>
      </c>
      <c r="AZ313" s="133" t="str">
        <f>IF(OR(AM313="Row Not Used",AM313="Fixtures Only",AM313="Decommissioning"),"None",INDEX(IncentiveRateTable[Incentive Unit],MATCH(AX313,IncentiveRateTable[Incentive Name],0)))</f>
        <v>None</v>
      </c>
      <c r="BA313" s="465">
        <f t="shared" si="127"/>
        <v>0</v>
      </c>
      <c r="BB313" s="264" t="e" cm="1">
        <f t="array" ref="BB313">INDEX(BallastFactorTable[Commercial BPA Reference Number],MATCH(1,(BallastFactorTable[Fixture Class]=J313)*(BallastFactorTable[Fixture Category]=K313)*(BallastFactorTable[Fixture Sub-category]=L313),0))</f>
        <v>#N/A</v>
      </c>
      <c r="BC313" s="133" t="e" cm="1">
        <f t="array" ref="BC313">INDEX(BallastFactorTable[Industrial BPA Reference Number],MATCH(1,(BallastFactorTable[Fixture Class]=J313)*(BallastFactorTable[Fixture Category]=K313)*(BallastFactorTable[Fixture Sub-category]=L313),0))</f>
        <v>#N/A</v>
      </c>
      <c r="BD313" s="264" t="str">
        <f t="shared" si="128"/>
        <v>Sector is blank</v>
      </c>
      <c r="BE313" s="269" t="str">
        <f>IF(ISBLANK(SectorField),"Sector is blank",IF(AM313="Row Not Used","",IF(OR(R313="No Controls",ISBLANK(R313)),"",INDEX(ControlsBPARefNoTable[Reference Number],MATCH(SectorField,ControlsBPARefNoTable[Sector],0)))))</f>
        <v>Sector is blank</v>
      </c>
      <c r="BF313" s="530" t="str">
        <f t="shared" si="129"/>
        <v/>
      </c>
      <c r="BG313" s="132" t="str">
        <f t="shared" si="130"/>
        <v/>
      </c>
      <c r="BH313" s="531" t="str">
        <f t="shared" si="131"/>
        <v/>
      </c>
      <c r="BI313" s="532"/>
      <c r="BJ313" s="538" t="str">
        <f t="shared" si="137"/>
        <v/>
      </c>
      <c r="BK313" s="539" t="str">
        <f t="shared" si="138"/>
        <v/>
      </c>
      <c r="BL313" s="547" t="str">
        <f t="shared" si="139"/>
        <v/>
      </c>
    </row>
    <row r="314" spans="1:64" x14ac:dyDescent="0.3">
      <c r="A314" s="133">
        <v>307</v>
      </c>
      <c r="B314" s="294"/>
      <c r="C314" s="313"/>
      <c r="D314" s="292"/>
      <c r="E314" s="284"/>
      <c r="F314" s="284"/>
      <c r="G314" s="295"/>
      <c r="H314" s="296"/>
      <c r="I314" s="297"/>
      <c r="J314" s="292"/>
      <c r="K314" s="284"/>
      <c r="L314" s="284"/>
      <c r="M314" s="295"/>
      <c r="N314" s="296"/>
      <c r="O314" s="296"/>
      <c r="P314" s="284"/>
      <c r="Q314" s="298"/>
      <c r="R314" s="292"/>
      <c r="S314" s="299"/>
      <c r="T314" s="300"/>
      <c r="U314" s="317" t="str">
        <f t="shared" si="113"/>
        <v/>
      </c>
      <c r="V314" s="301"/>
      <c r="W314" s="137" t="str">
        <f t="shared" si="114"/>
        <v/>
      </c>
      <c r="X314" s="589" t="str">
        <f t="shared" si="132"/>
        <v/>
      </c>
      <c r="Y314" s="581"/>
      <c r="Z314" s="251" t="str">
        <f t="shared" si="115"/>
        <v/>
      </c>
      <c r="AA314" s="138" t="str">
        <f t="shared" si="140"/>
        <v/>
      </c>
      <c r="AB314" s="243" t="str">
        <f t="shared" si="133"/>
        <v/>
      </c>
      <c r="AC314" s="141" t="str">
        <f t="shared" si="116"/>
        <v/>
      </c>
      <c r="AD314" s="138" t="str">
        <f t="shared" si="134"/>
        <v/>
      </c>
      <c r="AE314" s="243" t="str">
        <f t="shared" si="117"/>
        <v/>
      </c>
      <c r="AF314" s="342" t="str">
        <f>IF(AM314="Row Not Used","",INDEX(SpaceTable[Annual Hours],(MATCH(B314,SpaceTable[Space Name Concatenated Helper],0))))</f>
        <v/>
      </c>
      <c r="AG314" s="205" t="str">
        <f t="shared" si="118"/>
        <v/>
      </c>
      <c r="AH314" s="234" t="str">
        <f t="shared" si="119"/>
        <v/>
      </c>
      <c r="AI314" s="205" t="str">
        <f t="shared" si="120"/>
        <v/>
      </c>
      <c r="AJ314" s="234" t="str">
        <f t="shared" si="121"/>
        <v/>
      </c>
      <c r="AK314" s="144" t="str">
        <f>IF(AM314="Row Not Used","",INDEX(SpaceTable[Row],(MATCH(B314,SpaceTable[Space Name Concatenated Helper],0))))</f>
        <v/>
      </c>
      <c r="AL314" s="238" t="str">
        <f>IF(AM314="Row Not Used","",INDEX(SpaceTable[HVAC Factor],(MATCH(B314,SpaceTable[Space Name Concatenated Helper],0))))</f>
        <v/>
      </c>
      <c r="AM314" s="520" t="str">
        <f t="shared" si="122"/>
        <v>Row Not Used</v>
      </c>
      <c r="AN314" s="512" t="e" cm="1">
        <f t="array" ref="AN314">INDEX(BallastFactorTable[Ballast Factor],MATCH(1,(BallastFactorTable[Fixture Class]=D314)*(BallastFactorTable[Fixture Category]=E314)*(BallastFactorTable[Fixture Sub-category]=F314),0))</f>
        <v>#N/A</v>
      </c>
      <c r="AO314" s="143" t="str">
        <f t="shared" si="135"/>
        <v/>
      </c>
      <c r="AP314" s="501" t="e" cm="1">
        <f t="array" ref="AP314">INDEX(BallastFactorTable[Wattage Range Name],MATCH(1,(BallastFactorTable[Fixture Class]=D314)*(BallastFactorTable[Fixture Category]=E314)*(BallastFactorTable[Fixture Sub-category]=F314),0))</f>
        <v>#N/A</v>
      </c>
      <c r="AQ314" s="515" t="str">
        <f t="shared" ca="1" si="123"/>
        <v>Okay</v>
      </c>
      <c r="AR314" s="512">
        <f t="shared" si="124"/>
        <v>0</v>
      </c>
      <c r="AS314" s="511" t="str">
        <f>IF(OR(Measures!AM314="Row Not Used",Measures!C314="Controls Only",Measures!C314="Decommissioning"),"",_xlfn.CONCAT(P314," ",Q314))</f>
        <v/>
      </c>
      <c r="AT314" s="264" t="str">
        <f t="shared" si="125"/>
        <v>None</v>
      </c>
      <c r="AU314" s="229">
        <f>IF(OR(AM314="Row Not Used",AM314="Controls Only"),0,INDEX(IncentiveRateTable[Incentive Rate],MATCH(AT314,IncentiveRateTable[Incentive Name],0)))</f>
        <v>0</v>
      </c>
      <c r="AV314" s="133" t="str">
        <f>IF(OR(AM314="Row Not Used",AM314="Controls Only"),"None",INDEX(IncentiveRateTable[Incentive Unit],MATCH(AT314,IncentiveRateTable[Incentive Name],0)))</f>
        <v>None</v>
      </c>
      <c r="AW314" s="578">
        <f t="shared" si="136"/>
        <v>0</v>
      </c>
      <c r="AX314" s="264" t="str">
        <f t="shared" si="126"/>
        <v>None</v>
      </c>
      <c r="AY314" s="229">
        <f>IF(OR(AM314="Row Not Used",AM314="Fixtures Only",AM314="Decommissioning"),0,INDEX(IncentiveRateTable[Incentive Rate],MATCH(AX314,IncentiveRateTable[Incentive Name],0)))</f>
        <v>0</v>
      </c>
      <c r="AZ314" s="133" t="str">
        <f>IF(OR(AM314="Row Not Used",AM314="Fixtures Only",AM314="Decommissioning"),"None",INDEX(IncentiveRateTable[Incentive Unit],MATCH(AX314,IncentiveRateTable[Incentive Name],0)))</f>
        <v>None</v>
      </c>
      <c r="BA314" s="465">
        <f t="shared" si="127"/>
        <v>0</v>
      </c>
      <c r="BB314" s="264" t="e" cm="1">
        <f t="array" ref="BB314">INDEX(BallastFactorTable[Commercial BPA Reference Number],MATCH(1,(BallastFactorTable[Fixture Class]=J314)*(BallastFactorTable[Fixture Category]=K314)*(BallastFactorTable[Fixture Sub-category]=L314),0))</f>
        <v>#N/A</v>
      </c>
      <c r="BC314" s="133" t="e" cm="1">
        <f t="array" ref="BC314">INDEX(BallastFactorTable[Industrial BPA Reference Number],MATCH(1,(BallastFactorTable[Fixture Class]=J314)*(BallastFactorTable[Fixture Category]=K314)*(BallastFactorTable[Fixture Sub-category]=L314),0))</f>
        <v>#N/A</v>
      </c>
      <c r="BD314" s="264" t="str">
        <f t="shared" si="128"/>
        <v>Sector is blank</v>
      </c>
      <c r="BE314" s="269" t="str">
        <f>IF(ISBLANK(SectorField),"Sector is blank",IF(AM314="Row Not Used","",IF(OR(R314="No Controls",ISBLANK(R314)),"",INDEX(ControlsBPARefNoTable[Reference Number],MATCH(SectorField,ControlsBPARefNoTable[Sector],0)))))</f>
        <v>Sector is blank</v>
      </c>
      <c r="BF314" s="530" t="str">
        <f t="shared" si="129"/>
        <v/>
      </c>
      <c r="BG314" s="132" t="str">
        <f t="shared" si="130"/>
        <v/>
      </c>
      <c r="BH314" s="531" t="str">
        <f t="shared" si="131"/>
        <v/>
      </c>
      <c r="BI314" s="532"/>
      <c r="BJ314" s="538" t="str">
        <f t="shared" si="137"/>
        <v/>
      </c>
      <c r="BK314" s="539" t="str">
        <f t="shared" si="138"/>
        <v/>
      </c>
      <c r="BL314" s="547" t="str">
        <f t="shared" si="139"/>
        <v/>
      </c>
    </row>
    <row r="315" spans="1:64" x14ac:dyDescent="0.3">
      <c r="A315" s="133">
        <v>308</v>
      </c>
      <c r="B315" s="294"/>
      <c r="C315" s="313"/>
      <c r="D315" s="292"/>
      <c r="E315" s="284"/>
      <c r="F315" s="284"/>
      <c r="G315" s="295"/>
      <c r="H315" s="296"/>
      <c r="I315" s="297"/>
      <c r="J315" s="292"/>
      <c r="K315" s="284"/>
      <c r="L315" s="284"/>
      <c r="M315" s="295"/>
      <c r="N315" s="296"/>
      <c r="O315" s="296"/>
      <c r="P315" s="284"/>
      <c r="Q315" s="298"/>
      <c r="R315" s="292"/>
      <c r="S315" s="299"/>
      <c r="T315" s="300"/>
      <c r="U315" s="317" t="str">
        <f t="shared" si="113"/>
        <v/>
      </c>
      <c r="V315" s="301"/>
      <c r="W315" s="136" t="str">
        <f t="shared" si="114"/>
        <v/>
      </c>
      <c r="X315" s="588" t="str">
        <f t="shared" si="132"/>
        <v/>
      </c>
      <c r="Y315" s="580"/>
      <c r="Z315" s="251" t="str">
        <f t="shared" si="115"/>
        <v/>
      </c>
      <c r="AA315" s="138" t="str">
        <f t="shared" si="140"/>
        <v/>
      </c>
      <c r="AB315" s="243" t="str">
        <f t="shared" si="133"/>
        <v/>
      </c>
      <c r="AC315" s="141" t="str">
        <f t="shared" si="116"/>
        <v/>
      </c>
      <c r="AD315" s="138" t="str">
        <f t="shared" si="134"/>
        <v/>
      </c>
      <c r="AE315" s="243" t="str">
        <f t="shared" si="117"/>
        <v/>
      </c>
      <c r="AF315" s="342" t="str">
        <f>IF(AM315="Row Not Used","",INDEX(SpaceTable[Annual Hours],(MATCH(B315,SpaceTable[Space Name Concatenated Helper],0))))</f>
        <v/>
      </c>
      <c r="AG315" s="205" t="str">
        <f t="shared" si="118"/>
        <v/>
      </c>
      <c r="AH315" s="234" t="str">
        <f t="shared" si="119"/>
        <v/>
      </c>
      <c r="AI315" s="205" t="str">
        <f t="shared" si="120"/>
        <v/>
      </c>
      <c r="AJ315" s="234" t="str">
        <f t="shared" si="121"/>
        <v/>
      </c>
      <c r="AK315" s="144" t="str">
        <f>IF(AM315="Row Not Used","",INDEX(SpaceTable[Row],(MATCH(B315,SpaceTable[Space Name Concatenated Helper],0))))</f>
        <v/>
      </c>
      <c r="AL315" s="238" t="str">
        <f>IF(AM315="Row Not Used","",INDEX(SpaceTable[HVAC Factor],(MATCH(B315,SpaceTable[Space Name Concatenated Helper],0))))</f>
        <v/>
      </c>
      <c r="AM315" s="520" t="str">
        <f t="shared" si="122"/>
        <v>Row Not Used</v>
      </c>
      <c r="AN315" s="512" t="e" cm="1">
        <f t="array" ref="AN315">INDEX(BallastFactorTable[Ballast Factor],MATCH(1,(BallastFactorTable[Fixture Class]=D315)*(BallastFactorTable[Fixture Category]=E315)*(BallastFactorTable[Fixture Sub-category]=F315),0))</f>
        <v>#N/A</v>
      </c>
      <c r="AO315" s="143" t="str">
        <f t="shared" si="135"/>
        <v/>
      </c>
      <c r="AP315" s="501" t="e" cm="1">
        <f t="array" ref="AP315">INDEX(BallastFactorTable[Wattage Range Name],MATCH(1,(BallastFactorTable[Fixture Class]=D315)*(BallastFactorTable[Fixture Category]=E315)*(BallastFactorTable[Fixture Sub-category]=F315),0))</f>
        <v>#N/A</v>
      </c>
      <c r="AQ315" s="515" t="str">
        <f t="shared" ca="1" si="123"/>
        <v>Okay</v>
      </c>
      <c r="AR315" s="512">
        <f t="shared" si="124"/>
        <v>0</v>
      </c>
      <c r="AS315" s="511" t="str">
        <f>IF(OR(Measures!AM315="Row Not Used",Measures!C315="Controls Only",Measures!C315="Decommissioning"),"",_xlfn.CONCAT(P315," ",Q315))</f>
        <v/>
      </c>
      <c r="AT315" s="264" t="str">
        <f t="shared" si="125"/>
        <v>None</v>
      </c>
      <c r="AU315" s="229">
        <f>IF(OR(AM315="Row Not Used",AM315="Controls Only"),0,INDEX(IncentiveRateTable[Incentive Rate],MATCH(AT315,IncentiveRateTable[Incentive Name],0)))</f>
        <v>0</v>
      </c>
      <c r="AV315" s="133" t="str">
        <f>IF(OR(AM315="Row Not Used",AM315="Controls Only"),"None",INDEX(IncentiveRateTable[Incentive Unit],MATCH(AT315,IncentiveRateTable[Incentive Name],0)))</f>
        <v>None</v>
      </c>
      <c r="AW315" s="578">
        <f t="shared" si="136"/>
        <v>0</v>
      </c>
      <c r="AX315" s="264" t="str">
        <f t="shared" si="126"/>
        <v>None</v>
      </c>
      <c r="AY315" s="229">
        <f>IF(OR(AM315="Row Not Used",AM315="Fixtures Only",AM315="Decommissioning"),0,INDEX(IncentiveRateTable[Incentive Rate],MATCH(AX315,IncentiveRateTable[Incentive Name],0)))</f>
        <v>0</v>
      </c>
      <c r="AZ315" s="133" t="str">
        <f>IF(OR(AM315="Row Not Used",AM315="Fixtures Only",AM315="Decommissioning"),"None",INDEX(IncentiveRateTable[Incentive Unit],MATCH(AX315,IncentiveRateTable[Incentive Name],0)))</f>
        <v>None</v>
      </c>
      <c r="BA315" s="465">
        <f t="shared" si="127"/>
        <v>0</v>
      </c>
      <c r="BB315" s="264" t="e" cm="1">
        <f t="array" ref="BB315">INDEX(BallastFactorTable[Commercial BPA Reference Number],MATCH(1,(BallastFactorTable[Fixture Class]=J315)*(BallastFactorTable[Fixture Category]=K315)*(BallastFactorTable[Fixture Sub-category]=L315),0))</f>
        <v>#N/A</v>
      </c>
      <c r="BC315" s="133" t="e" cm="1">
        <f t="array" ref="BC315">INDEX(BallastFactorTable[Industrial BPA Reference Number],MATCH(1,(BallastFactorTable[Fixture Class]=J315)*(BallastFactorTable[Fixture Category]=K315)*(BallastFactorTable[Fixture Sub-category]=L315),0))</f>
        <v>#N/A</v>
      </c>
      <c r="BD315" s="264" t="str">
        <f t="shared" si="128"/>
        <v>Sector is blank</v>
      </c>
      <c r="BE315" s="269" t="str">
        <f>IF(ISBLANK(SectorField),"Sector is blank",IF(AM315="Row Not Used","",IF(OR(R315="No Controls",ISBLANK(R315)),"",INDEX(ControlsBPARefNoTable[Reference Number],MATCH(SectorField,ControlsBPARefNoTable[Sector],0)))))</f>
        <v>Sector is blank</v>
      </c>
      <c r="BF315" s="530" t="str">
        <f t="shared" si="129"/>
        <v/>
      </c>
      <c r="BG315" s="132" t="str">
        <f t="shared" si="130"/>
        <v/>
      </c>
      <c r="BH315" s="531" t="str">
        <f t="shared" si="131"/>
        <v/>
      </c>
      <c r="BI315" s="532"/>
      <c r="BJ315" s="538" t="str">
        <f t="shared" si="137"/>
        <v/>
      </c>
      <c r="BK315" s="539" t="str">
        <f t="shared" si="138"/>
        <v/>
      </c>
      <c r="BL315" s="547" t="str">
        <f t="shared" si="139"/>
        <v/>
      </c>
    </row>
    <row r="316" spans="1:64" x14ac:dyDescent="0.3">
      <c r="A316" s="133">
        <v>309</v>
      </c>
      <c r="B316" s="294"/>
      <c r="C316" s="313"/>
      <c r="D316" s="292"/>
      <c r="E316" s="284"/>
      <c r="F316" s="284"/>
      <c r="G316" s="295"/>
      <c r="H316" s="296"/>
      <c r="I316" s="297"/>
      <c r="J316" s="292"/>
      <c r="K316" s="284"/>
      <c r="L316" s="284"/>
      <c r="M316" s="295"/>
      <c r="N316" s="296"/>
      <c r="O316" s="296"/>
      <c r="P316" s="284"/>
      <c r="Q316" s="298"/>
      <c r="R316" s="292"/>
      <c r="S316" s="299"/>
      <c r="T316" s="300"/>
      <c r="U316" s="317" t="str">
        <f t="shared" si="113"/>
        <v/>
      </c>
      <c r="V316" s="301"/>
      <c r="W316" s="137" t="str">
        <f t="shared" si="114"/>
        <v/>
      </c>
      <c r="X316" s="589" t="str">
        <f t="shared" si="132"/>
        <v/>
      </c>
      <c r="Y316" s="581"/>
      <c r="Z316" s="251" t="str">
        <f t="shared" si="115"/>
        <v/>
      </c>
      <c r="AA316" s="138" t="str">
        <f t="shared" si="140"/>
        <v/>
      </c>
      <c r="AB316" s="243" t="str">
        <f t="shared" si="133"/>
        <v/>
      </c>
      <c r="AC316" s="141" t="str">
        <f t="shared" si="116"/>
        <v/>
      </c>
      <c r="AD316" s="138" t="str">
        <f t="shared" si="134"/>
        <v/>
      </c>
      <c r="AE316" s="243" t="str">
        <f t="shared" si="117"/>
        <v/>
      </c>
      <c r="AF316" s="342" t="str">
        <f>IF(AM316="Row Not Used","",INDEX(SpaceTable[Annual Hours],(MATCH(B316,SpaceTable[Space Name Concatenated Helper],0))))</f>
        <v/>
      </c>
      <c r="AG316" s="205" t="str">
        <f t="shared" si="118"/>
        <v/>
      </c>
      <c r="AH316" s="234" t="str">
        <f t="shared" si="119"/>
        <v/>
      </c>
      <c r="AI316" s="205" t="str">
        <f t="shared" si="120"/>
        <v/>
      </c>
      <c r="AJ316" s="234" t="str">
        <f t="shared" si="121"/>
        <v/>
      </c>
      <c r="AK316" s="144" t="str">
        <f>IF(AM316="Row Not Used","",INDEX(SpaceTable[Row],(MATCH(B316,SpaceTable[Space Name Concatenated Helper],0))))</f>
        <v/>
      </c>
      <c r="AL316" s="238" t="str">
        <f>IF(AM316="Row Not Used","",INDEX(SpaceTable[HVAC Factor],(MATCH(B316,SpaceTable[Space Name Concatenated Helper],0))))</f>
        <v/>
      </c>
      <c r="AM316" s="520" t="str">
        <f t="shared" si="122"/>
        <v>Row Not Used</v>
      </c>
      <c r="AN316" s="512" t="e" cm="1">
        <f t="array" ref="AN316">INDEX(BallastFactorTable[Ballast Factor],MATCH(1,(BallastFactorTable[Fixture Class]=D316)*(BallastFactorTable[Fixture Category]=E316)*(BallastFactorTable[Fixture Sub-category]=F316),0))</f>
        <v>#N/A</v>
      </c>
      <c r="AO316" s="143" t="str">
        <f t="shared" si="135"/>
        <v/>
      </c>
      <c r="AP316" s="501" t="e" cm="1">
        <f t="array" ref="AP316">INDEX(BallastFactorTable[Wattage Range Name],MATCH(1,(BallastFactorTable[Fixture Class]=D316)*(BallastFactorTable[Fixture Category]=E316)*(BallastFactorTable[Fixture Sub-category]=F316),0))</f>
        <v>#N/A</v>
      </c>
      <c r="AQ316" s="515" t="str">
        <f t="shared" ca="1" si="123"/>
        <v>Okay</v>
      </c>
      <c r="AR316" s="512">
        <f t="shared" si="124"/>
        <v>0</v>
      </c>
      <c r="AS316" s="511" t="str">
        <f>IF(OR(Measures!AM316="Row Not Used",Measures!C316="Controls Only",Measures!C316="Decommissioning"),"",_xlfn.CONCAT(P316," ",Q316))</f>
        <v/>
      </c>
      <c r="AT316" s="264" t="str">
        <f t="shared" si="125"/>
        <v>None</v>
      </c>
      <c r="AU316" s="229">
        <f>IF(OR(AM316="Row Not Used",AM316="Controls Only"),0,INDEX(IncentiveRateTable[Incentive Rate],MATCH(AT316,IncentiveRateTable[Incentive Name],0)))</f>
        <v>0</v>
      </c>
      <c r="AV316" s="133" t="str">
        <f>IF(OR(AM316="Row Not Used",AM316="Controls Only"),"None",INDEX(IncentiveRateTable[Incentive Unit],MATCH(AT316,IncentiveRateTable[Incentive Name],0)))</f>
        <v>None</v>
      </c>
      <c r="AW316" s="578">
        <f t="shared" si="136"/>
        <v>0</v>
      </c>
      <c r="AX316" s="264" t="str">
        <f t="shared" si="126"/>
        <v>None</v>
      </c>
      <c r="AY316" s="229">
        <f>IF(OR(AM316="Row Not Used",AM316="Fixtures Only",AM316="Decommissioning"),0,INDEX(IncentiveRateTable[Incentive Rate],MATCH(AX316,IncentiveRateTable[Incentive Name],0)))</f>
        <v>0</v>
      </c>
      <c r="AZ316" s="133" t="str">
        <f>IF(OR(AM316="Row Not Used",AM316="Fixtures Only",AM316="Decommissioning"),"None",INDEX(IncentiveRateTable[Incentive Unit],MATCH(AX316,IncentiveRateTable[Incentive Name],0)))</f>
        <v>None</v>
      </c>
      <c r="BA316" s="465">
        <f t="shared" si="127"/>
        <v>0</v>
      </c>
      <c r="BB316" s="264" t="e" cm="1">
        <f t="array" ref="BB316">INDEX(BallastFactorTable[Commercial BPA Reference Number],MATCH(1,(BallastFactorTable[Fixture Class]=J316)*(BallastFactorTable[Fixture Category]=K316)*(BallastFactorTable[Fixture Sub-category]=L316),0))</f>
        <v>#N/A</v>
      </c>
      <c r="BC316" s="133" t="e" cm="1">
        <f t="array" ref="BC316">INDEX(BallastFactorTable[Industrial BPA Reference Number],MATCH(1,(BallastFactorTable[Fixture Class]=J316)*(BallastFactorTable[Fixture Category]=K316)*(BallastFactorTable[Fixture Sub-category]=L316),0))</f>
        <v>#N/A</v>
      </c>
      <c r="BD316" s="264" t="str">
        <f t="shared" si="128"/>
        <v>Sector is blank</v>
      </c>
      <c r="BE316" s="269" t="str">
        <f>IF(ISBLANK(SectorField),"Sector is blank",IF(AM316="Row Not Used","",IF(OR(R316="No Controls",ISBLANK(R316)),"",INDEX(ControlsBPARefNoTable[Reference Number],MATCH(SectorField,ControlsBPARefNoTable[Sector],0)))))</f>
        <v>Sector is blank</v>
      </c>
      <c r="BF316" s="530" t="str">
        <f t="shared" si="129"/>
        <v/>
      </c>
      <c r="BG316" s="132" t="str">
        <f t="shared" si="130"/>
        <v/>
      </c>
      <c r="BH316" s="531" t="str">
        <f t="shared" si="131"/>
        <v/>
      </c>
      <c r="BI316" s="532"/>
      <c r="BJ316" s="538" t="str">
        <f t="shared" si="137"/>
        <v/>
      </c>
      <c r="BK316" s="539" t="str">
        <f t="shared" si="138"/>
        <v/>
      </c>
      <c r="BL316" s="547" t="str">
        <f t="shared" si="139"/>
        <v/>
      </c>
    </row>
    <row r="317" spans="1:64" x14ac:dyDescent="0.3">
      <c r="A317" s="133">
        <v>310</v>
      </c>
      <c r="B317" s="294"/>
      <c r="C317" s="313"/>
      <c r="D317" s="292"/>
      <c r="E317" s="284"/>
      <c r="F317" s="284"/>
      <c r="G317" s="295"/>
      <c r="H317" s="296"/>
      <c r="I317" s="297"/>
      <c r="J317" s="292"/>
      <c r="K317" s="284"/>
      <c r="L317" s="284"/>
      <c r="M317" s="295"/>
      <c r="N317" s="296"/>
      <c r="O317" s="296"/>
      <c r="P317" s="284"/>
      <c r="Q317" s="298"/>
      <c r="R317" s="292"/>
      <c r="S317" s="299"/>
      <c r="T317" s="300"/>
      <c r="U317" s="317" t="str">
        <f t="shared" si="113"/>
        <v/>
      </c>
      <c r="V317" s="301"/>
      <c r="W317" s="136" t="str">
        <f t="shared" si="114"/>
        <v/>
      </c>
      <c r="X317" s="588" t="str">
        <f t="shared" si="132"/>
        <v/>
      </c>
      <c r="Y317" s="580"/>
      <c r="Z317" s="251" t="str">
        <f t="shared" si="115"/>
        <v/>
      </c>
      <c r="AA317" s="138" t="str">
        <f t="shared" si="140"/>
        <v/>
      </c>
      <c r="AB317" s="243" t="str">
        <f t="shared" si="133"/>
        <v/>
      </c>
      <c r="AC317" s="141" t="str">
        <f t="shared" si="116"/>
        <v/>
      </c>
      <c r="AD317" s="138" t="str">
        <f t="shared" si="134"/>
        <v/>
      </c>
      <c r="AE317" s="243" t="str">
        <f t="shared" si="117"/>
        <v/>
      </c>
      <c r="AF317" s="342" t="str">
        <f>IF(AM317="Row Not Used","",INDEX(SpaceTable[Annual Hours],(MATCH(B317,SpaceTable[Space Name Concatenated Helper],0))))</f>
        <v/>
      </c>
      <c r="AG317" s="205" t="str">
        <f t="shared" si="118"/>
        <v/>
      </c>
      <c r="AH317" s="234" t="str">
        <f t="shared" si="119"/>
        <v/>
      </c>
      <c r="AI317" s="205" t="str">
        <f t="shared" si="120"/>
        <v/>
      </c>
      <c r="AJ317" s="234" t="str">
        <f t="shared" si="121"/>
        <v/>
      </c>
      <c r="AK317" s="144" t="str">
        <f>IF(AM317="Row Not Used","",INDEX(SpaceTable[Row],(MATCH(B317,SpaceTable[Space Name Concatenated Helper],0))))</f>
        <v/>
      </c>
      <c r="AL317" s="238" t="str">
        <f>IF(AM317="Row Not Used","",INDEX(SpaceTable[HVAC Factor],(MATCH(B317,SpaceTable[Space Name Concatenated Helper],0))))</f>
        <v/>
      </c>
      <c r="AM317" s="520" t="str">
        <f t="shared" si="122"/>
        <v>Row Not Used</v>
      </c>
      <c r="AN317" s="512" t="e" cm="1">
        <f t="array" ref="AN317">INDEX(BallastFactorTable[Ballast Factor],MATCH(1,(BallastFactorTable[Fixture Class]=D317)*(BallastFactorTable[Fixture Category]=E317)*(BallastFactorTable[Fixture Sub-category]=F317),0))</f>
        <v>#N/A</v>
      </c>
      <c r="AO317" s="143" t="str">
        <f t="shared" si="135"/>
        <v/>
      </c>
      <c r="AP317" s="501" t="e" cm="1">
        <f t="array" ref="AP317">INDEX(BallastFactorTable[Wattage Range Name],MATCH(1,(BallastFactorTable[Fixture Class]=D317)*(BallastFactorTable[Fixture Category]=E317)*(BallastFactorTable[Fixture Sub-category]=F317),0))</f>
        <v>#N/A</v>
      </c>
      <c r="AQ317" s="515" t="str">
        <f t="shared" ca="1" si="123"/>
        <v>Okay</v>
      </c>
      <c r="AR317" s="512">
        <f t="shared" si="124"/>
        <v>0</v>
      </c>
      <c r="AS317" s="511" t="str">
        <f>IF(OR(Measures!AM317="Row Not Used",Measures!C317="Controls Only",Measures!C317="Decommissioning"),"",_xlfn.CONCAT(P317," ",Q317))</f>
        <v/>
      </c>
      <c r="AT317" s="264" t="str">
        <f t="shared" si="125"/>
        <v>None</v>
      </c>
      <c r="AU317" s="229">
        <f>IF(OR(AM317="Row Not Used",AM317="Controls Only"),0,INDEX(IncentiveRateTable[Incentive Rate],MATCH(AT317,IncentiveRateTable[Incentive Name],0)))</f>
        <v>0</v>
      </c>
      <c r="AV317" s="133" t="str">
        <f>IF(OR(AM317="Row Not Used",AM317="Controls Only"),"None",INDEX(IncentiveRateTable[Incentive Unit],MATCH(AT317,IncentiveRateTable[Incentive Name],0)))</f>
        <v>None</v>
      </c>
      <c r="AW317" s="578">
        <f t="shared" si="136"/>
        <v>0</v>
      </c>
      <c r="AX317" s="264" t="str">
        <f t="shared" si="126"/>
        <v>None</v>
      </c>
      <c r="AY317" s="229">
        <f>IF(OR(AM317="Row Not Used",AM317="Fixtures Only",AM317="Decommissioning"),0,INDEX(IncentiveRateTable[Incentive Rate],MATCH(AX317,IncentiveRateTable[Incentive Name],0)))</f>
        <v>0</v>
      </c>
      <c r="AZ317" s="133" t="str">
        <f>IF(OR(AM317="Row Not Used",AM317="Fixtures Only",AM317="Decommissioning"),"None",INDEX(IncentiveRateTable[Incentive Unit],MATCH(AX317,IncentiveRateTable[Incentive Name],0)))</f>
        <v>None</v>
      </c>
      <c r="BA317" s="465">
        <f t="shared" si="127"/>
        <v>0</v>
      </c>
      <c r="BB317" s="264" t="e" cm="1">
        <f t="array" ref="BB317">INDEX(BallastFactorTable[Commercial BPA Reference Number],MATCH(1,(BallastFactorTable[Fixture Class]=J317)*(BallastFactorTable[Fixture Category]=K317)*(BallastFactorTable[Fixture Sub-category]=L317),0))</f>
        <v>#N/A</v>
      </c>
      <c r="BC317" s="133" t="e" cm="1">
        <f t="array" ref="BC317">INDEX(BallastFactorTable[Industrial BPA Reference Number],MATCH(1,(BallastFactorTable[Fixture Class]=J317)*(BallastFactorTable[Fixture Category]=K317)*(BallastFactorTable[Fixture Sub-category]=L317),0))</f>
        <v>#N/A</v>
      </c>
      <c r="BD317" s="264" t="str">
        <f t="shared" si="128"/>
        <v>Sector is blank</v>
      </c>
      <c r="BE317" s="269" t="str">
        <f>IF(ISBLANK(SectorField),"Sector is blank",IF(AM317="Row Not Used","",IF(OR(R317="No Controls",ISBLANK(R317)),"",INDEX(ControlsBPARefNoTable[Reference Number],MATCH(SectorField,ControlsBPARefNoTable[Sector],0)))))</f>
        <v>Sector is blank</v>
      </c>
      <c r="BF317" s="530" t="str">
        <f t="shared" si="129"/>
        <v/>
      </c>
      <c r="BG317" s="132" t="str">
        <f t="shared" si="130"/>
        <v/>
      </c>
      <c r="BH317" s="531" t="str">
        <f t="shared" si="131"/>
        <v/>
      </c>
      <c r="BI317" s="532"/>
      <c r="BJ317" s="538" t="str">
        <f t="shared" si="137"/>
        <v/>
      </c>
      <c r="BK317" s="539" t="str">
        <f t="shared" si="138"/>
        <v/>
      </c>
      <c r="BL317" s="547" t="str">
        <f t="shared" si="139"/>
        <v/>
      </c>
    </row>
    <row r="318" spans="1:64" x14ac:dyDescent="0.3">
      <c r="A318" s="133">
        <v>311</v>
      </c>
      <c r="B318" s="294"/>
      <c r="C318" s="313"/>
      <c r="D318" s="292"/>
      <c r="E318" s="284"/>
      <c r="F318" s="284"/>
      <c r="G318" s="295"/>
      <c r="H318" s="296"/>
      <c r="I318" s="297"/>
      <c r="J318" s="292"/>
      <c r="K318" s="284"/>
      <c r="L318" s="284"/>
      <c r="M318" s="295"/>
      <c r="N318" s="296"/>
      <c r="O318" s="296"/>
      <c r="P318" s="284"/>
      <c r="Q318" s="298"/>
      <c r="R318" s="292"/>
      <c r="S318" s="299"/>
      <c r="T318" s="300"/>
      <c r="U318" s="317" t="str">
        <f t="shared" si="113"/>
        <v/>
      </c>
      <c r="V318" s="301"/>
      <c r="W318" s="137" t="str">
        <f t="shared" si="114"/>
        <v/>
      </c>
      <c r="X318" s="589" t="str">
        <f t="shared" si="132"/>
        <v/>
      </c>
      <c r="Y318" s="581"/>
      <c r="Z318" s="251" t="str">
        <f t="shared" si="115"/>
        <v/>
      </c>
      <c r="AA318" s="138" t="str">
        <f t="shared" si="140"/>
        <v/>
      </c>
      <c r="AB318" s="243" t="str">
        <f t="shared" si="133"/>
        <v/>
      </c>
      <c r="AC318" s="141" t="str">
        <f t="shared" si="116"/>
        <v/>
      </c>
      <c r="AD318" s="138" t="str">
        <f t="shared" si="134"/>
        <v/>
      </c>
      <c r="AE318" s="243" t="str">
        <f t="shared" si="117"/>
        <v/>
      </c>
      <c r="AF318" s="342" t="str">
        <f>IF(AM318="Row Not Used","",INDEX(SpaceTable[Annual Hours],(MATCH(B318,SpaceTable[Space Name Concatenated Helper],0))))</f>
        <v/>
      </c>
      <c r="AG318" s="205" t="str">
        <f t="shared" si="118"/>
        <v/>
      </c>
      <c r="AH318" s="234" t="str">
        <f t="shared" si="119"/>
        <v/>
      </c>
      <c r="AI318" s="205" t="str">
        <f t="shared" si="120"/>
        <v/>
      </c>
      <c r="AJ318" s="234" t="str">
        <f t="shared" si="121"/>
        <v/>
      </c>
      <c r="AK318" s="144" t="str">
        <f>IF(AM318="Row Not Used","",INDEX(SpaceTable[Row],(MATCH(B318,SpaceTable[Space Name Concatenated Helper],0))))</f>
        <v/>
      </c>
      <c r="AL318" s="238" t="str">
        <f>IF(AM318="Row Not Used","",INDEX(SpaceTable[HVAC Factor],(MATCH(B318,SpaceTable[Space Name Concatenated Helper],0))))</f>
        <v/>
      </c>
      <c r="AM318" s="520" t="str">
        <f t="shared" si="122"/>
        <v>Row Not Used</v>
      </c>
      <c r="AN318" s="512" t="e" cm="1">
        <f t="array" ref="AN318">INDEX(BallastFactorTable[Ballast Factor],MATCH(1,(BallastFactorTable[Fixture Class]=D318)*(BallastFactorTable[Fixture Category]=E318)*(BallastFactorTable[Fixture Sub-category]=F318),0))</f>
        <v>#N/A</v>
      </c>
      <c r="AO318" s="143" t="str">
        <f t="shared" si="135"/>
        <v/>
      </c>
      <c r="AP318" s="501" t="e" cm="1">
        <f t="array" ref="AP318">INDEX(BallastFactorTable[Wattage Range Name],MATCH(1,(BallastFactorTable[Fixture Class]=D318)*(BallastFactorTable[Fixture Category]=E318)*(BallastFactorTable[Fixture Sub-category]=F318),0))</f>
        <v>#N/A</v>
      </c>
      <c r="AQ318" s="515" t="str">
        <f t="shared" ca="1" si="123"/>
        <v>Okay</v>
      </c>
      <c r="AR318" s="512">
        <f t="shared" si="124"/>
        <v>0</v>
      </c>
      <c r="AS318" s="511" t="str">
        <f>IF(OR(Measures!AM318="Row Not Used",Measures!C318="Controls Only",Measures!C318="Decommissioning"),"",_xlfn.CONCAT(P318," ",Q318))</f>
        <v/>
      </c>
      <c r="AT318" s="264" t="str">
        <f t="shared" si="125"/>
        <v>None</v>
      </c>
      <c r="AU318" s="229">
        <f>IF(OR(AM318="Row Not Used",AM318="Controls Only"),0,INDEX(IncentiveRateTable[Incentive Rate],MATCH(AT318,IncentiveRateTable[Incentive Name],0)))</f>
        <v>0</v>
      </c>
      <c r="AV318" s="133" t="str">
        <f>IF(OR(AM318="Row Not Used",AM318="Controls Only"),"None",INDEX(IncentiveRateTable[Incentive Unit],MATCH(AT318,IncentiveRateTable[Incentive Name],0)))</f>
        <v>None</v>
      </c>
      <c r="AW318" s="578">
        <f t="shared" si="136"/>
        <v>0</v>
      </c>
      <c r="AX318" s="264" t="str">
        <f t="shared" si="126"/>
        <v>None</v>
      </c>
      <c r="AY318" s="229">
        <f>IF(OR(AM318="Row Not Used",AM318="Fixtures Only",AM318="Decommissioning"),0,INDEX(IncentiveRateTable[Incentive Rate],MATCH(AX318,IncentiveRateTable[Incentive Name],0)))</f>
        <v>0</v>
      </c>
      <c r="AZ318" s="133" t="str">
        <f>IF(OR(AM318="Row Not Used",AM318="Fixtures Only",AM318="Decommissioning"),"None",INDEX(IncentiveRateTable[Incentive Unit],MATCH(AX318,IncentiveRateTable[Incentive Name],0)))</f>
        <v>None</v>
      </c>
      <c r="BA318" s="465">
        <f t="shared" si="127"/>
        <v>0</v>
      </c>
      <c r="BB318" s="264" t="e" cm="1">
        <f t="array" ref="BB318">INDEX(BallastFactorTable[Commercial BPA Reference Number],MATCH(1,(BallastFactorTable[Fixture Class]=J318)*(BallastFactorTable[Fixture Category]=K318)*(BallastFactorTable[Fixture Sub-category]=L318),0))</f>
        <v>#N/A</v>
      </c>
      <c r="BC318" s="133" t="e" cm="1">
        <f t="array" ref="BC318">INDEX(BallastFactorTable[Industrial BPA Reference Number],MATCH(1,(BallastFactorTable[Fixture Class]=J318)*(BallastFactorTable[Fixture Category]=K318)*(BallastFactorTable[Fixture Sub-category]=L318),0))</f>
        <v>#N/A</v>
      </c>
      <c r="BD318" s="264" t="str">
        <f t="shared" si="128"/>
        <v>Sector is blank</v>
      </c>
      <c r="BE318" s="269" t="str">
        <f>IF(ISBLANK(SectorField),"Sector is blank",IF(AM318="Row Not Used","",IF(OR(R318="No Controls",ISBLANK(R318)),"",INDEX(ControlsBPARefNoTable[Reference Number],MATCH(SectorField,ControlsBPARefNoTable[Sector],0)))))</f>
        <v>Sector is blank</v>
      </c>
      <c r="BF318" s="530" t="str">
        <f t="shared" si="129"/>
        <v/>
      </c>
      <c r="BG318" s="132" t="str">
        <f t="shared" si="130"/>
        <v/>
      </c>
      <c r="BH318" s="531" t="str">
        <f t="shared" si="131"/>
        <v/>
      </c>
      <c r="BI318" s="532"/>
      <c r="BJ318" s="538" t="str">
        <f t="shared" si="137"/>
        <v/>
      </c>
      <c r="BK318" s="539" t="str">
        <f t="shared" si="138"/>
        <v/>
      </c>
      <c r="BL318" s="547" t="str">
        <f t="shared" si="139"/>
        <v/>
      </c>
    </row>
    <row r="319" spans="1:64" x14ac:dyDescent="0.3">
      <c r="A319" s="133">
        <v>312</v>
      </c>
      <c r="B319" s="294"/>
      <c r="C319" s="313"/>
      <c r="D319" s="292"/>
      <c r="E319" s="284"/>
      <c r="F319" s="284"/>
      <c r="G319" s="295"/>
      <c r="H319" s="296"/>
      <c r="I319" s="297"/>
      <c r="J319" s="292"/>
      <c r="K319" s="284"/>
      <c r="L319" s="284"/>
      <c r="M319" s="295"/>
      <c r="N319" s="296"/>
      <c r="O319" s="296"/>
      <c r="P319" s="284"/>
      <c r="Q319" s="298"/>
      <c r="R319" s="292"/>
      <c r="S319" s="299"/>
      <c r="T319" s="300"/>
      <c r="U319" s="317" t="str">
        <f t="shared" si="113"/>
        <v/>
      </c>
      <c r="V319" s="301"/>
      <c r="W319" s="136" t="str">
        <f t="shared" si="114"/>
        <v/>
      </c>
      <c r="X319" s="588" t="str">
        <f t="shared" si="132"/>
        <v/>
      </c>
      <c r="Y319" s="580"/>
      <c r="Z319" s="251" t="str">
        <f t="shared" si="115"/>
        <v/>
      </c>
      <c r="AA319" s="138" t="str">
        <f t="shared" si="140"/>
        <v/>
      </c>
      <c r="AB319" s="243" t="str">
        <f t="shared" si="133"/>
        <v/>
      </c>
      <c r="AC319" s="141" t="str">
        <f t="shared" si="116"/>
        <v/>
      </c>
      <c r="AD319" s="138" t="str">
        <f t="shared" si="134"/>
        <v/>
      </c>
      <c r="AE319" s="243" t="str">
        <f t="shared" si="117"/>
        <v/>
      </c>
      <c r="AF319" s="342" t="str">
        <f>IF(AM319="Row Not Used","",INDEX(SpaceTable[Annual Hours],(MATCH(B319,SpaceTable[Space Name Concatenated Helper],0))))</f>
        <v/>
      </c>
      <c r="AG319" s="205" t="str">
        <f t="shared" si="118"/>
        <v/>
      </c>
      <c r="AH319" s="234" t="str">
        <f t="shared" si="119"/>
        <v/>
      </c>
      <c r="AI319" s="205" t="str">
        <f t="shared" si="120"/>
        <v/>
      </c>
      <c r="AJ319" s="234" t="str">
        <f t="shared" si="121"/>
        <v/>
      </c>
      <c r="AK319" s="144" t="str">
        <f>IF(AM319="Row Not Used","",INDEX(SpaceTable[Row],(MATCH(B319,SpaceTable[Space Name Concatenated Helper],0))))</f>
        <v/>
      </c>
      <c r="AL319" s="238" t="str">
        <f>IF(AM319="Row Not Used","",INDEX(SpaceTable[HVAC Factor],(MATCH(B319,SpaceTable[Space Name Concatenated Helper],0))))</f>
        <v/>
      </c>
      <c r="AM319" s="520" t="str">
        <f t="shared" si="122"/>
        <v>Row Not Used</v>
      </c>
      <c r="AN319" s="512" t="e" cm="1">
        <f t="array" ref="AN319">INDEX(BallastFactorTable[Ballast Factor],MATCH(1,(BallastFactorTable[Fixture Class]=D319)*(BallastFactorTable[Fixture Category]=E319)*(BallastFactorTable[Fixture Sub-category]=F319),0))</f>
        <v>#N/A</v>
      </c>
      <c r="AO319" s="143" t="str">
        <f t="shared" si="135"/>
        <v/>
      </c>
      <c r="AP319" s="501" t="e" cm="1">
        <f t="array" ref="AP319">INDEX(BallastFactorTable[Wattage Range Name],MATCH(1,(BallastFactorTable[Fixture Class]=D319)*(BallastFactorTable[Fixture Category]=E319)*(BallastFactorTable[Fixture Sub-category]=F319),0))</f>
        <v>#N/A</v>
      </c>
      <c r="AQ319" s="515" t="str">
        <f t="shared" ca="1" si="123"/>
        <v>Okay</v>
      </c>
      <c r="AR319" s="512">
        <f t="shared" si="124"/>
        <v>0</v>
      </c>
      <c r="AS319" s="511" t="str">
        <f>IF(OR(Measures!AM319="Row Not Used",Measures!C319="Controls Only",Measures!C319="Decommissioning"),"",_xlfn.CONCAT(P319," ",Q319))</f>
        <v/>
      </c>
      <c r="AT319" s="264" t="str">
        <f t="shared" si="125"/>
        <v>None</v>
      </c>
      <c r="AU319" s="229">
        <f>IF(OR(AM319="Row Not Used",AM319="Controls Only"),0,INDEX(IncentiveRateTable[Incentive Rate],MATCH(AT319,IncentiveRateTable[Incentive Name],0)))</f>
        <v>0</v>
      </c>
      <c r="AV319" s="133" t="str">
        <f>IF(OR(AM319="Row Not Used",AM319="Controls Only"),"None",INDEX(IncentiveRateTable[Incentive Unit],MATCH(AT319,IncentiveRateTable[Incentive Name],0)))</f>
        <v>None</v>
      </c>
      <c r="AW319" s="578">
        <f t="shared" si="136"/>
        <v>0</v>
      </c>
      <c r="AX319" s="264" t="str">
        <f t="shared" si="126"/>
        <v>None</v>
      </c>
      <c r="AY319" s="229">
        <f>IF(OR(AM319="Row Not Used",AM319="Fixtures Only",AM319="Decommissioning"),0,INDEX(IncentiveRateTable[Incentive Rate],MATCH(AX319,IncentiveRateTable[Incentive Name],0)))</f>
        <v>0</v>
      </c>
      <c r="AZ319" s="133" t="str">
        <f>IF(OR(AM319="Row Not Used",AM319="Fixtures Only",AM319="Decommissioning"),"None",INDEX(IncentiveRateTable[Incentive Unit],MATCH(AX319,IncentiveRateTable[Incentive Name],0)))</f>
        <v>None</v>
      </c>
      <c r="BA319" s="465">
        <f t="shared" si="127"/>
        <v>0</v>
      </c>
      <c r="BB319" s="264" t="e" cm="1">
        <f t="array" ref="BB319">INDEX(BallastFactorTable[Commercial BPA Reference Number],MATCH(1,(BallastFactorTable[Fixture Class]=J319)*(BallastFactorTable[Fixture Category]=K319)*(BallastFactorTable[Fixture Sub-category]=L319),0))</f>
        <v>#N/A</v>
      </c>
      <c r="BC319" s="133" t="e" cm="1">
        <f t="array" ref="BC319">INDEX(BallastFactorTable[Industrial BPA Reference Number],MATCH(1,(BallastFactorTable[Fixture Class]=J319)*(BallastFactorTable[Fixture Category]=K319)*(BallastFactorTable[Fixture Sub-category]=L319),0))</f>
        <v>#N/A</v>
      </c>
      <c r="BD319" s="264" t="str">
        <f t="shared" si="128"/>
        <v>Sector is blank</v>
      </c>
      <c r="BE319" s="269" t="str">
        <f>IF(ISBLANK(SectorField),"Sector is blank",IF(AM319="Row Not Used","",IF(OR(R319="No Controls",ISBLANK(R319)),"",INDEX(ControlsBPARefNoTable[Reference Number],MATCH(SectorField,ControlsBPARefNoTable[Sector],0)))))</f>
        <v>Sector is blank</v>
      </c>
      <c r="BF319" s="530" t="str">
        <f t="shared" si="129"/>
        <v/>
      </c>
      <c r="BG319" s="132" t="str">
        <f t="shared" si="130"/>
        <v/>
      </c>
      <c r="BH319" s="531" t="str">
        <f t="shared" si="131"/>
        <v/>
      </c>
      <c r="BI319" s="532"/>
      <c r="BJ319" s="538" t="str">
        <f t="shared" si="137"/>
        <v/>
      </c>
      <c r="BK319" s="539" t="str">
        <f t="shared" si="138"/>
        <v/>
      </c>
      <c r="BL319" s="547" t="str">
        <f t="shared" si="139"/>
        <v/>
      </c>
    </row>
    <row r="320" spans="1:64" x14ac:dyDescent="0.3">
      <c r="A320" s="133">
        <v>313</v>
      </c>
      <c r="B320" s="294"/>
      <c r="C320" s="313"/>
      <c r="D320" s="292"/>
      <c r="E320" s="284"/>
      <c r="F320" s="284"/>
      <c r="G320" s="295"/>
      <c r="H320" s="296"/>
      <c r="I320" s="297"/>
      <c r="J320" s="292"/>
      <c r="K320" s="284"/>
      <c r="L320" s="284"/>
      <c r="M320" s="295"/>
      <c r="N320" s="296"/>
      <c r="O320" s="296"/>
      <c r="P320" s="284"/>
      <c r="Q320" s="298"/>
      <c r="R320" s="292"/>
      <c r="S320" s="299"/>
      <c r="T320" s="300"/>
      <c r="U320" s="317" t="str">
        <f t="shared" si="113"/>
        <v/>
      </c>
      <c r="V320" s="301"/>
      <c r="W320" s="137" t="str">
        <f t="shared" si="114"/>
        <v/>
      </c>
      <c r="X320" s="589" t="str">
        <f t="shared" si="132"/>
        <v/>
      </c>
      <c r="Y320" s="581"/>
      <c r="Z320" s="251" t="str">
        <f t="shared" si="115"/>
        <v/>
      </c>
      <c r="AA320" s="138" t="str">
        <f t="shared" si="140"/>
        <v/>
      </c>
      <c r="AB320" s="243" t="str">
        <f t="shared" si="133"/>
        <v/>
      </c>
      <c r="AC320" s="141" t="str">
        <f t="shared" si="116"/>
        <v/>
      </c>
      <c r="AD320" s="138" t="str">
        <f t="shared" si="134"/>
        <v/>
      </c>
      <c r="AE320" s="243" t="str">
        <f t="shared" si="117"/>
        <v/>
      </c>
      <c r="AF320" s="342" t="str">
        <f>IF(AM320="Row Not Used","",INDEX(SpaceTable[Annual Hours],(MATCH(B320,SpaceTable[Space Name Concatenated Helper],0))))</f>
        <v/>
      </c>
      <c r="AG320" s="205" t="str">
        <f t="shared" si="118"/>
        <v/>
      </c>
      <c r="AH320" s="234" t="str">
        <f t="shared" si="119"/>
        <v/>
      </c>
      <c r="AI320" s="205" t="str">
        <f t="shared" si="120"/>
        <v/>
      </c>
      <c r="AJ320" s="234" t="str">
        <f t="shared" si="121"/>
        <v/>
      </c>
      <c r="AK320" s="144" t="str">
        <f>IF(AM320="Row Not Used","",INDEX(SpaceTable[Row],(MATCH(B320,SpaceTable[Space Name Concatenated Helper],0))))</f>
        <v/>
      </c>
      <c r="AL320" s="238" t="str">
        <f>IF(AM320="Row Not Used","",INDEX(SpaceTable[HVAC Factor],(MATCH(B320,SpaceTable[Space Name Concatenated Helper],0))))</f>
        <v/>
      </c>
      <c r="AM320" s="520" t="str">
        <f t="shared" si="122"/>
        <v>Row Not Used</v>
      </c>
      <c r="AN320" s="512" t="e" cm="1">
        <f t="array" ref="AN320">INDEX(BallastFactorTable[Ballast Factor],MATCH(1,(BallastFactorTable[Fixture Class]=D320)*(BallastFactorTable[Fixture Category]=E320)*(BallastFactorTable[Fixture Sub-category]=F320),0))</f>
        <v>#N/A</v>
      </c>
      <c r="AO320" s="143" t="str">
        <f t="shared" si="135"/>
        <v/>
      </c>
      <c r="AP320" s="501" t="e" cm="1">
        <f t="array" ref="AP320">INDEX(BallastFactorTable[Wattage Range Name],MATCH(1,(BallastFactorTable[Fixture Class]=D320)*(BallastFactorTable[Fixture Category]=E320)*(BallastFactorTable[Fixture Sub-category]=F320),0))</f>
        <v>#N/A</v>
      </c>
      <c r="AQ320" s="515" t="str">
        <f t="shared" ca="1" si="123"/>
        <v>Okay</v>
      </c>
      <c r="AR320" s="512">
        <f t="shared" si="124"/>
        <v>0</v>
      </c>
      <c r="AS320" s="511" t="str">
        <f>IF(OR(Measures!AM320="Row Not Used",Measures!C320="Controls Only",Measures!C320="Decommissioning"),"",_xlfn.CONCAT(P320," ",Q320))</f>
        <v/>
      </c>
      <c r="AT320" s="264" t="str">
        <f t="shared" si="125"/>
        <v>None</v>
      </c>
      <c r="AU320" s="229">
        <f>IF(OR(AM320="Row Not Used",AM320="Controls Only"),0,INDEX(IncentiveRateTable[Incentive Rate],MATCH(AT320,IncentiveRateTable[Incentive Name],0)))</f>
        <v>0</v>
      </c>
      <c r="AV320" s="133" t="str">
        <f>IF(OR(AM320="Row Not Used",AM320="Controls Only"),"None",INDEX(IncentiveRateTable[Incentive Unit],MATCH(AT320,IncentiveRateTable[Incentive Name],0)))</f>
        <v>None</v>
      </c>
      <c r="AW320" s="578">
        <f t="shared" si="136"/>
        <v>0</v>
      </c>
      <c r="AX320" s="264" t="str">
        <f t="shared" si="126"/>
        <v>None</v>
      </c>
      <c r="AY320" s="229">
        <f>IF(OR(AM320="Row Not Used",AM320="Fixtures Only",AM320="Decommissioning"),0,INDEX(IncentiveRateTable[Incentive Rate],MATCH(AX320,IncentiveRateTable[Incentive Name],0)))</f>
        <v>0</v>
      </c>
      <c r="AZ320" s="133" t="str">
        <f>IF(OR(AM320="Row Not Used",AM320="Fixtures Only",AM320="Decommissioning"),"None",INDEX(IncentiveRateTable[Incentive Unit],MATCH(AX320,IncentiveRateTable[Incentive Name],0)))</f>
        <v>None</v>
      </c>
      <c r="BA320" s="465">
        <f t="shared" si="127"/>
        <v>0</v>
      </c>
      <c r="BB320" s="264" t="e" cm="1">
        <f t="array" ref="BB320">INDEX(BallastFactorTable[Commercial BPA Reference Number],MATCH(1,(BallastFactorTable[Fixture Class]=J320)*(BallastFactorTable[Fixture Category]=K320)*(BallastFactorTable[Fixture Sub-category]=L320),0))</f>
        <v>#N/A</v>
      </c>
      <c r="BC320" s="133" t="e" cm="1">
        <f t="array" ref="BC320">INDEX(BallastFactorTable[Industrial BPA Reference Number],MATCH(1,(BallastFactorTable[Fixture Class]=J320)*(BallastFactorTable[Fixture Category]=K320)*(BallastFactorTable[Fixture Sub-category]=L320),0))</f>
        <v>#N/A</v>
      </c>
      <c r="BD320" s="264" t="str">
        <f t="shared" si="128"/>
        <v>Sector is blank</v>
      </c>
      <c r="BE320" s="269" t="str">
        <f>IF(ISBLANK(SectorField),"Sector is blank",IF(AM320="Row Not Used","",IF(OR(R320="No Controls",ISBLANK(R320)),"",INDEX(ControlsBPARefNoTable[Reference Number],MATCH(SectorField,ControlsBPARefNoTable[Sector],0)))))</f>
        <v>Sector is blank</v>
      </c>
      <c r="BF320" s="530" t="str">
        <f t="shared" si="129"/>
        <v/>
      </c>
      <c r="BG320" s="132" t="str">
        <f t="shared" si="130"/>
        <v/>
      </c>
      <c r="BH320" s="531" t="str">
        <f t="shared" si="131"/>
        <v/>
      </c>
      <c r="BI320" s="532"/>
      <c r="BJ320" s="538" t="str">
        <f t="shared" si="137"/>
        <v/>
      </c>
      <c r="BK320" s="539" t="str">
        <f t="shared" si="138"/>
        <v/>
      </c>
      <c r="BL320" s="547" t="str">
        <f t="shared" si="139"/>
        <v/>
      </c>
    </row>
    <row r="321" spans="1:64" x14ac:dyDescent="0.3">
      <c r="A321" s="133">
        <v>314</v>
      </c>
      <c r="B321" s="294"/>
      <c r="C321" s="313"/>
      <c r="D321" s="292"/>
      <c r="E321" s="284"/>
      <c r="F321" s="284"/>
      <c r="G321" s="295"/>
      <c r="H321" s="296"/>
      <c r="I321" s="297"/>
      <c r="J321" s="292"/>
      <c r="K321" s="284"/>
      <c r="L321" s="284"/>
      <c r="M321" s="295"/>
      <c r="N321" s="296"/>
      <c r="O321" s="296"/>
      <c r="P321" s="284"/>
      <c r="Q321" s="298"/>
      <c r="R321" s="292"/>
      <c r="S321" s="299"/>
      <c r="T321" s="300"/>
      <c r="U321" s="317" t="str">
        <f t="shared" si="113"/>
        <v/>
      </c>
      <c r="V321" s="301"/>
      <c r="W321" s="136" t="str">
        <f t="shared" si="114"/>
        <v/>
      </c>
      <c r="X321" s="588" t="str">
        <f t="shared" si="132"/>
        <v/>
      </c>
      <c r="Y321" s="580"/>
      <c r="Z321" s="251" t="str">
        <f t="shared" si="115"/>
        <v/>
      </c>
      <c r="AA321" s="138" t="str">
        <f t="shared" si="140"/>
        <v/>
      </c>
      <c r="AB321" s="243" t="str">
        <f t="shared" si="133"/>
        <v/>
      </c>
      <c r="AC321" s="141" t="str">
        <f t="shared" si="116"/>
        <v/>
      </c>
      <c r="AD321" s="138" t="str">
        <f t="shared" si="134"/>
        <v/>
      </c>
      <c r="AE321" s="243" t="str">
        <f t="shared" si="117"/>
        <v/>
      </c>
      <c r="AF321" s="342" t="str">
        <f>IF(AM321="Row Not Used","",INDEX(SpaceTable[Annual Hours],(MATCH(B321,SpaceTable[Space Name Concatenated Helper],0))))</f>
        <v/>
      </c>
      <c r="AG321" s="205" t="str">
        <f t="shared" si="118"/>
        <v/>
      </c>
      <c r="AH321" s="234" t="str">
        <f t="shared" si="119"/>
        <v/>
      </c>
      <c r="AI321" s="205" t="str">
        <f t="shared" si="120"/>
        <v/>
      </c>
      <c r="AJ321" s="234" t="str">
        <f t="shared" si="121"/>
        <v/>
      </c>
      <c r="AK321" s="144" t="str">
        <f>IF(AM321="Row Not Used","",INDEX(SpaceTable[Row],(MATCH(B321,SpaceTable[Space Name Concatenated Helper],0))))</f>
        <v/>
      </c>
      <c r="AL321" s="238" t="str">
        <f>IF(AM321="Row Not Used","",INDEX(SpaceTable[HVAC Factor],(MATCH(B321,SpaceTable[Space Name Concatenated Helper],0))))</f>
        <v/>
      </c>
      <c r="AM321" s="520" t="str">
        <f t="shared" si="122"/>
        <v>Row Not Used</v>
      </c>
      <c r="AN321" s="512" t="e" cm="1">
        <f t="array" ref="AN321">INDEX(BallastFactorTable[Ballast Factor],MATCH(1,(BallastFactorTable[Fixture Class]=D321)*(BallastFactorTable[Fixture Category]=E321)*(BallastFactorTable[Fixture Sub-category]=F321),0))</f>
        <v>#N/A</v>
      </c>
      <c r="AO321" s="143" t="str">
        <f t="shared" si="135"/>
        <v/>
      </c>
      <c r="AP321" s="501" t="e" cm="1">
        <f t="array" ref="AP321">INDEX(BallastFactorTable[Wattage Range Name],MATCH(1,(BallastFactorTable[Fixture Class]=D321)*(BallastFactorTable[Fixture Category]=E321)*(BallastFactorTable[Fixture Sub-category]=F321),0))</f>
        <v>#N/A</v>
      </c>
      <c r="AQ321" s="515" t="str">
        <f t="shared" ca="1" si="123"/>
        <v>Okay</v>
      </c>
      <c r="AR321" s="512">
        <f t="shared" si="124"/>
        <v>0</v>
      </c>
      <c r="AS321" s="511" t="str">
        <f>IF(OR(Measures!AM321="Row Not Used",Measures!C321="Controls Only",Measures!C321="Decommissioning"),"",_xlfn.CONCAT(P321," ",Q321))</f>
        <v/>
      </c>
      <c r="AT321" s="264" t="str">
        <f t="shared" si="125"/>
        <v>None</v>
      </c>
      <c r="AU321" s="229">
        <f>IF(OR(AM321="Row Not Used",AM321="Controls Only"),0,INDEX(IncentiveRateTable[Incentive Rate],MATCH(AT321,IncentiveRateTable[Incentive Name],0)))</f>
        <v>0</v>
      </c>
      <c r="AV321" s="133" t="str">
        <f>IF(OR(AM321="Row Not Used",AM321="Controls Only"),"None",INDEX(IncentiveRateTable[Incentive Unit],MATCH(AT321,IncentiveRateTable[Incentive Name],0)))</f>
        <v>None</v>
      </c>
      <c r="AW321" s="578">
        <f t="shared" si="136"/>
        <v>0</v>
      </c>
      <c r="AX321" s="264" t="str">
        <f t="shared" si="126"/>
        <v>None</v>
      </c>
      <c r="AY321" s="229">
        <f>IF(OR(AM321="Row Not Used",AM321="Fixtures Only",AM321="Decommissioning"),0,INDEX(IncentiveRateTable[Incentive Rate],MATCH(AX321,IncentiveRateTable[Incentive Name],0)))</f>
        <v>0</v>
      </c>
      <c r="AZ321" s="133" t="str">
        <f>IF(OR(AM321="Row Not Used",AM321="Fixtures Only",AM321="Decommissioning"),"None",INDEX(IncentiveRateTable[Incentive Unit],MATCH(AX321,IncentiveRateTable[Incentive Name],0)))</f>
        <v>None</v>
      </c>
      <c r="BA321" s="465">
        <f t="shared" si="127"/>
        <v>0</v>
      </c>
      <c r="BB321" s="264" t="e" cm="1">
        <f t="array" ref="BB321">INDEX(BallastFactorTable[Commercial BPA Reference Number],MATCH(1,(BallastFactorTable[Fixture Class]=J321)*(BallastFactorTable[Fixture Category]=K321)*(BallastFactorTable[Fixture Sub-category]=L321),0))</f>
        <v>#N/A</v>
      </c>
      <c r="BC321" s="133" t="e" cm="1">
        <f t="array" ref="BC321">INDEX(BallastFactorTable[Industrial BPA Reference Number],MATCH(1,(BallastFactorTable[Fixture Class]=J321)*(BallastFactorTable[Fixture Category]=K321)*(BallastFactorTable[Fixture Sub-category]=L321),0))</f>
        <v>#N/A</v>
      </c>
      <c r="BD321" s="264" t="str">
        <f t="shared" si="128"/>
        <v>Sector is blank</v>
      </c>
      <c r="BE321" s="269" t="str">
        <f>IF(ISBLANK(SectorField),"Sector is blank",IF(AM321="Row Not Used","",IF(OR(R321="No Controls",ISBLANK(R321)),"",INDEX(ControlsBPARefNoTable[Reference Number],MATCH(SectorField,ControlsBPARefNoTable[Sector],0)))))</f>
        <v>Sector is blank</v>
      </c>
      <c r="BF321" s="530" t="str">
        <f t="shared" si="129"/>
        <v/>
      </c>
      <c r="BG321" s="132" t="str">
        <f t="shared" si="130"/>
        <v/>
      </c>
      <c r="BH321" s="531" t="str">
        <f t="shared" si="131"/>
        <v/>
      </c>
      <c r="BI321" s="532"/>
      <c r="BJ321" s="538" t="str">
        <f t="shared" si="137"/>
        <v/>
      </c>
      <c r="BK321" s="539" t="str">
        <f t="shared" si="138"/>
        <v/>
      </c>
      <c r="BL321" s="547" t="str">
        <f t="shared" si="139"/>
        <v/>
      </c>
    </row>
    <row r="322" spans="1:64" x14ac:dyDescent="0.3">
      <c r="A322" s="133">
        <v>315</v>
      </c>
      <c r="B322" s="294"/>
      <c r="C322" s="313"/>
      <c r="D322" s="292"/>
      <c r="E322" s="284"/>
      <c r="F322" s="284"/>
      <c r="G322" s="295"/>
      <c r="H322" s="296"/>
      <c r="I322" s="297"/>
      <c r="J322" s="292"/>
      <c r="K322" s="284"/>
      <c r="L322" s="284"/>
      <c r="M322" s="295"/>
      <c r="N322" s="296"/>
      <c r="O322" s="296"/>
      <c r="P322" s="284"/>
      <c r="Q322" s="298"/>
      <c r="R322" s="292"/>
      <c r="S322" s="299"/>
      <c r="T322" s="300"/>
      <c r="U322" s="317" t="str">
        <f t="shared" si="113"/>
        <v/>
      </c>
      <c r="V322" s="301"/>
      <c r="W322" s="137" t="str">
        <f t="shared" si="114"/>
        <v/>
      </c>
      <c r="X322" s="589" t="str">
        <f t="shared" si="132"/>
        <v/>
      </c>
      <c r="Y322" s="581"/>
      <c r="Z322" s="251" t="str">
        <f t="shared" si="115"/>
        <v/>
      </c>
      <c r="AA322" s="138" t="str">
        <f t="shared" si="140"/>
        <v/>
      </c>
      <c r="AB322" s="243" t="str">
        <f t="shared" si="133"/>
        <v/>
      </c>
      <c r="AC322" s="141" t="str">
        <f t="shared" si="116"/>
        <v/>
      </c>
      <c r="AD322" s="138" t="str">
        <f t="shared" si="134"/>
        <v/>
      </c>
      <c r="AE322" s="243" t="str">
        <f t="shared" si="117"/>
        <v/>
      </c>
      <c r="AF322" s="342" t="str">
        <f>IF(AM322="Row Not Used","",INDEX(SpaceTable[Annual Hours],(MATCH(B322,SpaceTable[Space Name Concatenated Helper],0))))</f>
        <v/>
      </c>
      <c r="AG322" s="205" t="str">
        <f t="shared" si="118"/>
        <v/>
      </c>
      <c r="AH322" s="234" t="str">
        <f t="shared" si="119"/>
        <v/>
      </c>
      <c r="AI322" s="205" t="str">
        <f t="shared" si="120"/>
        <v/>
      </c>
      <c r="AJ322" s="234" t="str">
        <f t="shared" si="121"/>
        <v/>
      </c>
      <c r="AK322" s="144" t="str">
        <f>IF(AM322="Row Not Used","",INDEX(SpaceTable[Row],(MATCH(B322,SpaceTable[Space Name Concatenated Helper],0))))</f>
        <v/>
      </c>
      <c r="AL322" s="238" t="str">
        <f>IF(AM322="Row Not Used","",INDEX(SpaceTable[HVAC Factor],(MATCH(B322,SpaceTable[Space Name Concatenated Helper],0))))</f>
        <v/>
      </c>
      <c r="AM322" s="520" t="str">
        <f t="shared" si="122"/>
        <v>Row Not Used</v>
      </c>
      <c r="AN322" s="512" t="e" cm="1">
        <f t="array" ref="AN322">INDEX(BallastFactorTable[Ballast Factor],MATCH(1,(BallastFactorTable[Fixture Class]=D322)*(BallastFactorTable[Fixture Category]=E322)*(BallastFactorTable[Fixture Sub-category]=F322),0))</f>
        <v>#N/A</v>
      </c>
      <c r="AO322" s="143" t="str">
        <f t="shared" si="135"/>
        <v/>
      </c>
      <c r="AP322" s="501" t="e" cm="1">
        <f t="array" ref="AP322">INDEX(BallastFactorTable[Wattage Range Name],MATCH(1,(BallastFactorTable[Fixture Class]=D322)*(BallastFactorTable[Fixture Category]=E322)*(BallastFactorTable[Fixture Sub-category]=F322),0))</f>
        <v>#N/A</v>
      </c>
      <c r="AQ322" s="515" t="str">
        <f t="shared" ca="1" si="123"/>
        <v>Okay</v>
      </c>
      <c r="AR322" s="512">
        <f t="shared" si="124"/>
        <v>0</v>
      </c>
      <c r="AS322" s="511" t="str">
        <f>IF(OR(Measures!AM322="Row Not Used",Measures!C322="Controls Only",Measures!C322="Decommissioning"),"",_xlfn.CONCAT(P322," ",Q322))</f>
        <v/>
      </c>
      <c r="AT322" s="264" t="str">
        <f t="shared" si="125"/>
        <v>None</v>
      </c>
      <c r="AU322" s="229">
        <f>IF(OR(AM322="Row Not Used",AM322="Controls Only"),0,INDEX(IncentiveRateTable[Incentive Rate],MATCH(AT322,IncentiveRateTable[Incentive Name],0)))</f>
        <v>0</v>
      </c>
      <c r="AV322" s="133" t="str">
        <f>IF(OR(AM322="Row Not Used",AM322="Controls Only"),"None",INDEX(IncentiveRateTable[Incentive Unit],MATCH(AT322,IncentiveRateTable[Incentive Name],0)))</f>
        <v>None</v>
      </c>
      <c r="AW322" s="578">
        <f t="shared" si="136"/>
        <v>0</v>
      </c>
      <c r="AX322" s="264" t="str">
        <f t="shared" si="126"/>
        <v>None</v>
      </c>
      <c r="AY322" s="229">
        <f>IF(OR(AM322="Row Not Used",AM322="Fixtures Only",AM322="Decommissioning"),0,INDEX(IncentiveRateTable[Incentive Rate],MATCH(AX322,IncentiveRateTable[Incentive Name],0)))</f>
        <v>0</v>
      </c>
      <c r="AZ322" s="133" t="str">
        <f>IF(OR(AM322="Row Not Used",AM322="Fixtures Only",AM322="Decommissioning"),"None",INDEX(IncentiveRateTable[Incentive Unit],MATCH(AX322,IncentiveRateTable[Incentive Name],0)))</f>
        <v>None</v>
      </c>
      <c r="BA322" s="465">
        <f t="shared" si="127"/>
        <v>0</v>
      </c>
      <c r="BB322" s="264" t="e" cm="1">
        <f t="array" ref="BB322">INDEX(BallastFactorTable[Commercial BPA Reference Number],MATCH(1,(BallastFactorTable[Fixture Class]=J322)*(BallastFactorTable[Fixture Category]=K322)*(BallastFactorTable[Fixture Sub-category]=L322),0))</f>
        <v>#N/A</v>
      </c>
      <c r="BC322" s="133" t="e" cm="1">
        <f t="array" ref="BC322">INDEX(BallastFactorTable[Industrial BPA Reference Number],MATCH(1,(BallastFactorTable[Fixture Class]=J322)*(BallastFactorTable[Fixture Category]=K322)*(BallastFactorTable[Fixture Sub-category]=L322),0))</f>
        <v>#N/A</v>
      </c>
      <c r="BD322" s="264" t="str">
        <f t="shared" si="128"/>
        <v>Sector is blank</v>
      </c>
      <c r="BE322" s="269" t="str">
        <f>IF(ISBLANK(SectorField),"Sector is blank",IF(AM322="Row Not Used","",IF(OR(R322="No Controls",ISBLANK(R322)),"",INDEX(ControlsBPARefNoTable[Reference Number],MATCH(SectorField,ControlsBPARefNoTable[Sector],0)))))</f>
        <v>Sector is blank</v>
      </c>
      <c r="BF322" s="530" t="str">
        <f t="shared" si="129"/>
        <v/>
      </c>
      <c r="BG322" s="132" t="str">
        <f t="shared" si="130"/>
        <v/>
      </c>
      <c r="BH322" s="531" t="str">
        <f t="shared" si="131"/>
        <v/>
      </c>
      <c r="BI322" s="532"/>
      <c r="BJ322" s="538" t="str">
        <f t="shared" si="137"/>
        <v/>
      </c>
      <c r="BK322" s="539" t="str">
        <f t="shared" si="138"/>
        <v/>
      </c>
      <c r="BL322" s="547" t="str">
        <f t="shared" si="139"/>
        <v/>
      </c>
    </row>
    <row r="323" spans="1:64" x14ac:dyDescent="0.3">
      <c r="A323" s="133">
        <v>316</v>
      </c>
      <c r="B323" s="294"/>
      <c r="C323" s="313"/>
      <c r="D323" s="292"/>
      <c r="E323" s="284"/>
      <c r="F323" s="284"/>
      <c r="G323" s="295"/>
      <c r="H323" s="296"/>
      <c r="I323" s="297"/>
      <c r="J323" s="292"/>
      <c r="K323" s="284"/>
      <c r="L323" s="284"/>
      <c r="M323" s="295"/>
      <c r="N323" s="296"/>
      <c r="O323" s="296"/>
      <c r="P323" s="284"/>
      <c r="Q323" s="298"/>
      <c r="R323" s="292"/>
      <c r="S323" s="299"/>
      <c r="T323" s="300"/>
      <c r="U323" s="317" t="str">
        <f t="shared" si="113"/>
        <v/>
      </c>
      <c r="V323" s="301"/>
      <c r="W323" s="136" t="str">
        <f t="shared" si="114"/>
        <v/>
      </c>
      <c r="X323" s="588" t="str">
        <f t="shared" si="132"/>
        <v/>
      </c>
      <c r="Y323" s="580"/>
      <c r="Z323" s="251" t="str">
        <f t="shared" si="115"/>
        <v/>
      </c>
      <c r="AA323" s="138" t="str">
        <f t="shared" si="140"/>
        <v/>
      </c>
      <c r="AB323" s="243" t="str">
        <f t="shared" si="133"/>
        <v/>
      </c>
      <c r="AC323" s="141" t="str">
        <f t="shared" si="116"/>
        <v/>
      </c>
      <c r="AD323" s="138" t="str">
        <f t="shared" si="134"/>
        <v/>
      </c>
      <c r="AE323" s="243" t="str">
        <f t="shared" si="117"/>
        <v/>
      </c>
      <c r="AF323" s="342" t="str">
        <f>IF(AM323="Row Not Used","",INDEX(SpaceTable[Annual Hours],(MATCH(B323,SpaceTable[Space Name Concatenated Helper],0))))</f>
        <v/>
      </c>
      <c r="AG323" s="205" t="str">
        <f t="shared" si="118"/>
        <v/>
      </c>
      <c r="AH323" s="234" t="str">
        <f t="shared" si="119"/>
        <v/>
      </c>
      <c r="AI323" s="205" t="str">
        <f t="shared" si="120"/>
        <v/>
      </c>
      <c r="AJ323" s="234" t="str">
        <f t="shared" si="121"/>
        <v/>
      </c>
      <c r="AK323" s="144" t="str">
        <f>IF(AM323="Row Not Used","",INDEX(SpaceTable[Row],(MATCH(B323,SpaceTable[Space Name Concatenated Helper],0))))</f>
        <v/>
      </c>
      <c r="AL323" s="238" t="str">
        <f>IF(AM323="Row Not Used","",INDEX(SpaceTable[HVAC Factor],(MATCH(B323,SpaceTable[Space Name Concatenated Helper],0))))</f>
        <v/>
      </c>
      <c r="AM323" s="520" t="str">
        <f t="shared" si="122"/>
        <v>Row Not Used</v>
      </c>
      <c r="AN323" s="512" t="e" cm="1">
        <f t="array" ref="AN323">INDEX(BallastFactorTable[Ballast Factor],MATCH(1,(BallastFactorTable[Fixture Class]=D323)*(BallastFactorTable[Fixture Category]=E323)*(BallastFactorTable[Fixture Sub-category]=F323),0))</f>
        <v>#N/A</v>
      </c>
      <c r="AO323" s="143" t="str">
        <f t="shared" si="135"/>
        <v/>
      </c>
      <c r="AP323" s="501" t="e" cm="1">
        <f t="array" ref="AP323">INDEX(BallastFactorTable[Wattage Range Name],MATCH(1,(BallastFactorTable[Fixture Class]=D323)*(BallastFactorTable[Fixture Category]=E323)*(BallastFactorTable[Fixture Sub-category]=F323),0))</f>
        <v>#N/A</v>
      </c>
      <c r="AQ323" s="515" t="str">
        <f t="shared" ca="1" si="123"/>
        <v>Okay</v>
      </c>
      <c r="AR323" s="512">
        <f t="shared" si="124"/>
        <v>0</v>
      </c>
      <c r="AS323" s="511" t="str">
        <f>IF(OR(Measures!AM323="Row Not Used",Measures!C323="Controls Only",Measures!C323="Decommissioning"),"",_xlfn.CONCAT(P323," ",Q323))</f>
        <v/>
      </c>
      <c r="AT323" s="264" t="str">
        <f t="shared" si="125"/>
        <v>None</v>
      </c>
      <c r="AU323" s="229">
        <f>IF(OR(AM323="Row Not Used",AM323="Controls Only"),0,INDEX(IncentiveRateTable[Incentive Rate],MATCH(AT323,IncentiveRateTable[Incentive Name],0)))</f>
        <v>0</v>
      </c>
      <c r="AV323" s="133" t="str">
        <f>IF(OR(AM323="Row Not Used",AM323="Controls Only"),"None",INDEX(IncentiveRateTable[Incentive Unit],MATCH(AT323,IncentiveRateTable[Incentive Name],0)))</f>
        <v>None</v>
      </c>
      <c r="AW323" s="578">
        <f t="shared" si="136"/>
        <v>0</v>
      </c>
      <c r="AX323" s="264" t="str">
        <f t="shared" si="126"/>
        <v>None</v>
      </c>
      <c r="AY323" s="229">
        <f>IF(OR(AM323="Row Not Used",AM323="Fixtures Only",AM323="Decommissioning"),0,INDEX(IncentiveRateTable[Incentive Rate],MATCH(AX323,IncentiveRateTable[Incentive Name],0)))</f>
        <v>0</v>
      </c>
      <c r="AZ323" s="133" t="str">
        <f>IF(OR(AM323="Row Not Used",AM323="Fixtures Only",AM323="Decommissioning"),"None",INDEX(IncentiveRateTable[Incentive Unit],MATCH(AX323,IncentiveRateTable[Incentive Name],0)))</f>
        <v>None</v>
      </c>
      <c r="BA323" s="465">
        <f t="shared" si="127"/>
        <v>0</v>
      </c>
      <c r="BB323" s="264" t="e" cm="1">
        <f t="array" ref="BB323">INDEX(BallastFactorTable[Commercial BPA Reference Number],MATCH(1,(BallastFactorTable[Fixture Class]=J323)*(BallastFactorTable[Fixture Category]=K323)*(BallastFactorTable[Fixture Sub-category]=L323),0))</f>
        <v>#N/A</v>
      </c>
      <c r="BC323" s="133" t="e" cm="1">
        <f t="array" ref="BC323">INDEX(BallastFactorTable[Industrial BPA Reference Number],MATCH(1,(BallastFactorTable[Fixture Class]=J323)*(BallastFactorTable[Fixture Category]=K323)*(BallastFactorTable[Fixture Sub-category]=L323),0))</f>
        <v>#N/A</v>
      </c>
      <c r="BD323" s="264" t="str">
        <f t="shared" si="128"/>
        <v>Sector is blank</v>
      </c>
      <c r="BE323" s="269" t="str">
        <f>IF(ISBLANK(SectorField),"Sector is blank",IF(AM323="Row Not Used","",IF(OR(R323="No Controls",ISBLANK(R323)),"",INDEX(ControlsBPARefNoTable[Reference Number],MATCH(SectorField,ControlsBPARefNoTable[Sector],0)))))</f>
        <v>Sector is blank</v>
      </c>
      <c r="BF323" s="530" t="str">
        <f t="shared" si="129"/>
        <v/>
      </c>
      <c r="BG323" s="132" t="str">
        <f t="shared" si="130"/>
        <v/>
      </c>
      <c r="BH323" s="531" t="str">
        <f t="shared" si="131"/>
        <v/>
      </c>
      <c r="BI323" s="532"/>
      <c r="BJ323" s="538" t="str">
        <f t="shared" si="137"/>
        <v/>
      </c>
      <c r="BK323" s="539" t="str">
        <f t="shared" si="138"/>
        <v/>
      </c>
      <c r="BL323" s="547" t="str">
        <f t="shared" si="139"/>
        <v/>
      </c>
    </row>
    <row r="324" spans="1:64" x14ac:dyDescent="0.3">
      <c r="A324" s="133">
        <v>317</v>
      </c>
      <c r="B324" s="294"/>
      <c r="C324" s="313"/>
      <c r="D324" s="292"/>
      <c r="E324" s="284"/>
      <c r="F324" s="284"/>
      <c r="G324" s="295"/>
      <c r="H324" s="296"/>
      <c r="I324" s="297"/>
      <c r="J324" s="292"/>
      <c r="K324" s="284"/>
      <c r="L324" s="284"/>
      <c r="M324" s="295"/>
      <c r="N324" s="296"/>
      <c r="O324" s="296"/>
      <c r="P324" s="284"/>
      <c r="Q324" s="298"/>
      <c r="R324" s="292"/>
      <c r="S324" s="299"/>
      <c r="T324" s="300"/>
      <c r="U324" s="317" t="str">
        <f t="shared" si="113"/>
        <v/>
      </c>
      <c r="V324" s="301"/>
      <c r="W324" s="137" t="str">
        <f t="shared" si="114"/>
        <v/>
      </c>
      <c r="X324" s="589" t="str">
        <f t="shared" si="132"/>
        <v/>
      </c>
      <c r="Y324" s="581"/>
      <c r="Z324" s="251" t="str">
        <f t="shared" si="115"/>
        <v/>
      </c>
      <c r="AA324" s="138" t="str">
        <f t="shared" si="140"/>
        <v/>
      </c>
      <c r="AB324" s="243" t="str">
        <f t="shared" si="133"/>
        <v/>
      </c>
      <c r="AC324" s="141" t="str">
        <f t="shared" si="116"/>
        <v/>
      </c>
      <c r="AD324" s="138" t="str">
        <f t="shared" si="134"/>
        <v/>
      </c>
      <c r="AE324" s="243" t="str">
        <f t="shared" si="117"/>
        <v/>
      </c>
      <c r="AF324" s="342" t="str">
        <f>IF(AM324="Row Not Used","",INDEX(SpaceTable[Annual Hours],(MATCH(B324,SpaceTable[Space Name Concatenated Helper],0))))</f>
        <v/>
      </c>
      <c r="AG324" s="205" t="str">
        <f t="shared" si="118"/>
        <v/>
      </c>
      <c r="AH324" s="234" t="str">
        <f t="shared" si="119"/>
        <v/>
      </c>
      <c r="AI324" s="205" t="str">
        <f t="shared" si="120"/>
        <v/>
      </c>
      <c r="AJ324" s="234" t="str">
        <f t="shared" si="121"/>
        <v/>
      </c>
      <c r="AK324" s="144" t="str">
        <f>IF(AM324="Row Not Used","",INDEX(SpaceTable[Row],(MATCH(B324,SpaceTable[Space Name Concatenated Helper],0))))</f>
        <v/>
      </c>
      <c r="AL324" s="238" t="str">
        <f>IF(AM324="Row Not Used","",INDEX(SpaceTable[HVAC Factor],(MATCH(B324,SpaceTable[Space Name Concatenated Helper],0))))</f>
        <v/>
      </c>
      <c r="AM324" s="520" t="str">
        <f t="shared" si="122"/>
        <v>Row Not Used</v>
      </c>
      <c r="AN324" s="512" t="e" cm="1">
        <f t="array" ref="AN324">INDEX(BallastFactorTable[Ballast Factor],MATCH(1,(BallastFactorTable[Fixture Class]=D324)*(BallastFactorTable[Fixture Category]=E324)*(BallastFactorTable[Fixture Sub-category]=F324),0))</f>
        <v>#N/A</v>
      </c>
      <c r="AO324" s="143" t="str">
        <f t="shared" si="135"/>
        <v/>
      </c>
      <c r="AP324" s="501" t="e" cm="1">
        <f t="array" ref="AP324">INDEX(BallastFactorTable[Wattage Range Name],MATCH(1,(BallastFactorTable[Fixture Class]=D324)*(BallastFactorTable[Fixture Category]=E324)*(BallastFactorTable[Fixture Sub-category]=F324),0))</f>
        <v>#N/A</v>
      </c>
      <c r="AQ324" s="515" t="str">
        <f t="shared" ca="1" si="123"/>
        <v>Okay</v>
      </c>
      <c r="AR324" s="512">
        <f t="shared" si="124"/>
        <v>0</v>
      </c>
      <c r="AS324" s="511" t="str">
        <f>IF(OR(Measures!AM324="Row Not Used",Measures!C324="Controls Only",Measures!C324="Decommissioning"),"",_xlfn.CONCAT(P324," ",Q324))</f>
        <v/>
      </c>
      <c r="AT324" s="264" t="str">
        <f t="shared" si="125"/>
        <v>None</v>
      </c>
      <c r="AU324" s="229">
        <f>IF(OR(AM324="Row Not Used",AM324="Controls Only"),0,INDEX(IncentiveRateTable[Incentive Rate],MATCH(AT324,IncentiveRateTable[Incentive Name],0)))</f>
        <v>0</v>
      </c>
      <c r="AV324" s="133" t="str">
        <f>IF(OR(AM324="Row Not Used",AM324="Controls Only"),"None",INDEX(IncentiveRateTable[Incentive Unit],MATCH(AT324,IncentiveRateTable[Incentive Name],0)))</f>
        <v>None</v>
      </c>
      <c r="AW324" s="578">
        <f t="shared" si="136"/>
        <v>0</v>
      </c>
      <c r="AX324" s="264" t="str">
        <f t="shared" si="126"/>
        <v>None</v>
      </c>
      <c r="AY324" s="229">
        <f>IF(OR(AM324="Row Not Used",AM324="Fixtures Only",AM324="Decommissioning"),0,INDEX(IncentiveRateTable[Incentive Rate],MATCH(AX324,IncentiveRateTable[Incentive Name],0)))</f>
        <v>0</v>
      </c>
      <c r="AZ324" s="133" t="str">
        <f>IF(OR(AM324="Row Not Used",AM324="Fixtures Only",AM324="Decommissioning"),"None",INDEX(IncentiveRateTable[Incentive Unit],MATCH(AX324,IncentiveRateTable[Incentive Name],0)))</f>
        <v>None</v>
      </c>
      <c r="BA324" s="465">
        <f t="shared" si="127"/>
        <v>0</v>
      </c>
      <c r="BB324" s="264" t="e" cm="1">
        <f t="array" ref="BB324">INDEX(BallastFactorTable[Commercial BPA Reference Number],MATCH(1,(BallastFactorTable[Fixture Class]=J324)*(BallastFactorTable[Fixture Category]=K324)*(BallastFactorTable[Fixture Sub-category]=L324),0))</f>
        <v>#N/A</v>
      </c>
      <c r="BC324" s="133" t="e" cm="1">
        <f t="array" ref="BC324">INDEX(BallastFactorTable[Industrial BPA Reference Number],MATCH(1,(BallastFactorTable[Fixture Class]=J324)*(BallastFactorTable[Fixture Category]=K324)*(BallastFactorTable[Fixture Sub-category]=L324),0))</f>
        <v>#N/A</v>
      </c>
      <c r="BD324" s="264" t="str">
        <f t="shared" si="128"/>
        <v>Sector is blank</v>
      </c>
      <c r="BE324" s="269" t="str">
        <f>IF(ISBLANK(SectorField),"Sector is blank",IF(AM324="Row Not Used","",IF(OR(R324="No Controls",ISBLANK(R324)),"",INDEX(ControlsBPARefNoTable[Reference Number],MATCH(SectorField,ControlsBPARefNoTable[Sector],0)))))</f>
        <v>Sector is blank</v>
      </c>
      <c r="BF324" s="530" t="str">
        <f t="shared" si="129"/>
        <v/>
      </c>
      <c r="BG324" s="132" t="str">
        <f t="shared" si="130"/>
        <v/>
      </c>
      <c r="BH324" s="531" t="str">
        <f t="shared" si="131"/>
        <v/>
      </c>
      <c r="BI324" s="532"/>
      <c r="BJ324" s="538" t="str">
        <f t="shared" si="137"/>
        <v/>
      </c>
      <c r="BK324" s="539" t="str">
        <f t="shared" si="138"/>
        <v/>
      </c>
      <c r="BL324" s="547" t="str">
        <f t="shared" si="139"/>
        <v/>
      </c>
    </row>
    <row r="325" spans="1:64" x14ac:dyDescent="0.3">
      <c r="A325" s="133">
        <v>318</v>
      </c>
      <c r="B325" s="294"/>
      <c r="C325" s="313"/>
      <c r="D325" s="292"/>
      <c r="E325" s="284"/>
      <c r="F325" s="284"/>
      <c r="G325" s="295"/>
      <c r="H325" s="296"/>
      <c r="I325" s="297"/>
      <c r="J325" s="292"/>
      <c r="K325" s="284"/>
      <c r="L325" s="284"/>
      <c r="M325" s="295"/>
      <c r="N325" s="296"/>
      <c r="O325" s="296"/>
      <c r="P325" s="284"/>
      <c r="Q325" s="298"/>
      <c r="R325" s="292"/>
      <c r="S325" s="299"/>
      <c r="T325" s="300"/>
      <c r="U325" s="317" t="str">
        <f t="shared" si="113"/>
        <v/>
      </c>
      <c r="V325" s="301"/>
      <c r="W325" s="136" t="str">
        <f t="shared" si="114"/>
        <v/>
      </c>
      <c r="X325" s="588" t="str">
        <f t="shared" si="132"/>
        <v/>
      </c>
      <c r="Y325" s="580"/>
      <c r="Z325" s="251" t="str">
        <f t="shared" si="115"/>
        <v/>
      </c>
      <c r="AA325" s="138" t="str">
        <f t="shared" si="140"/>
        <v/>
      </c>
      <c r="AB325" s="243" t="str">
        <f t="shared" si="133"/>
        <v/>
      </c>
      <c r="AC325" s="141" t="str">
        <f t="shared" si="116"/>
        <v/>
      </c>
      <c r="AD325" s="138" t="str">
        <f t="shared" si="134"/>
        <v/>
      </c>
      <c r="AE325" s="243" t="str">
        <f t="shared" si="117"/>
        <v/>
      </c>
      <c r="AF325" s="342" t="str">
        <f>IF(AM325="Row Not Used","",INDEX(SpaceTable[Annual Hours],(MATCH(B325,SpaceTable[Space Name Concatenated Helper],0))))</f>
        <v/>
      </c>
      <c r="AG325" s="205" t="str">
        <f t="shared" si="118"/>
        <v/>
      </c>
      <c r="AH325" s="234" t="str">
        <f t="shared" si="119"/>
        <v/>
      </c>
      <c r="AI325" s="205" t="str">
        <f t="shared" si="120"/>
        <v/>
      </c>
      <c r="AJ325" s="234" t="str">
        <f t="shared" si="121"/>
        <v/>
      </c>
      <c r="AK325" s="144" t="str">
        <f>IF(AM325="Row Not Used","",INDEX(SpaceTable[Row],(MATCH(B325,SpaceTable[Space Name Concatenated Helper],0))))</f>
        <v/>
      </c>
      <c r="AL325" s="238" t="str">
        <f>IF(AM325="Row Not Used","",INDEX(SpaceTable[HVAC Factor],(MATCH(B325,SpaceTable[Space Name Concatenated Helper],0))))</f>
        <v/>
      </c>
      <c r="AM325" s="520" t="str">
        <f t="shared" si="122"/>
        <v>Row Not Used</v>
      </c>
      <c r="AN325" s="512" t="e" cm="1">
        <f t="array" ref="AN325">INDEX(BallastFactorTable[Ballast Factor],MATCH(1,(BallastFactorTable[Fixture Class]=D325)*(BallastFactorTable[Fixture Category]=E325)*(BallastFactorTable[Fixture Sub-category]=F325),0))</f>
        <v>#N/A</v>
      </c>
      <c r="AO325" s="143" t="str">
        <f t="shared" si="135"/>
        <v/>
      </c>
      <c r="AP325" s="501" t="e" cm="1">
        <f t="array" ref="AP325">INDEX(BallastFactorTable[Wattage Range Name],MATCH(1,(BallastFactorTable[Fixture Class]=D325)*(BallastFactorTable[Fixture Category]=E325)*(BallastFactorTable[Fixture Sub-category]=F325),0))</f>
        <v>#N/A</v>
      </c>
      <c r="AQ325" s="515" t="str">
        <f t="shared" ca="1" si="123"/>
        <v>Okay</v>
      </c>
      <c r="AR325" s="512">
        <f t="shared" si="124"/>
        <v>0</v>
      </c>
      <c r="AS325" s="511" t="str">
        <f>IF(OR(Measures!AM325="Row Not Used",Measures!C325="Controls Only",Measures!C325="Decommissioning"),"",_xlfn.CONCAT(P325," ",Q325))</f>
        <v/>
      </c>
      <c r="AT325" s="264" t="str">
        <f t="shared" si="125"/>
        <v>None</v>
      </c>
      <c r="AU325" s="229">
        <f>IF(OR(AM325="Row Not Used",AM325="Controls Only"),0,INDEX(IncentiveRateTable[Incentive Rate],MATCH(AT325,IncentiveRateTable[Incentive Name],0)))</f>
        <v>0</v>
      </c>
      <c r="AV325" s="133" t="str">
        <f>IF(OR(AM325="Row Not Used",AM325="Controls Only"),"None",INDEX(IncentiveRateTable[Incentive Unit],MATCH(AT325,IncentiveRateTable[Incentive Name],0)))</f>
        <v>None</v>
      </c>
      <c r="AW325" s="578">
        <f t="shared" si="136"/>
        <v>0</v>
      </c>
      <c r="AX325" s="264" t="str">
        <f t="shared" si="126"/>
        <v>None</v>
      </c>
      <c r="AY325" s="229">
        <f>IF(OR(AM325="Row Not Used",AM325="Fixtures Only",AM325="Decommissioning"),0,INDEX(IncentiveRateTable[Incentive Rate],MATCH(AX325,IncentiveRateTable[Incentive Name],0)))</f>
        <v>0</v>
      </c>
      <c r="AZ325" s="133" t="str">
        <f>IF(OR(AM325="Row Not Used",AM325="Fixtures Only",AM325="Decommissioning"),"None",INDEX(IncentiveRateTable[Incentive Unit],MATCH(AX325,IncentiveRateTable[Incentive Name],0)))</f>
        <v>None</v>
      </c>
      <c r="BA325" s="465">
        <f t="shared" si="127"/>
        <v>0</v>
      </c>
      <c r="BB325" s="264" t="e" cm="1">
        <f t="array" ref="BB325">INDEX(BallastFactorTable[Commercial BPA Reference Number],MATCH(1,(BallastFactorTable[Fixture Class]=J325)*(BallastFactorTable[Fixture Category]=K325)*(BallastFactorTable[Fixture Sub-category]=L325),0))</f>
        <v>#N/A</v>
      </c>
      <c r="BC325" s="133" t="e" cm="1">
        <f t="array" ref="BC325">INDEX(BallastFactorTable[Industrial BPA Reference Number],MATCH(1,(BallastFactorTable[Fixture Class]=J325)*(BallastFactorTable[Fixture Category]=K325)*(BallastFactorTable[Fixture Sub-category]=L325),0))</f>
        <v>#N/A</v>
      </c>
      <c r="BD325" s="264" t="str">
        <f t="shared" si="128"/>
        <v>Sector is blank</v>
      </c>
      <c r="BE325" s="269" t="str">
        <f>IF(ISBLANK(SectorField),"Sector is blank",IF(AM325="Row Not Used","",IF(OR(R325="No Controls",ISBLANK(R325)),"",INDEX(ControlsBPARefNoTable[Reference Number],MATCH(SectorField,ControlsBPARefNoTable[Sector],0)))))</f>
        <v>Sector is blank</v>
      </c>
      <c r="BF325" s="530" t="str">
        <f t="shared" si="129"/>
        <v/>
      </c>
      <c r="BG325" s="132" t="str">
        <f t="shared" si="130"/>
        <v/>
      </c>
      <c r="BH325" s="531" t="str">
        <f t="shared" si="131"/>
        <v/>
      </c>
      <c r="BI325" s="532"/>
      <c r="BJ325" s="538" t="str">
        <f t="shared" si="137"/>
        <v/>
      </c>
      <c r="BK325" s="539" t="str">
        <f t="shared" si="138"/>
        <v/>
      </c>
      <c r="BL325" s="547" t="str">
        <f t="shared" si="139"/>
        <v/>
      </c>
    </row>
    <row r="326" spans="1:64" x14ac:dyDescent="0.3">
      <c r="A326" s="133">
        <v>319</v>
      </c>
      <c r="B326" s="294"/>
      <c r="C326" s="313"/>
      <c r="D326" s="292"/>
      <c r="E326" s="284"/>
      <c r="F326" s="284"/>
      <c r="G326" s="295"/>
      <c r="H326" s="296"/>
      <c r="I326" s="297"/>
      <c r="J326" s="292"/>
      <c r="K326" s="284"/>
      <c r="L326" s="284"/>
      <c r="M326" s="295"/>
      <c r="N326" s="296"/>
      <c r="O326" s="296"/>
      <c r="P326" s="284"/>
      <c r="Q326" s="298"/>
      <c r="R326" s="292"/>
      <c r="S326" s="299"/>
      <c r="T326" s="300"/>
      <c r="U326" s="317" t="str">
        <f t="shared" si="113"/>
        <v/>
      </c>
      <c r="V326" s="301"/>
      <c r="W326" s="137" t="str">
        <f t="shared" si="114"/>
        <v/>
      </c>
      <c r="X326" s="589" t="str">
        <f t="shared" si="132"/>
        <v/>
      </c>
      <c r="Y326" s="581"/>
      <c r="Z326" s="251" t="str">
        <f t="shared" si="115"/>
        <v/>
      </c>
      <c r="AA326" s="138" t="str">
        <f t="shared" si="140"/>
        <v/>
      </c>
      <c r="AB326" s="243" t="str">
        <f t="shared" si="133"/>
        <v/>
      </c>
      <c r="AC326" s="141" t="str">
        <f t="shared" si="116"/>
        <v/>
      </c>
      <c r="AD326" s="138" t="str">
        <f t="shared" si="134"/>
        <v/>
      </c>
      <c r="AE326" s="243" t="str">
        <f t="shared" si="117"/>
        <v/>
      </c>
      <c r="AF326" s="342" t="str">
        <f>IF(AM326="Row Not Used","",INDEX(SpaceTable[Annual Hours],(MATCH(B326,SpaceTable[Space Name Concatenated Helper],0))))</f>
        <v/>
      </c>
      <c r="AG326" s="205" t="str">
        <f t="shared" si="118"/>
        <v/>
      </c>
      <c r="AH326" s="234" t="str">
        <f t="shared" si="119"/>
        <v/>
      </c>
      <c r="AI326" s="205" t="str">
        <f t="shared" si="120"/>
        <v/>
      </c>
      <c r="AJ326" s="234" t="str">
        <f t="shared" si="121"/>
        <v/>
      </c>
      <c r="AK326" s="144" t="str">
        <f>IF(AM326="Row Not Used","",INDEX(SpaceTable[Row],(MATCH(B326,SpaceTable[Space Name Concatenated Helper],0))))</f>
        <v/>
      </c>
      <c r="AL326" s="238" t="str">
        <f>IF(AM326="Row Not Used","",INDEX(SpaceTable[HVAC Factor],(MATCH(B326,SpaceTable[Space Name Concatenated Helper],0))))</f>
        <v/>
      </c>
      <c r="AM326" s="520" t="str">
        <f t="shared" si="122"/>
        <v>Row Not Used</v>
      </c>
      <c r="AN326" s="512" t="e" cm="1">
        <f t="array" ref="AN326">INDEX(BallastFactorTable[Ballast Factor],MATCH(1,(BallastFactorTable[Fixture Class]=D326)*(BallastFactorTable[Fixture Category]=E326)*(BallastFactorTable[Fixture Sub-category]=F326),0))</f>
        <v>#N/A</v>
      </c>
      <c r="AO326" s="143" t="str">
        <f t="shared" si="135"/>
        <v/>
      </c>
      <c r="AP326" s="501" t="e" cm="1">
        <f t="array" ref="AP326">INDEX(BallastFactorTable[Wattage Range Name],MATCH(1,(BallastFactorTable[Fixture Class]=D326)*(BallastFactorTable[Fixture Category]=E326)*(BallastFactorTable[Fixture Sub-category]=F326),0))</f>
        <v>#N/A</v>
      </c>
      <c r="AQ326" s="515" t="str">
        <f t="shared" ca="1" si="123"/>
        <v>Okay</v>
      </c>
      <c r="AR326" s="512">
        <f t="shared" si="124"/>
        <v>0</v>
      </c>
      <c r="AS326" s="511" t="str">
        <f>IF(OR(Measures!AM326="Row Not Used",Measures!C326="Controls Only",Measures!C326="Decommissioning"),"",_xlfn.CONCAT(P326," ",Q326))</f>
        <v/>
      </c>
      <c r="AT326" s="264" t="str">
        <f t="shared" si="125"/>
        <v>None</v>
      </c>
      <c r="AU326" s="229">
        <f>IF(OR(AM326="Row Not Used",AM326="Controls Only"),0,INDEX(IncentiveRateTable[Incentive Rate],MATCH(AT326,IncentiveRateTable[Incentive Name],0)))</f>
        <v>0</v>
      </c>
      <c r="AV326" s="133" t="str">
        <f>IF(OR(AM326="Row Not Used",AM326="Controls Only"),"None",INDEX(IncentiveRateTable[Incentive Unit],MATCH(AT326,IncentiveRateTable[Incentive Name],0)))</f>
        <v>None</v>
      </c>
      <c r="AW326" s="578">
        <f t="shared" si="136"/>
        <v>0</v>
      </c>
      <c r="AX326" s="264" t="str">
        <f t="shared" si="126"/>
        <v>None</v>
      </c>
      <c r="AY326" s="229">
        <f>IF(OR(AM326="Row Not Used",AM326="Fixtures Only",AM326="Decommissioning"),0,INDEX(IncentiveRateTable[Incentive Rate],MATCH(AX326,IncentiveRateTable[Incentive Name],0)))</f>
        <v>0</v>
      </c>
      <c r="AZ326" s="133" t="str">
        <f>IF(OR(AM326="Row Not Used",AM326="Fixtures Only",AM326="Decommissioning"),"None",INDEX(IncentiveRateTable[Incentive Unit],MATCH(AX326,IncentiveRateTable[Incentive Name],0)))</f>
        <v>None</v>
      </c>
      <c r="BA326" s="465">
        <f t="shared" si="127"/>
        <v>0</v>
      </c>
      <c r="BB326" s="264" t="e" cm="1">
        <f t="array" ref="BB326">INDEX(BallastFactorTable[Commercial BPA Reference Number],MATCH(1,(BallastFactorTable[Fixture Class]=J326)*(BallastFactorTable[Fixture Category]=K326)*(BallastFactorTable[Fixture Sub-category]=L326),0))</f>
        <v>#N/A</v>
      </c>
      <c r="BC326" s="133" t="e" cm="1">
        <f t="array" ref="BC326">INDEX(BallastFactorTable[Industrial BPA Reference Number],MATCH(1,(BallastFactorTable[Fixture Class]=J326)*(BallastFactorTable[Fixture Category]=K326)*(BallastFactorTable[Fixture Sub-category]=L326),0))</f>
        <v>#N/A</v>
      </c>
      <c r="BD326" s="264" t="str">
        <f t="shared" si="128"/>
        <v>Sector is blank</v>
      </c>
      <c r="BE326" s="269" t="str">
        <f>IF(ISBLANK(SectorField),"Sector is blank",IF(AM326="Row Not Used","",IF(OR(R326="No Controls",ISBLANK(R326)),"",INDEX(ControlsBPARefNoTable[Reference Number],MATCH(SectorField,ControlsBPARefNoTable[Sector],0)))))</f>
        <v>Sector is blank</v>
      </c>
      <c r="BF326" s="530" t="str">
        <f t="shared" si="129"/>
        <v/>
      </c>
      <c r="BG326" s="132" t="str">
        <f t="shared" si="130"/>
        <v/>
      </c>
      <c r="BH326" s="531" t="str">
        <f t="shared" si="131"/>
        <v/>
      </c>
      <c r="BI326" s="532"/>
      <c r="BJ326" s="538" t="str">
        <f t="shared" si="137"/>
        <v/>
      </c>
      <c r="BK326" s="539" t="str">
        <f t="shared" si="138"/>
        <v/>
      </c>
      <c r="BL326" s="547" t="str">
        <f t="shared" si="139"/>
        <v/>
      </c>
    </row>
    <row r="327" spans="1:64" x14ac:dyDescent="0.3">
      <c r="A327" s="133">
        <v>320</v>
      </c>
      <c r="B327" s="294"/>
      <c r="C327" s="313"/>
      <c r="D327" s="292"/>
      <c r="E327" s="284"/>
      <c r="F327" s="284"/>
      <c r="G327" s="295"/>
      <c r="H327" s="296"/>
      <c r="I327" s="297"/>
      <c r="J327" s="292"/>
      <c r="K327" s="284"/>
      <c r="L327" s="284"/>
      <c r="M327" s="295"/>
      <c r="N327" s="296"/>
      <c r="O327" s="296"/>
      <c r="P327" s="284"/>
      <c r="Q327" s="298"/>
      <c r="R327" s="292"/>
      <c r="S327" s="299"/>
      <c r="T327" s="300"/>
      <c r="U327" s="317" t="str">
        <f t="shared" si="113"/>
        <v/>
      </c>
      <c r="V327" s="301"/>
      <c r="W327" s="136" t="str">
        <f t="shared" si="114"/>
        <v/>
      </c>
      <c r="X327" s="588" t="str">
        <f t="shared" si="132"/>
        <v/>
      </c>
      <c r="Y327" s="580"/>
      <c r="Z327" s="251" t="str">
        <f t="shared" si="115"/>
        <v/>
      </c>
      <c r="AA327" s="138" t="str">
        <f t="shared" si="140"/>
        <v/>
      </c>
      <c r="AB327" s="243" t="str">
        <f t="shared" si="133"/>
        <v/>
      </c>
      <c r="AC327" s="141" t="str">
        <f t="shared" si="116"/>
        <v/>
      </c>
      <c r="AD327" s="138" t="str">
        <f t="shared" si="134"/>
        <v/>
      </c>
      <c r="AE327" s="243" t="str">
        <f t="shared" si="117"/>
        <v/>
      </c>
      <c r="AF327" s="342" t="str">
        <f>IF(AM327="Row Not Used","",INDEX(SpaceTable[Annual Hours],(MATCH(B327,SpaceTable[Space Name Concatenated Helper],0))))</f>
        <v/>
      </c>
      <c r="AG327" s="205" t="str">
        <f t="shared" si="118"/>
        <v/>
      </c>
      <c r="AH327" s="234" t="str">
        <f t="shared" si="119"/>
        <v/>
      </c>
      <c r="AI327" s="205" t="str">
        <f t="shared" si="120"/>
        <v/>
      </c>
      <c r="AJ327" s="234" t="str">
        <f t="shared" si="121"/>
        <v/>
      </c>
      <c r="AK327" s="144" t="str">
        <f>IF(AM327="Row Not Used","",INDEX(SpaceTable[Row],(MATCH(B327,SpaceTable[Space Name Concatenated Helper],0))))</f>
        <v/>
      </c>
      <c r="AL327" s="238" t="str">
        <f>IF(AM327="Row Not Used","",INDEX(SpaceTable[HVAC Factor],(MATCH(B327,SpaceTable[Space Name Concatenated Helper],0))))</f>
        <v/>
      </c>
      <c r="AM327" s="520" t="str">
        <f t="shared" si="122"/>
        <v>Row Not Used</v>
      </c>
      <c r="AN327" s="512" t="e" cm="1">
        <f t="array" ref="AN327">INDEX(BallastFactorTable[Ballast Factor],MATCH(1,(BallastFactorTable[Fixture Class]=D327)*(BallastFactorTable[Fixture Category]=E327)*(BallastFactorTable[Fixture Sub-category]=F327),0))</f>
        <v>#N/A</v>
      </c>
      <c r="AO327" s="143" t="str">
        <f t="shared" si="135"/>
        <v/>
      </c>
      <c r="AP327" s="501" t="e" cm="1">
        <f t="array" ref="AP327">INDEX(BallastFactorTable[Wattage Range Name],MATCH(1,(BallastFactorTable[Fixture Class]=D327)*(BallastFactorTable[Fixture Category]=E327)*(BallastFactorTable[Fixture Sub-category]=F327),0))</f>
        <v>#N/A</v>
      </c>
      <c r="AQ327" s="515" t="str">
        <f t="shared" ca="1" si="123"/>
        <v>Okay</v>
      </c>
      <c r="AR327" s="512">
        <f t="shared" si="124"/>
        <v>0</v>
      </c>
      <c r="AS327" s="511" t="str">
        <f>IF(OR(Measures!AM327="Row Not Used",Measures!C327="Controls Only",Measures!C327="Decommissioning"),"",_xlfn.CONCAT(P327," ",Q327))</f>
        <v/>
      </c>
      <c r="AT327" s="264" t="str">
        <f t="shared" si="125"/>
        <v>None</v>
      </c>
      <c r="AU327" s="229">
        <f>IF(OR(AM327="Row Not Used",AM327="Controls Only"),0,INDEX(IncentiveRateTable[Incentive Rate],MATCH(AT327,IncentiveRateTable[Incentive Name],0)))</f>
        <v>0</v>
      </c>
      <c r="AV327" s="133" t="str">
        <f>IF(OR(AM327="Row Not Used",AM327="Controls Only"),"None",INDEX(IncentiveRateTable[Incentive Unit],MATCH(AT327,IncentiveRateTable[Incentive Name],0)))</f>
        <v>None</v>
      </c>
      <c r="AW327" s="578">
        <f t="shared" si="136"/>
        <v>0</v>
      </c>
      <c r="AX327" s="264" t="str">
        <f t="shared" si="126"/>
        <v>None</v>
      </c>
      <c r="AY327" s="229">
        <f>IF(OR(AM327="Row Not Used",AM327="Fixtures Only",AM327="Decommissioning"),0,INDEX(IncentiveRateTable[Incentive Rate],MATCH(AX327,IncentiveRateTable[Incentive Name],0)))</f>
        <v>0</v>
      </c>
      <c r="AZ327" s="133" t="str">
        <f>IF(OR(AM327="Row Not Used",AM327="Fixtures Only",AM327="Decommissioning"),"None",INDEX(IncentiveRateTable[Incentive Unit],MATCH(AX327,IncentiveRateTable[Incentive Name],0)))</f>
        <v>None</v>
      </c>
      <c r="BA327" s="465">
        <f t="shared" si="127"/>
        <v>0</v>
      </c>
      <c r="BB327" s="264" t="e" cm="1">
        <f t="array" ref="BB327">INDEX(BallastFactorTable[Commercial BPA Reference Number],MATCH(1,(BallastFactorTable[Fixture Class]=J327)*(BallastFactorTable[Fixture Category]=K327)*(BallastFactorTable[Fixture Sub-category]=L327),0))</f>
        <v>#N/A</v>
      </c>
      <c r="BC327" s="133" t="e" cm="1">
        <f t="array" ref="BC327">INDEX(BallastFactorTable[Industrial BPA Reference Number],MATCH(1,(BallastFactorTable[Fixture Class]=J327)*(BallastFactorTable[Fixture Category]=K327)*(BallastFactorTable[Fixture Sub-category]=L327),0))</f>
        <v>#N/A</v>
      </c>
      <c r="BD327" s="264" t="str">
        <f t="shared" si="128"/>
        <v>Sector is blank</v>
      </c>
      <c r="BE327" s="269" t="str">
        <f>IF(ISBLANK(SectorField),"Sector is blank",IF(AM327="Row Not Used","",IF(OR(R327="No Controls",ISBLANK(R327)),"",INDEX(ControlsBPARefNoTable[Reference Number],MATCH(SectorField,ControlsBPARefNoTable[Sector],0)))))</f>
        <v>Sector is blank</v>
      </c>
      <c r="BF327" s="530" t="str">
        <f t="shared" si="129"/>
        <v/>
      </c>
      <c r="BG327" s="132" t="str">
        <f t="shared" si="130"/>
        <v/>
      </c>
      <c r="BH327" s="531" t="str">
        <f t="shared" si="131"/>
        <v/>
      </c>
      <c r="BI327" s="532"/>
      <c r="BJ327" s="538" t="str">
        <f t="shared" si="137"/>
        <v/>
      </c>
      <c r="BK327" s="539" t="str">
        <f t="shared" si="138"/>
        <v/>
      </c>
      <c r="BL327" s="547" t="str">
        <f t="shared" si="139"/>
        <v/>
      </c>
    </row>
    <row r="328" spans="1:64" x14ac:dyDescent="0.3">
      <c r="A328" s="133">
        <v>321</v>
      </c>
      <c r="B328" s="294"/>
      <c r="C328" s="313"/>
      <c r="D328" s="292"/>
      <c r="E328" s="284"/>
      <c r="F328" s="284"/>
      <c r="G328" s="295"/>
      <c r="H328" s="296"/>
      <c r="I328" s="297"/>
      <c r="J328" s="292"/>
      <c r="K328" s="284"/>
      <c r="L328" s="284"/>
      <c r="M328" s="295"/>
      <c r="N328" s="296"/>
      <c r="O328" s="296"/>
      <c r="P328" s="284"/>
      <c r="Q328" s="298"/>
      <c r="R328" s="292"/>
      <c r="S328" s="299"/>
      <c r="T328" s="300"/>
      <c r="U328" s="317" t="str">
        <f t="shared" ref="U328:U391" si="141">IF(OR(ISBLANK(R328),R328="No Controls"),"",IF(R328="Networked Controls",CtrlPctHrsReductionNetworked,CtrlPctHrsReductionNonNetworked))</f>
        <v/>
      </c>
      <c r="V328" s="301"/>
      <c r="W328" s="137" t="str">
        <f t="shared" ref="W328:W391" si="142">IF(AM328="Row Not Used","",IF(OR(AM328="Fixtures Only",AM328="decommissioning"),Z328,IF(AM328="Controls Only",AC328,Z328+AC328)))</f>
        <v/>
      </c>
      <c r="X328" s="589" t="str">
        <f t="shared" si="132"/>
        <v/>
      </c>
      <c r="Y328" s="581"/>
      <c r="Z328" s="251" t="str">
        <f t="shared" ref="Z328:Z391" si="143">IF(OR(AM328="Row Not Used",AM328="Controls Only"),"",IF(AM328="Decommissioning",AH328,AH328-AJ328))</f>
        <v/>
      </c>
      <c r="AA328" s="138" t="str">
        <f t="shared" si="140"/>
        <v/>
      </c>
      <c r="AB328" s="243" t="str">
        <f t="shared" si="133"/>
        <v/>
      </c>
      <c r="AC328" s="141" t="str">
        <f t="shared" ref="AC328:AC391" si="144">IF(OR(AM328="Row Not Used",AM328="Fixtures Only",AM328="Decommissioning"),"",BA328)</f>
        <v/>
      </c>
      <c r="AD328" s="138" t="str">
        <f t="shared" si="134"/>
        <v/>
      </c>
      <c r="AE328" s="243" t="str">
        <f t="shared" ref="AE328:AE391" si="145">IF(AZ328="None","",IF(AC328&lt;0,0,ROUND(AY328*AC328,2)))</f>
        <v/>
      </c>
      <c r="AF328" s="342" t="str">
        <f>IF(AM328="Row Not Used","",INDEX(SpaceTable[Annual Hours],(MATCH(B328,SpaceTable[Space Name Concatenated Helper],0))))</f>
        <v/>
      </c>
      <c r="AG328" s="205" t="str">
        <f t="shared" ref="AG328:AG391" si="146">IF(AM328="Row Not Used","",G328*H328*AO328)</f>
        <v/>
      </c>
      <c r="AH328" s="234" t="str">
        <f t="shared" ref="AH328:AH391" si="147">IF(AM328="Row Not Used","",(AG328*I328*AF328*AL328)/kWhConversion)</f>
        <v/>
      </c>
      <c r="AI328" s="205" t="str">
        <f t="shared" ref="AI328:AI391" si="148">IF(OR(AM328="Row Not Used",AM328="Controls Only",AM328="Decommissioning"),"",M328*N328)</f>
        <v/>
      </c>
      <c r="AJ328" s="234" t="str">
        <f t="shared" ref="AJ328:AJ391" si="149">IF(OR(AM328="Row Not Used",AM328="Controls Only",AM328="Decommissioning"),"",(AI328*O328*AF328*AL328)/kWhConversion)</f>
        <v/>
      </c>
      <c r="AK328" s="144" t="str">
        <f>IF(AM328="Row Not Used","",INDEX(SpaceTable[Row],(MATCH(B328,SpaceTable[Space Name Concatenated Helper],0))))</f>
        <v/>
      </c>
      <c r="AL328" s="238" t="str">
        <f>IF(AM328="Row Not Used","",INDEX(SpaceTable[HVAC Factor],(MATCH(B328,SpaceTable[Space Name Concatenated Helper],0))))</f>
        <v/>
      </c>
      <c r="AM328" s="520" t="str">
        <f t="shared" ref="AM328:AM391" si="150">IF(OR(ISBLANK(C328),ISBLANK(B328)),"Row Not Used",IF(C328="Controls Only","Controls Only",IF(C328="Decommissioning","Decommissioning",IF(AND(C328="Fixtures",OR(R328="No Controls",ISBLANK(R328))),"Fixtures Only","Fixtures with Controls"))))</f>
        <v>Row Not Used</v>
      </c>
      <c r="AN328" s="512" t="e" cm="1">
        <f t="array" ref="AN328">INDEX(BallastFactorTable[Ballast Factor],MATCH(1,(BallastFactorTable[Fixture Class]=D328)*(BallastFactorTable[Fixture Category]=E328)*(BallastFactorTable[Fixture Sub-category]=F328),0))</f>
        <v>#N/A</v>
      </c>
      <c r="AO328" s="143" t="str">
        <f t="shared" si="135"/>
        <v/>
      </c>
      <c r="AP328" s="501" t="e" cm="1">
        <f t="array" ref="AP328">INDEX(BallastFactorTable[Wattage Range Name],MATCH(1,(BallastFactorTable[Fixture Class]=D328)*(BallastFactorTable[Fixture Category]=E328)*(BallastFactorTable[Fixture Sub-category]=F328),0))</f>
        <v>#N/A</v>
      </c>
      <c r="AQ328" s="515" t="str">
        <f t="shared" ref="AQ328:AQ391" ca="1" si="151">IF(G328="Type in the wattage.","Invalid",IF(OR(AM328="Row Not Used",D328="LED",ISBLANK(G328)),"Okay",IFERROR(_xlfn.XMATCH(G328,INDIRECT(AP328),0),"Invalid")))</f>
        <v>Okay</v>
      </c>
      <c r="AR328" s="512">
        <f t="shared" ref="AR328:AR391" si="152">IF(AM328="Row Not Used",0,IF(AM328="Decommissioning",I328,IF(AT328="LED Tube",N328*O328,O328)))</f>
        <v>0</v>
      </c>
      <c r="AS328" s="511" t="str">
        <f>IF(OR(Measures!AM328="Row Not Used",Measures!C328="Controls Only",Measures!C328="Decommissioning"),"",_xlfn.CONCAT(P328," ",Q328))</f>
        <v/>
      </c>
      <c r="AT328" s="264" t="str">
        <f t="shared" ref="AT328:AT391" si="153">IF(OR(AM328="Row Not Used",AM328="Controls Only"),"None",IF(K328="Tube","LED Tube",IF(K328="Exit Sign","LED Exit Sign",IF(RateClassField="Small General (B)","Standard B",IF(RateClassField="General (G)","Standard G",IF(RateClassField="High Voltage (HVG)","Standard HVG","Error"))))))</f>
        <v>None</v>
      </c>
      <c r="AU328" s="229">
        <f>IF(OR(AM328="Row Not Used",AM328="Controls Only"),0,INDEX(IncentiveRateTable[Incentive Rate],MATCH(AT328,IncentiveRateTable[Incentive Name],0)))</f>
        <v>0</v>
      </c>
      <c r="AV328" s="133" t="str">
        <f>IF(OR(AM328="Row Not Used",AM328="Controls Only"),"None",INDEX(IncentiveRateTable[Incentive Unit],MATCH(AT328,IncentiveRateTable[Incentive Name],0)))</f>
        <v>None</v>
      </c>
      <c r="AW328" s="578">
        <f t="shared" si="136"/>
        <v>0</v>
      </c>
      <c r="AX328" s="264" t="str">
        <f t="shared" ref="AX328:AX391" si="154">IF(OR(AM328="Row Not Used",AM328="Fixtures Only",AM328="Decommissioning"),"None",IF(RateClassField="Small General (B)","Standard B",IF(RateClassField="General (G)","Standard G",IF(RateClassField="High Voltage (HVG)","Standard HVG","Error"))))</f>
        <v>None</v>
      </c>
      <c r="AY328" s="229">
        <f>IF(OR(AM328="Row Not Used",AM328="Fixtures Only",AM328="Decommissioning"),0,INDEX(IncentiveRateTable[Incentive Rate],MATCH(AX328,IncentiveRateTable[Incentive Name],0)))</f>
        <v>0</v>
      </c>
      <c r="AZ328" s="133" t="str">
        <f>IF(OR(AM328="Row Not Used",AM328="Fixtures Only",AM328="Decommissioning"),"None",INDEX(IncentiveRateTable[Incentive Unit],MATCH(AX328,IncentiveRateTable[Incentive Name],0)))</f>
        <v>None</v>
      </c>
      <c r="BA328" s="465">
        <f t="shared" ref="BA328:BA391" si="155">IF(OR(AM328="Row Not Used",AM328="Decommissioning",AM328="Fixtures Only"),0,IF(AM328="Controls Only",IF(R328="Multi-function",AH328*U328*T328,AH328*U328),IF(R328="Multi-function",AJ328*U328*T328,AJ328*U328)))</f>
        <v>0</v>
      </c>
      <c r="BB328" s="264" t="e" cm="1">
        <f t="array" ref="BB328">INDEX(BallastFactorTable[Commercial BPA Reference Number],MATCH(1,(BallastFactorTable[Fixture Class]=J328)*(BallastFactorTable[Fixture Category]=K328)*(BallastFactorTable[Fixture Sub-category]=L328),0))</f>
        <v>#N/A</v>
      </c>
      <c r="BC328" s="133" t="e" cm="1">
        <f t="array" ref="BC328">INDEX(BallastFactorTable[Industrial BPA Reference Number],MATCH(1,(BallastFactorTable[Fixture Class]=J328)*(BallastFactorTable[Fixture Category]=K328)*(BallastFactorTable[Fixture Sub-category]=L328),0))</f>
        <v>#N/A</v>
      </c>
      <c r="BD328" s="264" t="str">
        <f t="shared" ref="BD328:BD391" si="156">IF(ISBLANK(SectorField),"Sector is blank",IF(OR(AM328="Row Not Used",AM328="Controls Only"),"",IF(AM328="Decommissioning","Not Reported to BPA",IF(SectorField="Commercial",BB328,IF(SectorField="Industrial",BC328,"Unknown")))))</f>
        <v>Sector is blank</v>
      </c>
      <c r="BE328" s="269" t="str">
        <f>IF(ISBLANK(SectorField),"Sector is blank",IF(AM328="Row Not Used","",IF(OR(R328="No Controls",ISBLANK(R328)),"",INDEX(ControlsBPARefNoTable[Reference Number],MATCH(SectorField,ControlsBPARefNoTable[Sector],0)))))</f>
        <v>Sector is blank</v>
      </c>
      <c r="BF328" s="530" t="str">
        <f t="shared" ref="BF328:BF391" si="157">IF(AM328="Row Not Used","",COUNTA(D328:I328)=$BF$6)</f>
        <v/>
      </c>
      <c r="BG328" s="132" t="str">
        <f t="shared" ref="BG328:BG391" si="158">IF(AM328="Row Not Used","",IF(OR(AM328="Controls Only",AM328="Decommissioning"),TRUE,COUNTA(J328:Q328)=$BG$6))</f>
        <v/>
      </c>
      <c r="BH328" s="531" t="str">
        <f t="shared" ref="BH328:BH391" si="159">IF(AM328="Row Not Used","",IF(OR(AM328="Fixtures Only",AM328="Decommissioning"),TRUE,IF(R328="Multi-function",COUNTA(R328:T328)=$BH$6,COUNTA(R328:T328)=$BH$6-1)))</f>
        <v/>
      </c>
      <c r="BI328" s="532"/>
      <c r="BJ328" s="538" t="str">
        <f t="shared" si="137"/>
        <v/>
      </c>
      <c r="BK328" s="539" t="str">
        <f t="shared" si="138"/>
        <v/>
      </c>
      <c r="BL328" s="547" t="str">
        <f t="shared" si="139"/>
        <v/>
      </c>
    </row>
    <row r="329" spans="1:64" x14ac:dyDescent="0.3">
      <c r="A329" s="133">
        <v>322</v>
      </c>
      <c r="B329" s="294"/>
      <c r="C329" s="313"/>
      <c r="D329" s="292"/>
      <c r="E329" s="284"/>
      <c r="F329" s="284"/>
      <c r="G329" s="295"/>
      <c r="H329" s="296"/>
      <c r="I329" s="297"/>
      <c r="J329" s="292"/>
      <c r="K329" s="284"/>
      <c r="L329" s="284"/>
      <c r="M329" s="295"/>
      <c r="N329" s="296"/>
      <c r="O329" s="296"/>
      <c r="P329" s="284"/>
      <c r="Q329" s="298"/>
      <c r="R329" s="292"/>
      <c r="S329" s="299"/>
      <c r="T329" s="300"/>
      <c r="U329" s="317" t="str">
        <f t="shared" si="141"/>
        <v/>
      </c>
      <c r="V329" s="301"/>
      <c r="W329" s="136" t="str">
        <f t="shared" si="142"/>
        <v/>
      </c>
      <c r="X329" s="588" t="str">
        <f t="shared" ref="X329:X392" si="160">IF(AM329="Row Not Used","",IFERROR(ROUND(W329/AH329,2),0))</f>
        <v/>
      </c>
      <c r="Y329" s="580"/>
      <c r="Z329" s="251" t="str">
        <f t="shared" si="143"/>
        <v/>
      </c>
      <c r="AA329" s="138" t="str">
        <f t="shared" si="140"/>
        <v/>
      </c>
      <c r="AB329" s="243" t="str">
        <f t="shared" ref="AB329:AB392" si="161">IF(AV329="None","",AW329)</f>
        <v/>
      </c>
      <c r="AC329" s="141" t="str">
        <f t="shared" si="144"/>
        <v/>
      </c>
      <c r="AD329" s="138" t="str">
        <f t="shared" ref="AD329:AD392" si="162">IF(OR(AM329="Row Not Used",AM329="Fixtures Only",AM329="Decommissioning"),"",IFERROR(ROUND(AC329/AH329,2),0))</f>
        <v/>
      </c>
      <c r="AE329" s="243" t="str">
        <f t="shared" si="145"/>
        <v/>
      </c>
      <c r="AF329" s="342" t="str">
        <f>IF(AM329="Row Not Used","",INDEX(SpaceTable[Annual Hours],(MATCH(B329,SpaceTable[Space Name Concatenated Helper],0))))</f>
        <v/>
      </c>
      <c r="AG329" s="205" t="str">
        <f t="shared" si="146"/>
        <v/>
      </c>
      <c r="AH329" s="234" t="str">
        <f t="shared" si="147"/>
        <v/>
      </c>
      <c r="AI329" s="205" t="str">
        <f t="shared" si="148"/>
        <v/>
      </c>
      <c r="AJ329" s="234" t="str">
        <f t="shared" si="149"/>
        <v/>
      </c>
      <c r="AK329" s="144" t="str">
        <f>IF(AM329="Row Not Used","",INDEX(SpaceTable[Row],(MATCH(B329,SpaceTable[Space Name Concatenated Helper],0))))</f>
        <v/>
      </c>
      <c r="AL329" s="238" t="str">
        <f>IF(AM329="Row Not Used","",INDEX(SpaceTable[HVAC Factor],(MATCH(B329,SpaceTable[Space Name Concatenated Helper],0))))</f>
        <v/>
      </c>
      <c r="AM329" s="520" t="str">
        <f t="shared" si="150"/>
        <v>Row Not Used</v>
      </c>
      <c r="AN329" s="512" t="e" cm="1">
        <f t="array" ref="AN329">INDEX(BallastFactorTable[Ballast Factor],MATCH(1,(BallastFactorTable[Fixture Class]=D329)*(BallastFactorTable[Fixture Category]=E329)*(BallastFactorTable[Fixture Sub-category]=F329),0))</f>
        <v>#N/A</v>
      </c>
      <c r="AO329" s="143" t="str">
        <f t="shared" ref="AO329:AO392" si="163">IF(AM329="Row Not Used","",IFERROR(AN329,0))</f>
        <v/>
      </c>
      <c r="AP329" s="501" t="e" cm="1">
        <f t="array" ref="AP329">INDEX(BallastFactorTable[Wattage Range Name],MATCH(1,(BallastFactorTable[Fixture Class]=D329)*(BallastFactorTable[Fixture Category]=E329)*(BallastFactorTable[Fixture Sub-category]=F329),0))</f>
        <v>#N/A</v>
      </c>
      <c r="AQ329" s="515" t="str">
        <f t="shared" ca="1" si="151"/>
        <v>Okay</v>
      </c>
      <c r="AR329" s="512">
        <f t="shared" si="152"/>
        <v>0</v>
      </c>
      <c r="AS329" s="511" t="str">
        <f>IF(OR(Measures!AM329="Row Not Used",Measures!C329="Controls Only",Measures!C329="Decommissioning"),"",_xlfn.CONCAT(P329," ",Q329))</f>
        <v/>
      </c>
      <c r="AT329" s="264" t="str">
        <f t="shared" si="153"/>
        <v>None</v>
      </c>
      <c r="AU329" s="229">
        <f>IF(OR(AM329="Row Not Used",AM329="Controls Only"),0,INDEX(IncentiveRateTable[Incentive Rate],MATCH(AT329,IncentiveRateTable[Incentive Name],0)))</f>
        <v>0</v>
      </c>
      <c r="AV329" s="133" t="str">
        <f>IF(OR(AM329="Row Not Used",AM329="Controls Only"),"None",INDEX(IncentiveRateTable[Incentive Unit],MATCH(AT329,IncentiveRateTable[Incentive Name],0)))</f>
        <v>None</v>
      </c>
      <c r="AW329" s="578">
        <f t="shared" ref="AW329:AW392" si="164">IF(AV329="None",0,IF(AND(OR(AV329="Per Tube",AV329="Per Fixture"),Z329=0),0,IF(AV329="Per kWh Saved",ROUND(AU329*Z329,2),IF(AND(AV329="Per Tube",Z329&lt;0),-ROUND(AU329*N329*O329,2),IF(AV329="Per Tube",ROUND(AU329*N329*O329,2),IF(AND(AV329="Per Fixture",Z329&lt;0),-ROUND(AU329*O329,2),IF(AV329="Per Fixture",ROUND(AU329*O329,2),0)))))))</f>
        <v>0</v>
      </c>
      <c r="AX329" s="264" t="str">
        <f t="shared" si="154"/>
        <v>None</v>
      </c>
      <c r="AY329" s="229">
        <f>IF(OR(AM329="Row Not Used",AM329="Fixtures Only",AM329="Decommissioning"),0,INDEX(IncentiveRateTable[Incentive Rate],MATCH(AX329,IncentiveRateTable[Incentive Name],0)))</f>
        <v>0</v>
      </c>
      <c r="AZ329" s="133" t="str">
        <f>IF(OR(AM329="Row Not Used",AM329="Fixtures Only",AM329="Decommissioning"),"None",INDEX(IncentiveRateTable[Incentive Unit],MATCH(AX329,IncentiveRateTable[Incentive Name],0)))</f>
        <v>None</v>
      </c>
      <c r="BA329" s="465">
        <f t="shared" si="155"/>
        <v>0</v>
      </c>
      <c r="BB329" s="264" t="e" cm="1">
        <f t="array" ref="BB329">INDEX(BallastFactorTable[Commercial BPA Reference Number],MATCH(1,(BallastFactorTable[Fixture Class]=J329)*(BallastFactorTable[Fixture Category]=K329)*(BallastFactorTable[Fixture Sub-category]=L329),0))</f>
        <v>#N/A</v>
      </c>
      <c r="BC329" s="133" t="e" cm="1">
        <f t="array" ref="BC329">INDEX(BallastFactorTable[Industrial BPA Reference Number],MATCH(1,(BallastFactorTable[Fixture Class]=J329)*(BallastFactorTable[Fixture Category]=K329)*(BallastFactorTable[Fixture Sub-category]=L329),0))</f>
        <v>#N/A</v>
      </c>
      <c r="BD329" s="264" t="str">
        <f t="shared" si="156"/>
        <v>Sector is blank</v>
      </c>
      <c r="BE329" s="269" t="str">
        <f>IF(ISBLANK(SectorField),"Sector is blank",IF(AM329="Row Not Used","",IF(OR(R329="No Controls",ISBLANK(R329)),"",INDEX(ControlsBPARefNoTable[Reference Number],MATCH(SectorField,ControlsBPARefNoTable[Sector],0)))))</f>
        <v>Sector is blank</v>
      </c>
      <c r="BF329" s="530" t="str">
        <f t="shared" si="157"/>
        <v/>
      </c>
      <c r="BG329" s="132" t="str">
        <f t="shared" si="158"/>
        <v/>
      </c>
      <c r="BH329" s="531" t="str">
        <f t="shared" si="159"/>
        <v/>
      </c>
      <c r="BI329" s="532"/>
      <c r="BJ329" s="538" t="str">
        <f t="shared" ref="BJ329:BJ392" si="165">IF(LEN(BF329)=0,"",IF(BF329=FALSE,"Missing info","Okay"))</f>
        <v/>
      </c>
      <c r="BK329" s="539" t="str">
        <f t="shared" ref="BK329:BK392" si="166">IF(LEN(BG329)=0,"",IF(BG329=FALSE,"Missing info","Okay"))</f>
        <v/>
      </c>
      <c r="BL329" s="547" t="str">
        <f t="shared" ref="BL329:BL392" si="167">IF(LEN(BH329)=0,"",IF(BH329=FALSE,"Missing info","Okay"))</f>
        <v/>
      </c>
    </row>
    <row r="330" spans="1:64" x14ac:dyDescent="0.3">
      <c r="A330" s="133">
        <v>323</v>
      </c>
      <c r="B330" s="294"/>
      <c r="C330" s="313"/>
      <c r="D330" s="292"/>
      <c r="E330" s="284"/>
      <c r="F330" s="284"/>
      <c r="G330" s="295"/>
      <c r="H330" s="296"/>
      <c r="I330" s="297"/>
      <c r="J330" s="292"/>
      <c r="K330" s="284"/>
      <c r="L330" s="284"/>
      <c r="M330" s="295"/>
      <c r="N330" s="296"/>
      <c r="O330" s="296"/>
      <c r="P330" s="284"/>
      <c r="Q330" s="298"/>
      <c r="R330" s="292"/>
      <c r="S330" s="299"/>
      <c r="T330" s="300"/>
      <c r="U330" s="317" t="str">
        <f t="shared" si="141"/>
        <v/>
      </c>
      <c r="V330" s="301"/>
      <c r="W330" s="137" t="str">
        <f t="shared" si="142"/>
        <v/>
      </c>
      <c r="X330" s="589" t="str">
        <f t="shared" si="160"/>
        <v/>
      </c>
      <c r="Y330" s="581"/>
      <c r="Z330" s="251" t="str">
        <f t="shared" si="143"/>
        <v/>
      </c>
      <c r="AA330" s="138" t="str">
        <f t="shared" ref="AA330:AA393" si="168">IF(OR(AM330="Row Not Used",AM330="Controls Only"),"",IFERROR(ROUND(Z330/AH330,2),0))</f>
        <v/>
      </c>
      <c r="AB330" s="243" t="str">
        <f t="shared" si="161"/>
        <v/>
      </c>
      <c r="AC330" s="141" t="str">
        <f t="shared" si="144"/>
        <v/>
      </c>
      <c r="AD330" s="138" t="str">
        <f t="shared" si="162"/>
        <v/>
      </c>
      <c r="AE330" s="243" t="str">
        <f t="shared" si="145"/>
        <v/>
      </c>
      <c r="AF330" s="342" t="str">
        <f>IF(AM330="Row Not Used","",INDEX(SpaceTable[Annual Hours],(MATCH(B330,SpaceTable[Space Name Concatenated Helper],0))))</f>
        <v/>
      </c>
      <c r="AG330" s="205" t="str">
        <f t="shared" si="146"/>
        <v/>
      </c>
      <c r="AH330" s="234" t="str">
        <f t="shared" si="147"/>
        <v/>
      </c>
      <c r="AI330" s="205" t="str">
        <f t="shared" si="148"/>
        <v/>
      </c>
      <c r="AJ330" s="234" t="str">
        <f t="shared" si="149"/>
        <v/>
      </c>
      <c r="AK330" s="144" t="str">
        <f>IF(AM330="Row Not Used","",INDEX(SpaceTable[Row],(MATCH(B330,SpaceTable[Space Name Concatenated Helper],0))))</f>
        <v/>
      </c>
      <c r="AL330" s="238" t="str">
        <f>IF(AM330="Row Not Used","",INDEX(SpaceTable[HVAC Factor],(MATCH(B330,SpaceTable[Space Name Concatenated Helper],0))))</f>
        <v/>
      </c>
      <c r="AM330" s="520" t="str">
        <f t="shared" si="150"/>
        <v>Row Not Used</v>
      </c>
      <c r="AN330" s="512" t="e" cm="1">
        <f t="array" ref="AN330">INDEX(BallastFactorTable[Ballast Factor],MATCH(1,(BallastFactorTable[Fixture Class]=D330)*(BallastFactorTable[Fixture Category]=E330)*(BallastFactorTable[Fixture Sub-category]=F330),0))</f>
        <v>#N/A</v>
      </c>
      <c r="AO330" s="143" t="str">
        <f t="shared" si="163"/>
        <v/>
      </c>
      <c r="AP330" s="501" t="e" cm="1">
        <f t="array" ref="AP330">INDEX(BallastFactorTable[Wattage Range Name],MATCH(1,(BallastFactorTable[Fixture Class]=D330)*(BallastFactorTable[Fixture Category]=E330)*(BallastFactorTable[Fixture Sub-category]=F330),0))</f>
        <v>#N/A</v>
      </c>
      <c r="AQ330" s="515" t="str">
        <f t="shared" ca="1" si="151"/>
        <v>Okay</v>
      </c>
      <c r="AR330" s="512">
        <f t="shared" si="152"/>
        <v>0</v>
      </c>
      <c r="AS330" s="511" t="str">
        <f>IF(OR(Measures!AM330="Row Not Used",Measures!C330="Controls Only",Measures!C330="Decommissioning"),"",_xlfn.CONCAT(P330," ",Q330))</f>
        <v/>
      </c>
      <c r="AT330" s="264" t="str">
        <f t="shared" si="153"/>
        <v>None</v>
      </c>
      <c r="AU330" s="229">
        <f>IF(OR(AM330="Row Not Used",AM330="Controls Only"),0,INDEX(IncentiveRateTable[Incentive Rate],MATCH(AT330,IncentiveRateTable[Incentive Name],0)))</f>
        <v>0</v>
      </c>
      <c r="AV330" s="133" t="str">
        <f>IF(OR(AM330="Row Not Used",AM330="Controls Only"),"None",INDEX(IncentiveRateTable[Incentive Unit],MATCH(AT330,IncentiveRateTable[Incentive Name],0)))</f>
        <v>None</v>
      </c>
      <c r="AW330" s="578">
        <f t="shared" si="164"/>
        <v>0</v>
      </c>
      <c r="AX330" s="264" t="str">
        <f t="shared" si="154"/>
        <v>None</v>
      </c>
      <c r="AY330" s="229">
        <f>IF(OR(AM330="Row Not Used",AM330="Fixtures Only",AM330="Decommissioning"),0,INDEX(IncentiveRateTable[Incentive Rate],MATCH(AX330,IncentiveRateTable[Incentive Name],0)))</f>
        <v>0</v>
      </c>
      <c r="AZ330" s="133" t="str">
        <f>IF(OR(AM330="Row Not Used",AM330="Fixtures Only",AM330="Decommissioning"),"None",INDEX(IncentiveRateTable[Incentive Unit],MATCH(AX330,IncentiveRateTable[Incentive Name],0)))</f>
        <v>None</v>
      </c>
      <c r="BA330" s="465">
        <f t="shared" si="155"/>
        <v>0</v>
      </c>
      <c r="BB330" s="264" t="e" cm="1">
        <f t="array" ref="BB330">INDEX(BallastFactorTable[Commercial BPA Reference Number],MATCH(1,(BallastFactorTable[Fixture Class]=J330)*(BallastFactorTable[Fixture Category]=K330)*(BallastFactorTable[Fixture Sub-category]=L330),0))</f>
        <v>#N/A</v>
      </c>
      <c r="BC330" s="133" t="e" cm="1">
        <f t="array" ref="BC330">INDEX(BallastFactorTable[Industrial BPA Reference Number],MATCH(1,(BallastFactorTable[Fixture Class]=J330)*(BallastFactorTable[Fixture Category]=K330)*(BallastFactorTable[Fixture Sub-category]=L330),0))</f>
        <v>#N/A</v>
      </c>
      <c r="BD330" s="264" t="str">
        <f t="shared" si="156"/>
        <v>Sector is blank</v>
      </c>
      <c r="BE330" s="269" t="str">
        <f>IF(ISBLANK(SectorField),"Sector is blank",IF(AM330="Row Not Used","",IF(OR(R330="No Controls",ISBLANK(R330)),"",INDEX(ControlsBPARefNoTable[Reference Number],MATCH(SectorField,ControlsBPARefNoTable[Sector],0)))))</f>
        <v>Sector is blank</v>
      </c>
      <c r="BF330" s="530" t="str">
        <f t="shared" si="157"/>
        <v/>
      </c>
      <c r="BG330" s="132" t="str">
        <f t="shared" si="158"/>
        <v/>
      </c>
      <c r="BH330" s="531" t="str">
        <f t="shared" si="159"/>
        <v/>
      </c>
      <c r="BI330" s="532"/>
      <c r="BJ330" s="538" t="str">
        <f t="shared" si="165"/>
        <v/>
      </c>
      <c r="BK330" s="539" t="str">
        <f t="shared" si="166"/>
        <v/>
      </c>
      <c r="BL330" s="547" t="str">
        <f t="shared" si="167"/>
        <v/>
      </c>
    </row>
    <row r="331" spans="1:64" x14ac:dyDescent="0.3">
      <c r="A331" s="133">
        <v>324</v>
      </c>
      <c r="B331" s="294"/>
      <c r="C331" s="313"/>
      <c r="D331" s="292"/>
      <c r="E331" s="284"/>
      <c r="F331" s="284"/>
      <c r="G331" s="295"/>
      <c r="H331" s="296"/>
      <c r="I331" s="297"/>
      <c r="J331" s="292"/>
      <c r="K331" s="284"/>
      <c r="L331" s="284"/>
      <c r="M331" s="295"/>
      <c r="N331" s="296"/>
      <c r="O331" s="296"/>
      <c r="P331" s="284"/>
      <c r="Q331" s="298"/>
      <c r="R331" s="292"/>
      <c r="S331" s="299"/>
      <c r="T331" s="300"/>
      <c r="U331" s="317" t="str">
        <f t="shared" si="141"/>
        <v/>
      </c>
      <c r="V331" s="301"/>
      <c r="W331" s="136" t="str">
        <f t="shared" si="142"/>
        <v/>
      </c>
      <c r="X331" s="588" t="str">
        <f t="shared" si="160"/>
        <v/>
      </c>
      <c r="Y331" s="580"/>
      <c r="Z331" s="251" t="str">
        <f t="shared" si="143"/>
        <v/>
      </c>
      <c r="AA331" s="138" t="str">
        <f t="shared" si="168"/>
        <v/>
      </c>
      <c r="AB331" s="243" t="str">
        <f t="shared" si="161"/>
        <v/>
      </c>
      <c r="AC331" s="141" t="str">
        <f t="shared" si="144"/>
        <v/>
      </c>
      <c r="AD331" s="138" t="str">
        <f t="shared" si="162"/>
        <v/>
      </c>
      <c r="AE331" s="243" t="str">
        <f t="shared" si="145"/>
        <v/>
      </c>
      <c r="AF331" s="342" t="str">
        <f>IF(AM331="Row Not Used","",INDEX(SpaceTable[Annual Hours],(MATCH(B331,SpaceTable[Space Name Concatenated Helper],0))))</f>
        <v/>
      </c>
      <c r="AG331" s="205" t="str">
        <f t="shared" si="146"/>
        <v/>
      </c>
      <c r="AH331" s="234" t="str">
        <f t="shared" si="147"/>
        <v/>
      </c>
      <c r="AI331" s="205" t="str">
        <f t="shared" si="148"/>
        <v/>
      </c>
      <c r="AJ331" s="234" t="str">
        <f t="shared" si="149"/>
        <v/>
      </c>
      <c r="AK331" s="144" t="str">
        <f>IF(AM331="Row Not Used","",INDEX(SpaceTable[Row],(MATCH(B331,SpaceTable[Space Name Concatenated Helper],0))))</f>
        <v/>
      </c>
      <c r="AL331" s="238" t="str">
        <f>IF(AM331="Row Not Used","",INDEX(SpaceTable[HVAC Factor],(MATCH(B331,SpaceTable[Space Name Concatenated Helper],0))))</f>
        <v/>
      </c>
      <c r="AM331" s="520" t="str">
        <f t="shared" si="150"/>
        <v>Row Not Used</v>
      </c>
      <c r="AN331" s="512" t="e" cm="1">
        <f t="array" ref="AN331">INDEX(BallastFactorTable[Ballast Factor],MATCH(1,(BallastFactorTable[Fixture Class]=D331)*(BallastFactorTable[Fixture Category]=E331)*(BallastFactorTable[Fixture Sub-category]=F331),0))</f>
        <v>#N/A</v>
      </c>
      <c r="AO331" s="143" t="str">
        <f t="shared" si="163"/>
        <v/>
      </c>
      <c r="AP331" s="501" t="e" cm="1">
        <f t="array" ref="AP331">INDEX(BallastFactorTable[Wattage Range Name],MATCH(1,(BallastFactorTable[Fixture Class]=D331)*(BallastFactorTable[Fixture Category]=E331)*(BallastFactorTable[Fixture Sub-category]=F331),0))</f>
        <v>#N/A</v>
      </c>
      <c r="AQ331" s="515" t="str">
        <f t="shared" ca="1" si="151"/>
        <v>Okay</v>
      </c>
      <c r="AR331" s="512">
        <f t="shared" si="152"/>
        <v>0</v>
      </c>
      <c r="AS331" s="511" t="str">
        <f>IF(OR(Measures!AM331="Row Not Used",Measures!C331="Controls Only",Measures!C331="Decommissioning"),"",_xlfn.CONCAT(P331," ",Q331))</f>
        <v/>
      </c>
      <c r="AT331" s="264" t="str">
        <f t="shared" si="153"/>
        <v>None</v>
      </c>
      <c r="AU331" s="229">
        <f>IF(OR(AM331="Row Not Used",AM331="Controls Only"),0,INDEX(IncentiveRateTable[Incentive Rate],MATCH(AT331,IncentiveRateTable[Incentive Name],0)))</f>
        <v>0</v>
      </c>
      <c r="AV331" s="133" t="str">
        <f>IF(OR(AM331="Row Not Used",AM331="Controls Only"),"None",INDEX(IncentiveRateTable[Incentive Unit],MATCH(AT331,IncentiveRateTable[Incentive Name],0)))</f>
        <v>None</v>
      </c>
      <c r="AW331" s="578">
        <f t="shared" si="164"/>
        <v>0</v>
      </c>
      <c r="AX331" s="264" t="str">
        <f t="shared" si="154"/>
        <v>None</v>
      </c>
      <c r="AY331" s="229">
        <f>IF(OR(AM331="Row Not Used",AM331="Fixtures Only",AM331="Decommissioning"),0,INDEX(IncentiveRateTable[Incentive Rate],MATCH(AX331,IncentiveRateTable[Incentive Name],0)))</f>
        <v>0</v>
      </c>
      <c r="AZ331" s="133" t="str">
        <f>IF(OR(AM331="Row Not Used",AM331="Fixtures Only",AM331="Decommissioning"),"None",INDEX(IncentiveRateTable[Incentive Unit],MATCH(AX331,IncentiveRateTable[Incentive Name],0)))</f>
        <v>None</v>
      </c>
      <c r="BA331" s="465">
        <f t="shared" si="155"/>
        <v>0</v>
      </c>
      <c r="BB331" s="264" t="e" cm="1">
        <f t="array" ref="BB331">INDEX(BallastFactorTable[Commercial BPA Reference Number],MATCH(1,(BallastFactorTable[Fixture Class]=J331)*(BallastFactorTable[Fixture Category]=K331)*(BallastFactorTable[Fixture Sub-category]=L331),0))</f>
        <v>#N/A</v>
      </c>
      <c r="BC331" s="133" t="e" cm="1">
        <f t="array" ref="BC331">INDEX(BallastFactorTable[Industrial BPA Reference Number],MATCH(1,(BallastFactorTable[Fixture Class]=J331)*(BallastFactorTable[Fixture Category]=K331)*(BallastFactorTable[Fixture Sub-category]=L331),0))</f>
        <v>#N/A</v>
      </c>
      <c r="BD331" s="264" t="str">
        <f t="shared" si="156"/>
        <v>Sector is blank</v>
      </c>
      <c r="BE331" s="269" t="str">
        <f>IF(ISBLANK(SectorField),"Sector is blank",IF(AM331="Row Not Used","",IF(OR(R331="No Controls",ISBLANK(R331)),"",INDEX(ControlsBPARefNoTable[Reference Number],MATCH(SectorField,ControlsBPARefNoTable[Sector],0)))))</f>
        <v>Sector is blank</v>
      </c>
      <c r="BF331" s="530" t="str">
        <f t="shared" si="157"/>
        <v/>
      </c>
      <c r="BG331" s="132" t="str">
        <f t="shared" si="158"/>
        <v/>
      </c>
      <c r="BH331" s="531" t="str">
        <f t="shared" si="159"/>
        <v/>
      </c>
      <c r="BI331" s="532"/>
      <c r="BJ331" s="538" t="str">
        <f t="shared" si="165"/>
        <v/>
      </c>
      <c r="BK331" s="539" t="str">
        <f t="shared" si="166"/>
        <v/>
      </c>
      <c r="BL331" s="547" t="str">
        <f t="shared" si="167"/>
        <v/>
      </c>
    </row>
    <row r="332" spans="1:64" x14ac:dyDescent="0.3">
      <c r="A332" s="133">
        <v>325</v>
      </c>
      <c r="B332" s="294"/>
      <c r="C332" s="313"/>
      <c r="D332" s="292"/>
      <c r="E332" s="284"/>
      <c r="F332" s="284"/>
      <c r="G332" s="295"/>
      <c r="H332" s="296"/>
      <c r="I332" s="297"/>
      <c r="J332" s="292"/>
      <c r="K332" s="284"/>
      <c r="L332" s="284"/>
      <c r="M332" s="295"/>
      <c r="N332" s="296"/>
      <c r="O332" s="296"/>
      <c r="P332" s="284"/>
      <c r="Q332" s="298"/>
      <c r="R332" s="292"/>
      <c r="S332" s="299"/>
      <c r="T332" s="300"/>
      <c r="U332" s="317" t="str">
        <f t="shared" si="141"/>
        <v/>
      </c>
      <c r="V332" s="301"/>
      <c r="W332" s="137" t="str">
        <f t="shared" si="142"/>
        <v/>
      </c>
      <c r="X332" s="589" t="str">
        <f t="shared" si="160"/>
        <v/>
      </c>
      <c r="Y332" s="581"/>
      <c r="Z332" s="251" t="str">
        <f t="shared" si="143"/>
        <v/>
      </c>
      <c r="AA332" s="138" t="str">
        <f t="shared" si="168"/>
        <v/>
      </c>
      <c r="AB332" s="243" t="str">
        <f t="shared" si="161"/>
        <v/>
      </c>
      <c r="AC332" s="141" t="str">
        <f t="shared" si="144"/>
        <v/>
      </c>
      <c r="AD332" s="138" t="str">
        <f t="shared" si="162"/>
        <v/>
      </c>
      <c r="AE332" s="243" t="str">
        <f t="shared" si="145"/>
        <v/>
      </c>
      <c r="AF332" s="342" t="str">
        <f>IF(AM332="Row Not Used","",INDEX(SpaceTable[Annual Hours],(MATCH(B332,SpaceTable[Space Name Concatenated Helper],0))))</f>
        <v/>
      </c>
      <c r="AG332" s="205" t="str">
        <f t="shared" si="146"/>
        <v/>
      </c>
      <c r="AH332" s="234" t="str">
        <f t="shared" si="147"/>
        <v/>
      </c>
      <c r="AI332" s="205" t="str">
        <f t="shared" si="148"/>
        <v/>
      </c>
      <c r="AJ332" s="234" t="str">
        <f t="shared" si="149"/>
        <v/>
      </c>
      <c r="AK332" s="144" t="str">
        <f>IF(AM332="Row Not Used","",INDEX(SpaceTable[Row],(MATCH(B332,SpaceTable[Space Name Concatenated Helper],0))))</f>
        <v/>
      </c>
      <c r="AL332" s="238" t="str">
        <f>IF(AM332="Row Not Used","",INDEX(SpaceTable[HVAC Factor],(MATCH(B332,SpaceTable[Space Name Concatenated Helper],0))))</f>
        <v/>
      </c>
      <c r="AM332" s="520" t="str">
        <f t="shared" si="150"/>
        <v>Row Not Used</v>
      </c>
      <c r="AN332" s="512" t="e" cm="1">
        <f t="array" ref="AN332">INDEX(BallastFactorTable[Ballast Factor],MATCH(1,(BallastFactorTable[Fixture Class]=D332)*(BallastFactorTable[Fixture Category]=E332)*(BallastFactorTable[Fixture Sub-category]=F332),0))</f>
        <v>#N/A</v>
      </c>
      <c r="AO332" s="143" t="str">
        <f t="shared" si="163"/>
        <v/>
      </c>
      <c r="AP332" s="501" t="e" cm="1">
        <f t="array" ref="AP332">INDEX(BallastFactorTable[Wattage Range Name],MATCH(1,(BallastFactorTable[Fixture Class]=D332)*(BallastFactorTable[Fixture Category]=E332)*(BallastFactorTable[Fixture Sub-category]=F332),0))</f>
        <v>#N/A</v>
      </c>
      <c r="AQ332" s="515" t="str">
        <f t="shared" ca="1" si="151"/>
        <v>Okay</v>
      </c>
      <c r="AR332" s="512">
        <f t="shared" si="152"/>
        <v>0</v>
      </c>
      <c r="AS332" s="511" t="str">
        <f>IF(OR(Measures!AM332="Row Not Used",Measures!C332="Controls Only",Measures!C332="Decommissioning"),"",_xlfn.CONCAT(P332," ",Q332))</f>
        <v/>
      </c>
      <c r="AT332" s="264" t="str">
        <f t="shared" si="153"/>
        <v>None</v>
      </c>
      <c r="AU332" s="229">
        <f>IF(OR(AM332="Row Not Used",AM332="Controls Only"),0,INDEX(IncentiveRateTable[Incentive Rate],MATCH(AT332,IncentiveRateTable[Incentive Name],0)))</f>
        <v>0</v>
      </c>
      <c r="AV332" s="133" t="str">
        <f>IF(OR(AM332="Row Not Used",AM332="Controls Only"),"None",INDEX(IncentiveRateTable[Incentive Unit],MATCH(AT332,IncentiveRateTable[Incentive Name],0)))</f>
        <v>None</v>
      </c>
      <c r="AW332" s="578">
        <f t="shared" si="164"/>
        <v>0</v>
      </c>
      <c r="AX332" s="264" t="str">
        <f t="shared" si="154"/>
        <v>None</v>
      </c>
      <c r="AY332" s="229">
        <f>IF(OR(AM332="Row Not Used",AM332="Fixtures Only",AM332="Decommissioning"),0,INDEX(IncentiveRateTable[Incentive Rate],MATCH(AX332,IncentiveRateTable[Incentive Name],0)))</f>
        <v>0</v>
      </c>
      <c r="AZ332" s="133" t="str">
        <f>IF(OR(AM332="Row Not Used",AM332="Fixtures Only",AM332="Decommissioning"),"None",INDEX(IncentiveRateTable[Incentive Unit],MATCH(AX332,IncentiveRateTable[Incentive Name],0)))</f>
        <v>None</v>
      </c>
      <c r="BA332" s="465">
        <f t="shared" si="155"/>
        <v>0</v>
      </c>
      <c r="BB332" s="264" t="e" cm="1">
        <f t="array" ref="BB332">INDEX(BallastFactorTable[Commercial BPA Reference Number],MATCH(1,(BallastFactorTable[Fixture Class]=J332)*(BallastFactorTable[Fixture Category]=K332)*(BallastFactorTable[Fixture Sub-category]=L332),0))</f>
        <v>#N/A</v>
      </c>
      <c r="BC332" s="133" t="e" cm="1">
        <f t="array" ref="BC332">INDEX(BallastFactorTable[Industrial BPA Reference Number],MATCH(1,(BallastFactorTable[Fixture Class]=J332)*(BallastFactorTable[Fixture Category]=K332)*(BallastFactorTable[Fixture Sub-category]=L332),0))</f>
        <v>#N/A</v>
      </c>
      <c r="BD332" s="264" t="str">
        <f t="shared" si="156"/>
        <v>Sector is blank</v>
      </c>
      <c r="BE332" s="269" t="str">
        <f>IF(ISBLANK(SectorField),"Sector is blank",IF(AM332="Row Not Used","",IF(OR(R332="No Controls",ISBLANK(R332)),"",INDEX(ControlsBPARefNoTable[Reference Number],MATCH(SectorField,ControlsBPARefNoTable[Sector],0)))))</f>
        <v>Sector is blank</v>
      </c>
      <c r="BF332" s="530" t="str">
        <f t="shared" si="157"/>
        <v/>
      </c>
      <c r="BG332" s="132" t="str">
        <f t="shared" si="158"/>
        <v/>
      </c>
      <c r="BH332" s="531" t="str">
        <f t="shared" si="159"/>
        <v/>
      </c>
      <c r="BI332" s="532"/>
      <c r="BJ332" s="538" t="str">
        <f t="shared" si="165"/>
        <v/>
      </c>
      <c r="BK332" s="539" t="str">
        <f t="shared" si="166"/>
        <v/>
      </c>
      <c r="BL332" s="547" t="str">
        <f t="shared" si="167"/>
        <v/>
      </c>
    </row>
    <row r="333" spans="1:64" x14ac:dyDescent="0.3">
      <c r="A333" s="133">
        <v>326</v>
      </c>
      <c r="B333" s="294"/>
      <c r="C333" s="313"/>
      <c r="D333" s="292"/>
      <c r="E333" s="284"/>
      <c r="F333" s="284"/>
      <c r="G333" s="295"/>
      <c r="H333" s="296"/>
      <c r="I333" s="297"/>
      <c r="J333" s="292"/>
      <c r="K333" s="284"/>
      <c r="L333" s="284"/>
      <c r="M333" s="295"/>
      <c r="N333" s="296"/>
      <c r="O333" s="296"/>
      <c r="P333" s="284"/>
      <c r="Q333" s="298"/>
      <c r="R333" s="292"/>
      <c r="S333" s="299"/>
      <c r="T333" s="300"/>
      <c r="U333" s="317" t="str">
        <f t="shared" si="141"/>
        <v/>
      </c>
      <c r="V333" s="301"/>
      <c r="W333" s="136" t="str">
        <f t="shared" si="142"/>
        <v/>
      </c>
      <c r="X333" s="588" t="str">
        <f t="shared" si="160"/>
        <v/>
      </c>
      <c r="Y333" s="580"/>
      <c r="Z333" s="251" t="str">
        <f t="shared" si="143"/>
        <v/>
      </c>
      <c r="AA333" s="138" t="str">
        <f t="shared" si="168"/>
        <v/>
      </c>
      <c r="AB333" s="243" t="str">
        <f t="shared" si="161"/>
        <v/>
      </c>
      <c r="AC333" s="141" t="str">
        <f t="shared" si="144"/>
        <v/>
      </c>
      <c r="AD333" s="138" t="str">
        <f t="shared" si="162"/>
        <v/>
      </c>
      <c r="AE333" s="243" t="str">
        <f t="shared" si="145"/>
        <v/>
      </c>
      <c r="AF333" s="342" t="str">
        <f>IF(AM333="Row Not Used","",INDEX(SpaceTable[Annual Hours],(MATCH(B333,SpaceTable[Space Name Concatenated Helper],0))))</f>
        <v/>
      </c>
      <c r="AG333" s="205" t="str">
        <f t="shared" si="146"/>
        <v/>
      </c>
      <c r="AH333" s="234" t="str">
        <f t="shared" si="147"/>
        <v/>
      </c>
      <c r="AI333" s="205" t="str">
        <f t="shared" si="148"/>
        <v/>
      </c>
      <c r="AJ333" s="234" t="str">
        <f t="shared" si="149"/>
        <v/>
      </c>
      <c r="AK333" s="144" t="str">
        <f>IF(AM333="Row Not Used","",INDEX(SpaceTable[Row],(MATCH(B333,SpaceTable[Space Name Concatenated Helper],0))))</f>
        <v/>
      </c>
      <c r="AL333" s="238" t="str">
        <f>IF(AM333="Row Not Used","",INDEX(SpaceTable[HVAC Factor],(MATCH(B333,SpaceTable[Space Name Concatenated Helper],0))))</f>
        <v/>
      </c>
      <c r="AM333" s="520" t="str">
        <f t="shared" si="150"/>
        <v>Row Not Used</v>
      </c>
      <c r="AN333" s="512" t="e" cm="1">
        <f t="array" ref="AN333">INDEX(BallastFactorTable[Ballast Factor],MATCH(1,(BallastFactorTable[Fixture Class]=D333)*(BallastFactorTable[Fixture Category]=E333)*(BallastFactorTable[Fixture Sub-category]=F333),0))</f>
        <v>#N/A</v>
      </c>
      <c r="AO333" s="143" t="str">
        <f t="shared" si="163"/>
        <v/>
      </c>
      <c r="AP333" s="501" t="e" cm="1">
        <f t="array" ref="AP333">INDEX(BallastFactorTable[Wattage Range Name],MATCH(1,(BallastFactorTable[Fixture Class]=D333)*(BallastFactorTable[Fixture Category]=E333)*(BallastFactorTable[Fixture Sub-category]=F333),0))</f>
        <v>#N/A</v>
      </c>
      <c r="AQ333" s="515" t="str">
        <f t="shared" ca="1" si="151"/>
        <v>Okay</v>
      </c>
      <c r="AR333" s="512">
        <f t="shared" si="152"/>
        <v>0</v>
      </c>
      <c r="AS333" s="511" t="str">
        <f>IF(OR(Measures!AM333="Row Not Used",Measures!C333="Controls Only",Measures!C333="Decommissioning"),"",_xlfn.CONCAT(P333," ",Q333))</f>
        <v/>
      </c>
      <c r="AT333" s="264" t="str">
        <f t="shared" si="153"/>
        <v>None</v>
      </c>
      <c r="AU333" s="229">
        <f>IF(OR(AM333="Row Not Used",AM333="Controls Only"),0,INDEX(IncentiveRateTable[Incentive Rate],MATCH(AT333,IncentiveRateTable[Incentive Name],0)))</f>
        <v>0</v>
      </c>
      <c r="AV333" s="133" t="str">
        <f>IF(OR(AM333="Row Not Used",AM333="Controls Only"),"None",INDEX(IncentiveRateTable[Incentive Unit],MATCH(AT333,IncentiveRateTable[Incentive Name],0)))</f>
        <v>None</v>
      </c>
      <c r="AW333" s="578">
        <f t="shared" si="164"/>
        <v>0</v>
      </c>
      <c r="AX333" s="264" t="str">
        <f t="shared" si="154"/>
        <v>None</v>
      </c>
      <c r="AY333" s="229">
        <f>IF(OR(AM333="Row Not Used",AM333="Fixtures Only",AM333="Decommissioning"),0,INDEX(IncentiveRateTable[Incentive Rate],MATCH(AX333,IncentiveRateTable[Incentive Name],0)))</f>
        <v>0</v>
      </c>
      <c r="AZ333" s="133" t="str">
        <f>IF(OR(AM333="Row Not Used",AM333="Fixtures Only",AM333="Decommissioning"),"None",INDEX(IncentiveRateTable[Incentive Unit],MATCH(AX333,IncentiveRateTable[Incentive Name],0)))</f>
        <v>None</v>
      </c>
      <c r="BA333" s="465">
        <f t="shared" si="155"/>
        <v>0</v>
      </c>
      <c r="BB333" s="264" t="e" cm="1">
        <f t="array" ref="BB333">INDEX(BallastFactorTable[Commercial BPA Reference Number],MATCH(1,(BallastFactorTable[Fixture Class]=J333)*(BallastFactorTable[Fixture Category]=K333)*(BallastFactorTable[Fixture Sub-category]=L333),0))</f>
        <v>#N/A</v>
      </c>
      <c r="BC333" s="133" t="e" cm="1">
        <f t="array" ref="BC333">INDEX(BallastFactorTable[Industrial BPA Reference Number],MATCH(1,(BallastFactorTable[Fixture Class]=J333)*(BallastFactorTable[Fixture Category]=K333)*(BallastFactorTable[Fixture Sub-category]=L333),0))</f>
        <v>#N/A</v>
      </c>
      <c r="BD333" s="264" t="str">
        <f t="shared" si="156"/>
        <v>Sector is blank</v>
      </c>
      <c r="BE333" s="269" t="str">
        <f>IF(ISBLANK(SectorField),"Sector is blank",IF(AM333="Row Not Used","",IF(OR(R333="No Controls",ISBLANK(R333)),"",INDEX(ControlsBPARefNoTable[Reference Number],MATCH(SectorField,ControlsBPARefNoTable[Sector],0)))))</f>
        <v>Sector is blank</v>
      </c>
      <c r="BF333" s="530" t="str">
        <f t="shared" si="157"/>
        <v/>
      </c>
      <c r="BG333" s="132" t="str">
        <f t="shared" si="158"/>
        <v/>
      </c>
      <c r="BH333" s="531" t="str">
        <f t="shared" si="159"/>
        <v/>
      </c>
      <c r="BI333" s="532"/>
      <c r="BJ333" s="538" t="str">
        <f t="shared" si="165"/>
        <v/>
      </c>
      <c r="BK333" s="539" t="str">
        <f t="shared" si="166"/>
        <v/>
      </c>
      <c r="BL333" s="547" t="str">
        <f t="shared" si="167"/>
        <v/>
      </c>
    </row>
    <row r="334" spans="1:64" x14ac:dyDescent="0.3">
      <c r="A334" s="133">
        <v>327</v>
      </c>
      <c r="B334" s="294"/>
      <c r="C334" s="313"/>
      <c r="D334" s="292"/>
      <c r="E334" s="284"/>
      <c r="F334" s="284"/>
      <c r="G334" s="295"/>
      <c r="H334" s="296"/>
      <c r="I334" s="297"/>
      <c r="J334" s="292"/>
      <c r="K334" s="284"/>
      <c r="L334" s="284"/>
      <c r="M334" s="295"/>
      <c r="N334" s="296"/>
      <c r="O334" s="296"/>
      <c r="P334" s="284"/>
      <c r="Q334" s="298"/>
      <c r="R334" s="292"/>
      <c r="S334" s="299"/>
      <c r="T334" s="300"/>
      <c r="U334" s="317" t="str">
        <f t="shared" si="141"/>
        <v/>
      </c>
      <c r="V334" s="301"/>
      <c r="W334" s="137" t="str">
        <f t="shared" si="142"/>
        <v/>
      </c>
      <c r="X334" s="589" t="str">
        <f t="shared" si="160"/>
        <v/>
      </c>
      <c r="Y334" s="581"/>
      <c r="Z334" s="251" t="str">
        <f t="shared" si="143"/>
        <v/>
      </c>
      <c r="AA334" s="138" t="str">
        <f t="shared" si="168"/>
        <v/>
      </c>
      <c r="AB334" s="243" t="str">
        <f t="shared" si="161"/>
        <v/>
      </c>
      <c r="AC334" s="141" t="str">
        <f t="shared" si="144"/>
        <v/>
      </c>
      <c r="AD334" s="138" t="str">
        <f t="shared" si="162"/>
        <v/>
      </c>
      <c r="AE334" s="243" t="str">
        <f t="shared" si="145"/>
        <v/>
      </c>
      <c r="AF334" s="342" t="str">
        <f>IF(AM334="Row Not Used","",INDEX(SpaceTable[Annual Hours],(MATCH(B334,SpaceTable[Space Name Concatenated Helper],0))))</f>
        <v/>
      </c>
      <c r="AG334" s="205" t="str">
        <f t="shared" si="146"/>
        <v/>
      </c>
      <c r="AH334" s="234" t="str">
        <f t="shared" si="147"/>
        <v/>
      </c>
      <c r="AI334" s="205" t="str">
        <f t="shared" si="148"/>
        <v/>
      </c>
      <c r="AJ334" s="234" t="str">
        <f t="shared" si="149"/>
        <v/>
      </c>
      <c r="AK334" s="144" t="str">
        <f>IF(AM334="Row Not Used","",INDEX(SpaceTable[Row],(MATCH(B334,SpaceTable[Space Name Concatenated Helper],0))))</f>
        <v/>
      </c>
      <c r="AL334" s="238" t="str">
        <f>IF(AM334="Row Not Used","",INDEX(SpaceTable[HVAC Factor],(MATCH(B334,SpaceTable[Space Name Concatenated Helper],0))))</f>
        <v/>
      </c>
      <c r="AM334" s="520" t="str">
        <f t="shared" si="150"/>
        <v>Row Not Used</v>
      </c>
      <c r="AN334" s="512" t="e" cm="1">
        <f t="array" ref="AN334">INDEX(BallastFactorTable[Ballast Factor],MATCH(1,(BallastFactorTable[Fixture Class]=D334)*(BallastFactorTable[Fixture Category]=E334)*(BallastFactorTable[Fixture Sub-category]=F334),0))</f>
        <v>#N/A</v>
      </c>
      <c r="AO334" s="143" t="str">
        <f t="shared" si="163"/>
        <v/>
      </c>
      <c r="AP334" s="501" t="e" cm="1">
        <f t="array" ref="AP334">INDEX(BallastFactorTable[Wattage Range Name],MATCH(1,(BallastFactorTable[Fixture Class]=D334)*(BallastFactorTable[Fixture Category]=E334)*(BallastFactorTable[Fixture Sub-category]=F334),0))</f>
        <v>#N/A</v>
      </c>
      <c r="AQ334" s="515" t="str">
        <f t="shared" ca="1" si="151"/>
        <v>Okay</v>
      </c>
      <c r="AR334" s="512">
        <f t="shared" si="152"/>
        <v>0</v>
      </c>
      <c r="AS334" s="511" t="str">
        <f>IF(OR(Measures!AM334="Row Not Used",Measures!C334="Controls Only",Measures!C334="Decommissioning"),"",_xlfn.CONCAT(P334," ",Q334))</f>
        <v/>
      </c>
      <c r="AT334" s="264" t="str">
        <f t="shared" si="153"/>
        <v>None</v>
      </c>
      <c r="AU334" s="229">
        <f>IF(OR(AM334="Row Not Used",AM334="Controls Only"),0,INDEX(IncentiveRateTable[Incentive Rate],MATCH(AT334,IncentiveRateTable[Incentive Name],0)))</f>
        <v>0</v>
      </c>
      <c r="AV334" s="133" t="str">
        <f>IF(OR(AM334="Row Not Used",AM334="Controls Only"),"None",INDEX(IncentiveRateTable[Incentive Unit],MATCH(AT334,IncentiveRateTable[Incentive Name],0)))</f>
        <v>None</v>
      </c>
      <c r="AW334" s="578">
        <f t="shared" si="164"/>
        <v>0</v>
      </c>
      <c r="AX334" s="264" t="str">
        <f t="shared" si="154"/>
        <v>None</v>
      </c>
      <c r="AY334" s="229">
        <f>IF(OR(AM334="Row Not Used",AM334="Fixtures Only",AM334="Decommissioning"),0,INDEX(IncentiveRateTable[Incentive Rate],MATCH(AX334,IncentiveRateTable[Incentive Name],0)))</f>
        <v>0</v>
      </c>
      <c r="AZ334" s="133" t="str">
        <f>IF(OR(AM334="Row Not Used",AM334="Fixtures Only",AM334="Decommissioning"),"None",INDEX(IncentiveRateTable[Incentive Unit],MATCH(AX334,IncentiveRateTable[Incentive Name],0)))</f>
        <v>None</v>
      </c>
      <c r="BA334" s="465">
        <f t="shared" si="155"/>
        <v>0</v>
      </c>
      <c r="BB334" s="264" t="e" cm="1">
        <f t="array" ref="BB334">INDEX(BallastFactorTable[Commercial BPA Reference Number],MATCH(1,(BallastFactorTable[Fixture Class]=J334)*(BallastFactorTable[Fixture Category]=K334)*(BallastFactorTable[Fixture Sub-category]=L334),0))</f>
        <v>#N/A</v>
      </c>
      <c r="BC334" s="133" t="e" cm="1">
        <f t="array" ref="BC334">INDEX(BallastFactorTable[Industrial BPA Reference Number],MATCH(1,(BallastFactorTable[Fixture Class]=J334)*(BallastFactorTable[Fixture Category]=K334)*(BallastFactorTable[Fixture Sub-category]=L334),0))</f>
        <v>#N/A</v>
      </c>
      <c r="BD334" s="264" t="str">
        <f t="shared" si="156"/>
        <v>Sector is blank</v>
      </c>
      <c r="BE334" s="269" t="str">
        <f>IF(ISBLANK(SectorField),"Sector is blank",IF(AM334="Row Not Used","",IF(OR(R334="No Controls",ISBLANK(R334)),"",INDEX(ControlsBPARefNoTable[Reference Number],MATCH(SectorField,ControlsBPARefNoTable[Sector],0)))))</f>
        <v>Sector is blank</v>
      </c>
      <c r="BF334" s="530" t="str">
        <f t="shared" si="157"/>
        <v/>
      </c>
      <c r="BG334" s="132" t="str">
        <f t="shared" si="158"/>
        <v/>
      </c>
      <c r="BH334" s="531" t="str">
        <f t="shared" si="159"/>
        <v/>
      </c>
      <c r="BI334" s="532"/>
      <c r="BJ334" s="538" t="str">
        <f t="shared" si="165"/>
        <v/>
      </c>
      <c r="BK334" s="539" t="str">
        <f t="shared" si="166"/>
        <v/>
      </c>
      <c r="BL334" s="547" t="str">
        <f t="shared" si="167"/>
        <v/>
      </c>
    </row>
    <row r="335" spans="1:64" x14ac:dyDescent="0.3">
      <c r="A335" s="133">
        <v>328</v>
      </c>
      <c r="B335" s="294"/>
      <c r="C335" s="313"/>
      <c r="D335" s="292"/>
      <c r="E335" s="284"/>
      <c r="F335" s="284"/>
      <c r="G335" s="295"/>
      <c r="H335" s="296"/>
      <c r="I335" s="297"/>
      <c r="J335" s="292"/>
      <c r="K335" s="284"/>
      <c r="L335" s="284"/>
      <c r="M335" s="295"/>
      <c r="N335" s="296"/>
      <c r="O335" s="296"/>
      <c r="P335" s="284"/>
      <c r="Q335" s="298"/>
      <c r="R335" s="292"/>
      <c r="S335" s="299"/>
      <c r="T335" s="300"/>
      <c r="U335" s="317" t="str">
        <f t="shared" si="141"/>
        <v/>
      </c>
      <c r="V335" s="301"/>
      <c r="W335" s="136" t="str">
        <f t="shared" si="142"/>
        <v/>
      </c>
      <c r="X335" s="588" t="str">
        <f t="shared" si="160"/>
        <v/>
      </c>
      <c r="Y335" s="580"/>
      <c r="Z335" s="251" t="str">
        <f t="shared" si="143"/>
        <v/>
      </c>
      <c r="AA335" s="138" t="str">
        <f t="shared" si="168"/>
        <v/>
      </c>
      <c r="AB335" s="243" t="str">
        <f t="shared" si="161"/>
        <v/>
      </c>
      <c r="AC335" s="141" t="str">
        <f t="shared" si="144"/>
        <v/>
      </c>
      <c r="AD335" s="138" t="str">
        <f t="shared" si="162"/>
        <v/>
      </c>
      <c r="AE335" s="243" t="str">
        <f t="shared" si="145"/>
        <v/>
      </c>
      <c r="AF335" s="342" t="str">
        <f>IF(AM335="Row Not Used","",INDEX(SpaceTable[Annual Hours],(MATCH(B335,SpaceTable[Space Name Concatenated Helper],0))))</f>
        <v/>
      </c>
      <c r="AG335" s="205" t="str">
        <f t="shared" si="146"/>
        <v/>
      </c>
      <c r="AH335" s="234" t="str">
        <f t="shared" si="147"/>
        <v/>
      </c>
      <c r="AI335" s="205" t="str">
        <f t="shared" si="148"/>
        <v/>
      </c>
      <c r="AJ335" s="234" t="str">
        <f t="shared" si="149"/>
        <v/>
      </c>
      <c r="AK335" s="144" t="str">
        <f>IF(AM335="Row Not Used","",INDEX(SpaceTable[Row],(MATCH(B335,SpaceTable[Space Name Concatenated Helper],0))))</f>
        <v/>
      </c>
      <c r="AL335" s="238" t="str">
        <f>IF(AM335="Row Not Used","",INDEX(SpaceTable[HVAC Factor],(MATCH(B335,SpaceTable[Space Name Concatenated Helper],0))))</f>
        <v/>
      </c>
      <c r="AM335" s="520" t="str">
        <f t="shared" si="150"/>
        <v>Row Not Used</v>
      </c>
      <c r="AN335" s="512" t="e" cm="1">
        <f t="array" ref="AN335">INDEX(BallastFactorTable[Ballast Factor],MATCH(1,(BallastFactorTable[Fixture Class]=D335)*(BallastFactorTable[Fixture Category]=E335)*(BallastFactorTable[Fixture Sub-category]=F335),0))</f>
        <v>#N/A</v>
      </c>
      <c r="AO335" s="143" t="str">
        <f t="shared" si="163"/>
        <v/>
      </c>
      <c r="AP335" s="501" t="e" cm="1">
        <f t="array" ref="AP335">INDEX(BallastFactorTable[Wattage Range Name],MATCH(1,(BallastFactorTable[Fixture Class]=D335)*(BallastFactorTable[Fixture Category]=E335)*(BallastFactorTable[Fixture Sub-category]=F335),0))</f>
        <v>#N/A</v>
      </c>
      <c r="AQ335" s="515" t="str">
        <f t="shared" ca="1" si="151"/>
        <v>Okay</v>
      </c>
      <c r="AR335" s="512">
        <f t="shared" si="152"/>
        <v>0</v>
      </c>
      <c r="AS335" s="511" t="str">
        <f>IF(OR(Measures!AM335="Row Not Used",Measures!C335="Controls Only",Measures!C335="Decommissioning"),"",_xlfn.CONCAT(P335," ",Q335))</f>
        <v/>
      </c>
      <c r="AT335" s="264" t="str">
        <f t="shared" si="153"/>
        <v>None</v>
      </c>
      <c r="AU335" s="229">
        <f>IF(OR(AM335="Row Not Used",AM335="Controls Only"),0,INDEX(IncentiveRateTable[Incentive Rate],MATCH(AT335,IncentiveRateTable[Incentive Name],0)))</f>
        <v>0</v>
      </c>
      <c r="AV335" s="133" t="str">
        <f>IF(OR(AM335="Row Not Used",AM335="Controls Only"),"None",INDEX(IncentiveRateTable[Incentive Unit],MATCH(AT335,IncentiveRateTable[Incentive Name],0)))</f>
        <v>None</v>
      </c>
      <c r="AW335" s="578">
        <f t="shared" si="164"/>
        <v>0</v>
      </c>
      <c r="AX335" s="264" t="str">
        <f t="shared" si="154"/>
        <v>None</v>
      </c>
      <c r="AY335" s="229">
        <f>IF(OR(AM335="Row Not Used",AM335="Fixtures Only",AM335="Decommissioning"),0,INDEX(IncentiveRateTable[Incentive Rate],MATCH(AX335,IncentiveRateTable[Incentive Name],0)))</f>
        <v>0</v>
      </c>
      <c r="AZ335" s="133" t="str">
        <f>IF(OR(AM335="Row Not Used",AM335="Fixtures Only",AM335="Decommissioning"),"None",INDEX(IncentiveRateTable[Incentive Unit],MATCH(AX335,IncentiveRateTable[Incentive Name],0)))</f>
        <v>None</v>
      </c>
      <c r="BA335" s="465">
        <f t="shared" si="155"/>
        <v>0</v>
      </c>
      <c r="BB335" s="264" t="e" cm="1">
        <f t="array" ref="BB335">INDEX(BallastFactorTable[Commercial BPA Reference Number],MATCH(1,(BallastFactorTable[Fixture Class]=J335)*(BallastFactorTable[Fixture Category]=K335)*(BallastFactorTable[Fixture Sub-category]=L335),0))</f>
        <v>#N/A</v>
      </c>
      <c r="BC335" s="133" t="e" cm="1">
        <f t="array" ref="BC335">INDEX(BallastFactorTable[Industrial BPA Reference Number],MATCH(1,(BallastFactorTable[Fixture Class]=J335)*(BallastFactorTable[Fixture Category]=K335)*(BallastFactorTable[Fixture Sub-category]=L335),0))</f>
        <v>#N/A</v>
      </c>
      <c r="BD335" s="264" t="str">
        <f t="shared" si="156"/>
        <v>Sector is blank</v>
      </c>
      <c r="BE335" s="269" t="str">
        <f>IF(ISBLANK(SectorField),"Sector is blank",IF(AM335="Row Not Used","",IF(OR(R335="No Controls",ISBLANK(R335)),"",INDEX(ControlsBPARefNoTable[Reference Number],MATCH(SectorField,ControlsBPARefNoTable[Sector],0)))))</f>
        <v>Sector is blank</v>
      </c>
      <c r="BF335" s="530" t="str">
        <f t="shared" si="157"/>
        <v/>
      </c>
      <c r="BG335" s="132" t="str">
        <f t="shared" si="158"/>
        <v/>
      </c>
      <c r="BH335" s="531" t="str">
        <f t="shared" si="159"/>
        <v/>
      </c>
      <c r="BI335" s="532"/>
      <c r="BJ335" s="538" t="str">
        <f t="shared" si="165"/>
        <v/>
      </c>
      <c r="BK335" s="539" t="str">
        <f t="shared" si="166"/>
        <v/>
      </c>
      <c r="BL335" s="547" t="str">
        <f t="shared" si="167"/>
        <v/>
      </c>
    </row>
    <row r="336" spans="1:64" x14ac:dyDescent="0.3">
      <c r="A336" s="133">
        <v>329</v>
      </c>
      <c r="B336" s="294"/>
      <c r="C336" s="313"/>
      <c r="D336" s="292"/>
      <c r="E336" s="284"/>
      <c r="F336" s="284"/>
      <c r="G336" s="295"/>
      <c r="H336" s="296"/>
      <c r="I336" s="297"/>
      <c r="J336" s="292"/>
      <c r="K336" s="284"/>
      <c r="L336" s="284"/>
      <c r="M336" s="295"/>
      <c r="N336" s="296"/>
      <c r="O336" s="296"/>
      <c r="P336" s="284"/>
      <c r="Q336" s="298"/>
      <c r="R336" s="292"/>
      <c r="S336" s="299"/>
      <c r="T336" s="300"/>
      <c r="U336" s="317" t="str">
        <f t="shared" si="141"/>
        <v/>
      </c>
      <c r="V336" s="301"/>
      <c r="W336" s="137" t="str">
        <f t="shared" si="142"/>
        <v/>
      </c>
      <c r="X336" s="589" t="str">
        <f t="shared" si="160"/>
        <v/>
      </c>
      <c r="Y336" s="581"/>
      <c r="Z336" s="251" t="str">
        <f t="shared" si="143"/>
        <v/>
      </c>
      <c r="AA336" s="138" t="str">
        <f t="shared" si="168"/>
        <v/>
      </c>
      <c r="AB336" s="243" t="str">
        <f t="shared" si="161"/>
        <v/>
      </c>
      <c r="AC336" s="141" t="str">
        <f t="shared" si="144"/>
        <v/>
      </c>
      <c r="AD336" s="138" t="str">
        <f t="shared" si="162"/>
        <v/>
      </c>
      <c r="AE336" s="243" t="str">
        <f t="shared" si="145"/>
        <v/>
      </c>
      <c r="AF336" s="342" t="str">
        <f>IF(AM336="Row Not Used","",INDEX(SpaceTable[Annual Hours],(MATCH(B336,SpaceTable[Space Name Concatenated Helper],0))))</f>
        <v/>
      </c>
      <c r="AG336" s="205" t="str">
        <f t="shared" si="146"/>
        <v/>
      </c>
      <c r="AH336" s="234" t="str">
        <f t="shared" si="147"/>
        <v/>
      </c>
      <c r="AI336" s="205" t="str">
        <f t="shared" si="148"/>
        <v/>
      </c>
      <c r="AJ336" s="234" t="str">
        <f t="shared" si="149"/>
        <v/>
      </c>
      <c r="AK336" s="144" t="str">
        <f>IF(AM336="Row Not Used","",INDEX(SpaceTable[Row],(MATCH(B336,SpaceTable[Space Name Concatenated Helper],0))))</f>
        <v/>
      </c>
      <c r="AL336" s="238" t="str">
        <f>IF(AM336="Row Not Used","",INDEX(SpaceTable[HVAC Factor],(MATCH(B336,SpaceTable[Space Name Concatenated Helper],0))))</f>
        <v/>
      </c>
      <c r="AM336" s="520" t="str">
        <f t="shared" si="150"/>
        <v>Row Not Used</v>
      </c>
      <c r="AN336" s="512" t="e" cm="1">
        <f t="array" ref="AN336">INDEX(BallastFactorTable[Ballast Factor],MATCH(1,(BallastFactorTable[Fixture Class]=D336)*(BallastFactorTable[Fixture Category]=E336)*(BallastFactorTable[Fixture Sub-category]=F336),0))</f>
        <v>#N/A</v>
      </c>
      <c r="AO336" s="143" t="str">
        <f t="shared" si="163"/>
        <v/>
      </c>
      <c r="AP336" s="501" t="e" cm="1">
        <f t="array" ref="AP336">INDEX(BallastFactorTable[Wattage Range Name],MATCH(1,(BallastFactorTable[Fixture Class]=D336)*(BallastFactorTable[Fixture Category]=E336)*(BallastFactorTable[Fixture Sub-category]=F336),0))</f>
        <v>#N/A</v>
      </c>
      <c r="AQ336" s="515" t="str">
        <f t="shared" ca="1" si="151"/>
        <v>Okay</v>
      </c>
      <c r="AR336" s="512">
        <f t="shared" si="152"/>
        <v>0</v>
      </c>
      <c r="AS336" s="511" t="str">
        <f>IF(OR(Measures!AM336="Row Not Used",Measures!C336="Controls Only",Measures!C336="Decommissioning"),"",_xlfn.CONCAT(P336," ",Q336))</f>
        <v/>
      </c>
      <c r="AT336" s="264" t="str">
        <f t="shared" si="153"/>
        <v>None</v>
      </c>
      <c r="AU336" s="229">
        <f>IF(OR(AM336="Row Not Used",AM336="Controls Only"),0,INDEX(IncentiveRateTable[Incentive Rate],MATCH(AT336,IncentiveRateTable[Incentive Name],0)))</f>
        <v>0</v>
      </c>
      <c r="AV336" s="133" t="str">
        <f>IF(OR(AM336="Row Not Used",AM336="Controls Only"),"None",INDEX(IncentiveRateTable[Incentive Unit],MATCH(AT336,IncentiveRateTable[Incentive Name],0)))</f>
        <v>None</v>
      </c>
      <c r="AW336" s="578">
        <f t="shared" si="164"/>
        <v>0</v>
      </c>
      <c r="AX336" s="264" t="str">
        <f t="shared" si="154"/>
        <v>None</v>
      </c>
      <c r="AY336" s="229">
        <f>IF(OR(AM336="Row Not Used",AM336="Fixtures Only",AM336="Decommissioning"),0,INDEX(IncentiveRateTable[Incentive Rate],MATCH(AX336,IncentiveRateTable[Incentive Name],0)))</f>
        <v>0</v>
      </c>
      <c r="AZ336" s="133" t="str">
        <f>IF(OR(AM336="Row Not Used",AM336="Fixtures Only",AM336="Decommissioning"),"None",INDEX(IncentiveRateTable[Incentive Unit],MATCH(AX336,IncentiveRateTable[Incentive Name],0)))</f>
        <v>None</v>
      </c>
      <c r="BA336" s="465">
        <f t="shared" si="155"/>
        <v>0</v>
      </c>
      <c r="BB336" s="264" t="e" cm="1">
        <f t="array" ref="BB336">INDEX(BallastFactorTable[Commercial BPA Reference Number],MATCH(1,(BallastFactorTable[Fixture Class]=J336)*(BallastFactorTable[Fixture Category]=K336)*(BallastFactorTable[Fixture Sub-category]=L336),0))</f>
        <v>#N/A</v>
      </c>
      <c r="BC336" s="133" t="e" cm="1">
        <f t="array" ref="BC336">INDEX(BallastFactorTable[Industrial BPA Reference Number],MATCH(1,(BallastFactorTable[Fixture Class]=J336)*(BallastFactorTable[Fixture Category]=K336)*(BallastFactorTable[Fixture Sub-category]=L336),0))</f>
        <v>#N/A</v>
      </c>
      <c r="BD336" s="264" t="str">
        <f t="shared" si="156"/>
        <v>Sector is blank</v>
      </c>
      <c r="BE336" s="269" t="str">
        <f>IF(ISBLANK(SectorField),"Sector is blank",IF(AM336="Row Not Used","",IF(OR(R336="No Controls",ISBLANK(R336)),"",INDEX(ControlsBPARefNoTable[Reference Number],MATCH(SectorField,ControlsBPARefNoTable[Sector],0)))))</f>
        <v>Sector is blank</v>
      </c>
      <c r="BF336" s="530" t="str">
        <f t="shared" si="157"/>
        <v/>
      </c>
      <c r="BG336" s="132" t="str">
        <f t="shared" si="158"/>
        <v/>
      </c>
      <c r="BH336" s="531" t="str">
        <f t="shared" si="159"/>
        <v/>
      </c>
      <c r="BI336" s="532"/>
      <c r="BJ336" s="538" t="str">
        <f t="shared" si="165"/>
        <v/>
      </c>
      <c r="BK336" s="539" t="str">
        <f t="shared" si="166"/>
        <v/>
      </c>
      <c r="BL336" s="547" t="str">
        <f t="shared" si="167"/>
        <v/>
      </c>
    </row>
    <row r="337" spans="1:64" x14ac:dyDescent="0.3">
      <c r="A337" s="133">
        <v>330</v>
      </c>
      <c r="B337" s="294"/>
      <c r="C337" s="313"/>
      <c r="D337" s="292"/>
      <c r="E337" s="284"/>
      <c r="F337" s="284"/>
      <c r="G337" s="295"/>
      <c r="H337" s="296"/>
      <c r="I337" s="297"/>
      <c r="J337" s="292"/>
      <c r="K337" s="284"/>
      <c r="L337" s="284"/>
      <c r="M337" s="295"/>
      <c r="N337" s="296"/>
      <c r="O337" s="296"/>
      <c r="P337" s="284"/>
      <c r="Q337" s="298"/>
      <c r="R337" s="292"/>
      <c r="S337" s="299"/>
      <c r="T337" s="300"/>
      <c r="U337" s="317" t="str">
        <f t="shared" si="141"/>
        <v/>
      </c>
      <c r="V337" s="301"/>
      <c r="W337" s="136" t="str">
        <f t="shared" si="142"/>
        <v/>
      </c>
      <c r="X337" s="588" t="str">
        <f t="shared" si="160"/>
        <v/>
      </c>
      <c r="Y337" s="580"/>
      <c r="Z337" s="251" t="str">
        <f t="shared" si="143"/>
        <v/>
      </c>
      <c r="AA337" s="138" t="str">
        <f t="shared" si="168"/>
        <v/>
      </c>
      <c r="AB337" s="243" t="str">
        <f t="shared" si="161"/>
        <v/>
      </c>
      <c r="AC337" s="141" t="str">
        <f t="shared" si="144"/>
        <v/>
      </c>
      <c r="AD337" s="138" t="str">
        <f t="shared" si="162"/>
        <v/>
      </c>
      <c r="AE337" s="243" t="str">
        <f t="shared" si="145"/>
        <v/>
      </c>
      <c r="AF337" s="342" t="str">
        <f>IF(AM337="Row Not Used","",INDEX(SpaceTable[Annual Hours],(MATCH(B337,SpaceTable[Space Name Concatenated Helper],0))))</f>
        <v/>
      </c>
      <c r="AG337" s="205" t="str">
        <f t="shared" si="146"/>
        <v/>
      </c>
      <c r="AH337" s="234" t="str">
        <f t="shared" si="147"/>
        <v/>
      </c>
      <c r="AI337" s="205" t="str">
        <f t="shared" si="148"/>
        <v/>
      </c>
      <c r="AJ337" s="234" t="str">
        <f t="shared" si="149"/>
        <v/>
      </c>
      <c r="AK337" s="144" t="str">
        <f>IF(AM337="Row Not Used","",INDEX(SpaceTable[Row],(MATCH(B337,SpaceTable[Space Name Concatenated Helper],0))))</f>
        <v/>
      </c>
      <c r="AL337" s="238" t="str">
        <f>IF(AM337="Row Not Used","",INDEX(SpaceTable[HVAC Factor],(MATCH(B337,SpaceTable[Space Name Concatenated Helper],0))))</f>
        <v/>
      </c>
      <c r="AM337" s="520" t="str">
        <f t="shared" si="150"/>
        <v>Row Not Used</v>
      </c>
      <c r="AN337" s="512" t="e" cm="1">
        <f t="array" ref="AN337">INDEX(BallastFactorTable[Ballast Factor],MATCH(1,(BallastFactorTable[Fixture Class]=D337)*(BallastFactorTable[Fixture Category]=E337)*(BallastFactorTable[Fixture Sub-category]=F337),0))</f>
        <v>#N/A</v>
      </c>
      <c r="AO337" s="143" t="str">
        <f t="shared" si="163"/>
        <v/>
      </c>
      <c r="AP337" s="501" t="e" cm="1">
        <f t="array" ref="AP337">INDEX(BallastFactorTable[Wattage Range Name],MATCH(1,(BallastFactorTable[Fixture Class]=D337)*(BallastFactorTable[Fixture Category]=E337)*(BallastFactorTable[Fixture Sub-category]=F337),0))</f>
        <v>#N/A</v>
      </c>
      <c r="AQ337" s="515" t="str">
        <f t="shared" ca="1" si="151"/>
        <v>Okay</v>
      </c>
      <c r="AR337" s="512">
        <f t="shared" si="152"/>
        <v>0</v>
      </c>
      <c r="AS337" s="511" t="str">
        <f>IF(OR(Measures!AM337="Row Not Used",Measures!C337="Controls Only",Measures!C337="Decommissioning"),"",_xlfn.CONCAT(P337," ",Q337))</f>
        <v/>
      </c>
      <c r="AT337" s="264" t="str">
        <f t="shared" si="153"/>
        <v>None</v>
      </c>
      <c r="AU337" s="229">
        <f>IF(OR(AM337="Row Not Used",AM337="Controls Only"),0,INDEX(IncentiveRateTable[Incentive Rate],MATCH(AT337,IncentiveRateTable[Incentive Name],0)))</f>
        <v>0</v>
      </c>
      <c r="AV337" s="133" t="str">
        <f>IF(OR(AM337="Row Not Used",AM337="Controls Only"),"None",INDEX(IncentiveRateTable[Incentive Unit],MATCH(AT337,IncentiveRateTable[Incentive Name],0)))</f>
        <v>None</v>
      </c>
      <c r="AW337" s="578">
        <f t="shared" si="164"/>
        <v>0</v>
      </c>
      <c r="AX337" s="264" t="str">
        <f t="shared" si="154"/>
        <v>None</v>
      </c>
      <c r="AY337" s="229">
        <f>IF(OR(AM337="Row Not Used",AM337="Fixtures Only",AM337="Decommissioning"),0,INDEX(IncentiveRateTable[Incentive Rate],MATCH(AX337,IncentiveRateTable[Incentive Name],0)))</f>
        <v>0</v>
      </c>
      <c r="AZ337" s="133" t="str">
        <f>IF(OR(AM337="Row Not Used",AM337="Fixtures Only",AM337="Decommissioning"),"None",INDEX(IncentiveRateTable[Incentive Unit],MATCH(AX337,IncentiveRateTable[Incentive Name],0)))</f>
        <v>None</v>
      </c>
      <c r="BA337" s="465">
        <f t="shared" si="155"/>
        <v>0</v>
      </c>
      <c r="BB337" s="264" t="e" cm="1">
        <f t="array" ref="BB337">INDEX(BallastFactorTable[Commercial BPA Reference Number],MATCH(1,(BallastFactorTable[Fixture Class]=J337)*(BallastFactorTable[Fixture Category]=K337)*(BallastFactorTable[Fixture Sub-category]=L337),0))</f>
        <v>#N/A</v>
      </c>
      <c r="BC337" s="133" t="e" cm="1">
        <f t="array" ref="BC337">INDEX(BallastFactorTable[Industrial BPA Reference Number],MATCH(1,(BallastFactorTable[Fixture Class]=J337)*(BallastFactorTable[Fixture Category]=K337)*(BallastFactorTable[Fixture Sub-category]=L337),0))</f>
        <v>#N/A</v>
      </c>
      <c r="BD337" s="264" t="str">
        <f t="shared" si="156"/>
        <v>Sector is blank</v>
      </c>
      <c r="BE337" s="269" t="str">
        <f>IF(ISBLANK(SectorField),"Sector is blank",IF(AM337="Row Not Used","",IF(OR(R337="No Controls",ISBLANK(R337)),"",INDEX(ControlsBPARefNoTable[Reference Number],MATCH(SectorField,ControlsBPARefNoTable[Sector],0)))))</f>
        <v>Sector is blank</v>
      </c>
      <c r="BF337" s="530" t="str">
        <f t="shared" si="157"/>
        <v/>
      </c>
      <c r="BG337" s="132" t="str">
        <f t="shared" si="158"/>
        <v/>
      </c>
      <c r="BH337" s="531" t="str">
        <f t="shared" si="159"/>
        <v/>
      </c>
      <c r="BI337" s="532"/>
      <c r="BJ337" s="538" t="str">
        <f t="shared" si="165"/>
        <v/>
      </c>
      <c r="BK337" s="539" t="str">
        <f t="shared" si="166"/>
        <v/>
      </c>
      <c r="BL337" s="547" t="str">
        <f t="shared" si="167"/>
        <v/>
      </c>
    </row>
    <row r="338" spans="1:64" x14ac:dyDescent="0.3">
      <c r="A338" s="133">
        <v>331</v>
      </c>
      <c r="B338" s="294"/>
      <c r="C338" s="313"/>
      <c r="D338" s="292"/>
      <c r="E338" s="284"/>
      <c r="F338" s="284"/>
      <c r="G338" s="295"/>
      <c r="H338" s="296"/>
      <c r="I338" s="297"/>
      <c r="J338" s="292"/>
      <c r="K338" s="284"/>
      <c r="L338" s="284"/>
      <c r="M338" s="295"/>
      <c r="N338" s="296"/>
      <c r="O338" s="296"/>
      <c r="P338" s="284"/>
      <c r="Q338" s="298"/>
      <c r="R338" s="292"/>
      <c r="S338" s="299"/>
      <c r="T338" s="300"/>
      <c r="U338" s="317" t="str">
        <f t="shared" si="141"/>
        <v/>
      </c>
      <c r="V338" s="301"/>
      <c r="W338" s="137" t="str">
        <f t="shared" si="142"/>
        <v/>
      </c>
      <c r="X338" s="589" t="str">
        <f t="shared" si="160"/>
        <v/>
      </c>
      <c r="Y338" s="581"/>
      <c r="Z338" s="251" t="str">
        <f t="shared" si="143"/>
        <v/>
      </c>
      <c r="AA338" s="138" t="str">
        <f t="shared" si="168"/>
        <v/>
      </c>
      <c r="AB338" s="243" t="str">
        <f t="shared" si="161"/>
        <v/>
      </c>
      <c r="AC338" s="141" t="str">
        <f t="shared" si="144"/>
        <v/>
      </c>
      <c r="AD338" s="138" t="str">
        <f t="shared" si="162"/>
        <v/>
      </c>
      <c r="AE338" s="243" t="str">
        <f t="shared" si="145"/>
        <v/>
      </c>
      <c r="AF338" s="342" t="str">
        <f>IF(AM338="Row Not Used","",INDEX(SpaceTable[Annual Hours],(MATCH(B338,SpaceTable[Space Name Concatenated Helper],0))))</f>
        <v/>
      </c>
      <c r="AG338" s="205" t="str">
        <f t="shared" si="146"/>
        <v/>
      </c>
      <c r="AH338" s="234" t="str">
        <f t="shared" si="147"/>
        <v/>
      </c>
      <c r="AI338" s="205" t="str">
        <f t="shared" si="148"/>
        <v/>
      </c>
      <c r="AJ338" s="234" t="str">
        <f t="shared" si="149"/>
        <v/>
      </c>
      <c r="AK338" s="144" t="str">
        <f>IF(AM338="Row Not Used","",INDEX(SpaceTable[Row],(MATCH(B338,SpaceTable[Space Name Concatenated Helper],0))))</f>
        <v/>
      </c>
      <c r="AL338" s="238" t="str">
        <f>IF(AM338="Row Not Used","",INDEX(SpaceTable[HVAC Factor],(MATCH(B338,SpaceTable[Space Name Concatenated Helper],0))))</f>
        <v/>
      </c>
      <c r="AM338" s="520" t="str">
        <f t="shared" si="150"/>
        <v>Row Not Used</v>
      </c>
      <c r="AN338" s="512" t="e" cm="1">
        <f t="array" ref="AN338">INDEX(BallastFactorTable[Ballast Factor],MATCH(1,(BallastFactorTable[Fixture Class]=D338)*(BallastFactorTable[Fixture Category]=E338)*(BallastFactorTable[Fixture Sub-category]=F338),0))</f>
        <v>#N/A</v>
      </c>
      <c r="AO338" s="143" t="str">
        <f t="shared" si="163"/>
        <v/>
      </c>
      <c r="AP338" s="501" t="e" cm="1">
        <f t="array" ref="AP338">INDEX(BallastFactorTable[Wattage Range Name],MATCH(1,(BallastFactorTable[Fixture Class]=D338)*(BallastFactorTable[Fixture Category]=E338)*(BallastFactorTable[Fixture Sub-category]=F338),0))</f>
        <v>#N/A</v>
      </c>
      <c r="AQ338" s="515" t="str">
        <f t="shared" ca="1" si="151"/>
        <v>Okay</v>
      </c>
      <c r="AR338" s="512">
        <f t="shared" si="152"/>
        <v>0</v>
      </c>
      <c r="AS338" s="511" t="str">
        <f>IF(OR(Measures!AM338="Row Not Used",Measures!C338="Controls Only",Measures!C338="Decommissioning"),"",_xlfn.CONCAT(P338," ",Q338))</f>
        <v/>
      </c>
      <c r="AT338" s="264" t="str">
        <f t="shared" si="153"/>
        <v>None</v>
      </c>
      <c r="AU338" s="229">
        <f>IF(OR(AM338="Row Not Used",AM338="Controls Only"),0,INDEX(IncentiveRateTable[Incentive Rate],MATCH(AT338,IncentiveRateTable[Incentive Name],0)))</f>
        <v>0</v>
      </c>
      <c r="AV338" s="133" t="str">
        <f>IF(OR(AM338="Row Not Used",AM338="Controls Only"),"None",INDEX(IncentiveRateTable[Incentive Unit],MATCH(AT338,IncentiveRateTable[Incentive Name],0)))</f>
        <v>None</v>
      </c>
      <c r="AW338" s="578">
        <f t="shared" si="164"/>
        <v>0</v>
      </c>
      <c r="AX338" s="264" t="str">
        <f t="shared" si="154"/>
        <v>None</v>
      </c>
      <c r="AY338" s="229">
        <f>IF(OR(AM338="Row Not Used",AM338="Fixtures Only",AM338="Decommissioning"),0,INDEX(IncentiveRateTable[Incentive Rate],MATCH(AX338,IncentiveRateTable[Incentive Name],0)))</f>
        <v>0</v>
      </c>
      <c r="AZ338" s="133" t="str">
        <f>IF(OR(AM338="Row Not Used",AM338="Fixtures Only",AM338="Decommissioning"),"None",INDEX(IncentiveRateTable[Incentive Unit],MATCH(AX338,IncentiveRateTable[Incentive Name],0)))</f>
        <v>None</v>
      </c>
      <c r="BA338" s="465">
        <f t="shared" si="155"/>
        <v>0</v>
      </c>
      <c r="BB338" s="264" t="e" cm="1">
        <f t="array" ref="BB338">INDEX(BallastFactorTable[Commercial BPA Reference Number],MATCH(1,(BallastFactorTable[Fixture Class]=J338)*(BallastFactorTable[Fixture Category]=K338)*(BallastFactorTable[Fixture Sub-category]=L338),0))</f>
        <v>#N/A</v>
      </c>
      <c r="BC338" s="133" t="e" cm="1">
        <f t="array" ref="BC338">INDEX(BallastFactorTable[Industrial BPA Reference Number],MATCH(1,(BallastFactorTable[Fixture Class]=J338)*(BallastFactorTable[Fixture Category]=K338)*(BallastFactorTable[Fixture Sub-category]=L338),0))</f>
        <v>#N/A</v>
      </c>
      <c r="BD338" s="264" t="str">
        <f t="shared" si="156"/>
        <v>Sector is blank</v>
      </c>
      <c r="BE338" s="269" t="str">
        <f>IF(ISBLANK(SectorField),"Sector is blank",IF(AM338="Row Not Used","",IF(OR(R338="No Controls",ISBLANK(R338)),"",INDEX(ControlsBPARefNoTable[Reference Number],MATCH(SectorField,ControlsBPARefNoTable[Sector],0)))))</f>
        <v>Sector is blank</v>
      </c>
      <c r="BF338" s="530" t="str">
        <f t="shared" si="157"/>
        <v/>
      </c>
      <c r="BG338" s="132" t="str">
        <f t="shared" si="158"/>
        <v/>
      </c>
      <c r="BH338" s="531" t="str">
        <f t="shared" si="159"/>
        <v/>
      </c>
      <c r="BI338" s="532"/>
      <c r="BJ338" s="538" t="str">
        <f t="shared" si="165"/>
        <v/>
      </c>
      <c r="BK338" s="539" t="str">
        <f t="shared" si="166"/>
        <v/>
      </c>
      <c r="BL338" s="547" t="str">
        <f t="shared" si="167"/>
        <v/>
      </c>
    </row>
    <row r="339" spans="1:64" x14ac:dyDescent="0.3">
      <c r="A339" s="133">
        <v>332</v>
      </c>
      <c r="B339" s="294"/>
      <c r="C339" s="313"/>
      <c r="D339" s="292"/>
      <c r="E339" s="284"/>
      <c r="F339" s="284"/>
      <c r="G339" s="295"/>
      <c r="H339" s="296"/>
      <c r="I339" s="297"/>
      <c r="J339" s="292"/>
      <c r="K339" s="284"/>
      <c r="L339" s="284"/>
      <c r="M339" s="295"/>
      <c r="N339" s="296"/>
      <c r="O339" s="296"/>
      <c r="P339" s="284"/>
      <c r="Q339" s="298"/>
      <c r="R339" s="292"/>
      <c r="S339" s="299"/>
      <c r="T339" s="300"/>
      <c r="U339" s="317" t="str">
        <f t="shared" si="141"/>
        <v/>
      </c>
      <c r="V339" s="301"/>
      <c r="W339" s="136" t="str">
        <f t="shared" si="142"/>
        <v/>
      </c>
      <c r="X339" s="588" t="str">
        <f t="shared" si="160"/>
        <v/>
      </c>
      <c r="Y339" s="580"/>
      <c r="Z339" s="251" t="str">
        <f t="shared" si="143"/>
        <v/>
      </c>
      <c r="AA339" s="138" t="str">
        <f t="shared" si="168"/>
        <v/>
      </c>
      <c r="AB339" s="243" t="str">
        <f t="shared" si="161"/>
        <v/>
      </c>
      <c r="AC339" s="141" t="str">
        <f t="shared" si="144"/>
        <v/>
      </c>
      <c r="AD339" s="138" t="str">
        <f t="shared" si="162"/>
        <v/>
      </c>
      <c r="AE339" s="243" t="str">
        <f t="shared" si="145"/>
        <v/>
      </c>
      <c r="AF339" s="342" t="str">
        <f>IF(AM339="Row Not Used","",INDEX(SpaceTable[Annual Hours],(MATCH(B339,SpaceTable[Space Name Concatenated Helper],0))))</f>
        <v/>
      </c>
      <c r="AG339" s="205" t="str">
        <f t="shared" si="146"/>
        <v/>
      </c>
      <c r="AH339" s="234" t="str">
        <f t="shared" si="147"/>
        <v/>
      </c>
      <c r="AI339" s="205" t="str">
        <f t="shared" si="148"/>
        <v/>
      </c>
      <c r="AJ339" s="234" t="str">
        <f t="shared" si="149"/>
        <v/>
      </c>
      <c r="AK339" s="144" t="str">
        <f>IF(AM339="Row Not Used","",INDEX(SpaceTable[Row],(MATCH(B339,SpaceTable[Space Name Concatenated Helper],0))))</f>
        <v/>
      </c>
      <c r="AL339" s="238" t="str">
        <f>IF(AM339="Row Not Used","",INDEX(SpaceTable[HVAC Factor],(MATCH(B339,SpaceTable[Space Name Concatenated Helper],0))))</f>
        <v/>
      </c>
      <c r="AM339" s="520" t="str">
        <f t="shared" si="150"/>
        <v>Row Not Used</v>
      </c>
      <c r="AN339" s="512" t="e" cm="1">
        <f t="array" ref="AN339">INDEX(BallastFactorTable[Ballast Factor],MATCH(1,(BallastFactorTable[Fixture Class]=D339)*(BallastFactorTable[Fixture Category]=E339)*(BallastFactorTable[Fixture Sub-category]=F339),0))</f>
        <v>#N/A</v>
      </c>
      <c r="AO339" s="143" t="str">
        <f t="shared" si="163"/>
        <v/>
      </c>
      <c r="AP339" s="501" t="e" cm="1">
        <f t="array" ref="AP339">INDEX(BallastFactorTable[Wattage Range Name],MATCH(1,(BallastFactorTable[Fixture Class]=D339)*(BallastFactorTable[Fixture Category]=E339)*(BallastFactorTable[Fixture Sub-category]=F339),0))</f>
        <v>#N/A</v>
      </c>
      <c r="AQ339" s="515" t="str">
        <f t="shared" ca="1" si="151"/>
        <v>Okay</v>
      </c>
      <c r="AR339" s="512">
        <f t="shared" si="152"/>
        <v>0</v>
      </c>
      <c r="AS339" s="511" t="str">
        <f>IF(OR(Measures!AM339="Row Not Used",Measures!C339="Controls Only",Measures!C339="Decommissioning"),"",_xlfn.CONCAT(P339," ",Q339))</f>
        <v/>
      </c>
      <c r="AT339" s="264" t="str">
        <f t="shared" si="153"/>
        <v>None</v>
      </c>
      <c r="AU339" s="229">
        <f>IF(OR(AM339="Row Not Used",AM339="Controls Only"),0,INDEX(IncentiveRateTable[Incentive Rate],MATCH(AT339,IncentiveRateTable[Incentive Name],0)))</f>
        <v>0</v>
      </c>
      <c r="AV339" s="133" t="str">
        <f>IF(OR(AM339="Row Not Used",AM339="Controls Only"),"None",INDEX(IncentiveRateTable[Incentive Unit],MATCH(AT339,IncentiveRateTable[Incentive Name],0)))</f>
        <v>None</v>
      </c>
      <c r="AW339" s="578">
        <f t="shared" si="164"/>
        <v>0</v>
      </c>
      <c r="AX339" s="264" t="str">
        <f t="shared" si="154"/>
        <v>None</v>
      </c>
      <c r="AY339" s="229">
        <f>IF(OR(AM339="Row Not Used",AM339="Fixtures Only",AM339="Decommissioning"),0,INDEX(IncentiveRateTable[Incentive Rate],MATCH(AX339,IncentiveRateTable[Incentive Name],0)))</f>
        <v>0</v>
      </c>
      <c r="AZ339" s="133" t="str">
        <f>IF(OR(AM339="Row Not Used",AM339="Fixtures Only",AM339="Decommissioning"),"None",INDEX(IncentiveRateTable[Incentive Unit],MATCH(AX339,IncentiveRateTable[Incentive Name],0)))</f>
        <v>None</v>
      </c>
      <c r="BA339" s="465">
        <f t="shared" si="155"/>
        <v>0</v>
      </c>
      <c r="BB339" s="264" t="e" cm="1">
        <f t="array" ref="BB339">INDEX(BallastFactorTable[Commercial BPA Reference Number],MATCH(1,(BallastFactorTable[Fixture Class]=J339)*(BallastFactorTable[Fixture Category]=K339)*(BallastFactorTable[Fixture Sub-category]=L339),0))</f>
        <v>#N/A</v>
      </c>
      <c r="BC339" s="133" t="e" cm="1">
        <f t="array" ref="BC339">INDEX(BallastFactorTable[Industrial BPA Reference Number],MATCH(1,(BallastFactorTable[Fixture Class]=J339)*(BallastFactorTable[Fixture Category]=K339)*(BallastFactorTable[Fixture Sub-category]=L339),0))</f>
        <v>#N/A</v>
      </c>
      <c r="BD339" s="264" t="str">
        <f t="shared" si="156"/>
        <v>Sector is blank</v>
      </c>
      <c r="BE339" s="269" t="str">
        <f>IF(ISBLANK(SectorField),"Sector is blank",IF(AM339="Row Not Used","",IF(OR(R339="No Controls",ISBLANK(R339)),"",INDEX(ControlsBPARefNoTable[Reference Number],MATCH(SectorField,ControlsBPARefNoTable[Sector],0)))))</f>
        <v>Sector is blank</v>
      </c>
      <c r="BF339" s="530" t="str">
        <f t="shared" si="157"/>
        <v/>
      </c>
      <c r="BG339" s="132" t="str">
        <f t="shared" si="158"/>
        <v/>
      </c>
      <c r="BH339" s="531" t="str">
        <f t="shared" si="159"/>
        <v/>
      </c>
      <c r="BI339" s="532"/>
      <c r="BJ339" s="538" t="str">
        <f t="shared" si="165"/>
        <v/>
      </c>
      <c r="BK339" s="539" t="str">
        <f t="shared" si="166"/>
        <v/>
      </c>
      <c r="BL339" s="547" t="str">
        <f t="shared" si="167"/>
        <v/>
      </c>
    </row>
    <row r="340" spans="1:64" x14ac:dyDescent="0.3">
      <c r="A340" s="133">
        <v>333</v>
      </c>
      <c r="B340" s="294"/>
      <c r="C340" s="313"/>
      <c r="D340" s="292"/>
      <c r="E340" s="284"/>
      <c r="F340" s="284"/>
      <c r="G340" s="295"/>
      <c r="H340" s="296"/>
      <c r="I340" s="297"/>
      <c r="J340" s="292"/>
      <c r="K340" s="284"/>
      <c r="L340" s="284"/>
      <c r="M340" s="295"/>
      <c r="N340" s="296"/>
      <c r="O340" s="296"/>
      <c r="P340" s="284"/>
      <c r="Q340" s="298"/>
      <c r="R340" s="292"/>
      <c r="S340" s="299"/>
      <c r="T340" s="300"/>
      <c r="U340" s="317" t="str">
        <f t="shared" si="141"/>
        <v/>
      </c>
      <c r="V340" s="301"/>
      <c r="W340" s="137" t="str">
        <f t="shared" si="142"/>
        <v/>
      </c>
      <c r="X340" s="589" t="str">
        <f t="shared" si="160"/>
        <v/>
      </c>
      <c r="Y340" s="581"/>
      <c r="Z340" s="251" t="str">
        <f t="shared" si="143"/>
        <v/>
      </c>
      <c r="AA340" s="138" t="str">
        <f t="shared" si="168"/>
        <v/>
      </c>
      <c r="AB340" s="243" t="str">
        <f t="shared" si="161"/>
        <v/>
      </c>
      <c r="AC340" s="141" t="str">
        <f t="shared" si="144"/>
        <v/>
      </c>
      <c r="AD340" s="138" t="str">
        <f t="shared" si="162"/>
        <v/>
      </c>
      <c r="AE340" s="243" t="str">
        <f t="shared" si="145"/>
        <v/>
      </c>
      <c r="AF340" s="342" t="str">
        <f>IF(AM340="Row Not Used","",INDEX(SpaceTable[Annual Hours],(MATCH(B340,SpaceTable[Space Name Concatenated Helper],0))))</f>
        <v/>
      </c>
      <c r="AG340" s="205" t="str">
        <f t="shared" si="146"/>
        <v/>
      </c>
      <c r="AH340" s="234" t="str">
        <f t="shared" si="147"/>
        <v/>
      </c>
      <c r="AI340" s="205" t="str">
        <f t="shared" si="148"/>
        <v/>
      </c>
      <c r="AJ340" s="234" t="str">
        <f t="shared" si="149"/>
        <v/>
      </c>
      <c r="AK340" s="144" t="str">
        <f>IF(AM340="Row Not Used","",INDEX(SpaceTable[Row],(MATCH(B340,SpaceTable[Space Name Concatenated Helper],0))))</f>
        <v/>
      </c>
      <c r="AL340" s="238" t="str">
        <f>IF(AM340="Row Not Used","",INDEX(SpaceTable[HVAC Factor],(MATCH(B340,SpaceTable[Space Name Concatenated Helper],0))))</f>
        <v/>
      </c>
      <c r="AM340" s="520" t="str">
        <f t="shared" si="150"/>
        <v>Row Not Used</v>
      </c>
      <c r="AN340" s="512" t="e" cm="1">
        <f t="array" ref="AN340">INDEX(BallastFactorTable[Ballast Factor],MATCH(1,(BallastFactorTable[Fixture Class]=D340)*(BallastFactorTable[Fixture Category]=E340)*(BallastFactorTable[Fixture Sub-category]=F340),0))</f>
        <v>#N/A</v>
      </c>
      <c r="AO340" s="143" t="str">
        <f t="shared" si="163"/>
        <v/>
      </c>
      <c r="AP340" s="501" t="e" cm="1">
        <f t="array" ref="AP340">INDEX(BallastFactorTable[Wattage Range Name],MATCH(1,(BallastFactorTable[Fixture Class]=D340)*(BallastFactorTable[Fixture Category]=E340)*(BallastFactorTable[Fixture Sub-category]=F340),0))</f>
        <v>#N/A</v>
      </c>
      <c r="AQ340" s="515" t="str">
        <f t="shared" ca="1" si="151"/>
        <v>Okay</v>
      </c>
      <c r="AR340" s="512">
        <f t="shared" si="152"/>
        <v>0</v>
      </c>
      <c r="AS340" s="511" t="str">
        <f>IF(OR(Measures!AM340="Row Not Used",Measures!C340="Controls Only",Measures!C340="Decommissioning"),"",_xlfn.CONCAT(P340," ",Q340))</f>
        <v/>
      </c>
      <c r="AT340" s="264" t="str">
        <f t="shared" si="153"/>
        <v>None</v>
      </c>
      <c r="AU340" s="229">
        <f>IF(OR(AM340="Row Not Used",AM340="Controls Only"),0,INDEX(IncentiveRateTable[Incentive Rate],MATCH(AT340,IncentiveRateTable[Incentive Name],0)))</f>
        <v>0</v>
      </c>
      <c r="AV340" s="133" t="str">
        <f>IF(OR(AM340="Row Not Used",AM340="Controls Only"),"None",INDEX(IncentiveRateTable[Incentive Unit],MATCH(AT340,IncentiveRateTable[Incentive Name],0)))</f>
        <v>None</v>
      </c>
      <c r="AW340" s="578">
        <f t="shared" si="164"/>
        <v>0</v>
      </c>
      <c r="AX340" s="264" t="str">
        <f t="shared" si="154"/>
        <v>None</v>
      </c>
      <c r="AY340" s="229">
        <f>IF(OR(AM340="Row Not Used",AM340="Fixtures Only",AM340="Decommissioning"),0,INDEX(IncentiveRateTable[Incentive Rate],MATCH(AX340,IncentiveRateTable[Incentive Name],0)))</f>
        <v>0</v>
      </c>
      <c r="AZ340" s="133" t="str">
        <f>IF(OR(AM340="Row Not Used",AM340="Fixtures Only",AM340="Decommissioning"),"None",INDEX(IncentiveRateTable[Incentive Unit],MATCH(AX340,IncentiveRateTable[Incentive Name],0)))</f>
        <v>None</v>
      </c>
      <c r="BA340" s="465">
        <f t="shared" si="155"/>
        <v>0</v>
      </c>
      <c r="BB340" s="264" t="e" cm="1">
        <f t="array" ref="BB340">INDEX(BallastFactorTable[Commercial BPA Reference Number],MATCH(1,(BallastFactorTable[Fixture Class]=J340)*(BallastFactorTable[Fixture Category]=K340)*(BallastFactorTable[Fixture Sub-category]=L340),0))</f>
        <v>#N/A</v>
      </c>
      <c r="BC340" s="133" t="e" cm="1">
        <f t="array" ref="BC340">INDEX(BallastFactorTable[Industrial BPA Reference Number],MATCH(1,(BallastFactorTable[Fixture Class]=J340)*(BallastFactorTable[Fixture Category]=K340)*(BallastFactorTable[Fixture Sub-category]=L340),0))</f>
        <v>#N/A</v>
      </c>
      <c r="BD340" s="264" t="str">
        <f t="shared" si="156"/>
        <v>Sector is blank</v>
      </c>
      <c r="BE340" s="269" t="str">
        <f>IF(ISBLANK(SectorField),"Sector is blank",IF(AM340="Row Not Used","",IF(OR(R340="No Controls",ISBLANK(R340)),"",INDEX(ControlsBPARefNoTable[Reference Number],MATCH(SectorField,ControlsBPARefNoTable[Sector],0)))))</f>
        <v>Sector is blank</v>
      </c>
      <c r="BF340" s="530" t="str">
        <f t="shared" si="157"/>
        <v/>
      </c>
      <c r="BG340" s="132" t="str">
        <f t="shared" si="158"/>
        <v/>
      </c>
      <c r="BH340" s="531" t="str">
        <f t="shared" si="159"/>
        <v/>
      </c>
      <c r="BI340" s="532"/>
      <c r="BJ340" s="538" t="str">
        <f t="shared" si="165"/>
        <v/>
      </c>
      <c r="BK340" s="539" t="str">
        <f t="shared" si="166"/>
        <v/>
      </c>
      <c r="BL340" s="547" t="str">
        <f t="shared" si="167"/>
        <v/>
      </c>
    </row>
    <row r="341" spans="1:64" x14ac:dyDescent="0.3">
      <c r="A341" s="133">
        <v>334</v>
      </c>
      <c r="B341" s="294"/>
      <c r="C341" s="313"/>
      <c r="D341" s="292"/>
      <c r="E341" s="284"/>
      <c r="F341" s="284"/>
      <c r="G341" s="295"/>
      <c r="H341" s="296"/>
      <c r="I341" s="297"/>
      <c r="J341" s="292"/>
      <c r="K341" s="284"/>
      <c r="L341" s="284"/>
      <c r="M341" s="295"/>
      <c r="N341" s="296"/>
      <c r="O341" s="296"/>
      <c r="P341" s="284"/>
      <c r="Q341" s="298"/>
      <c r="R341" s="292"/>
      <c r="S341" s="299"/>
      <c r="T341" s="300"/>
      <c r="U341" s="317" t="str">
        <f t="shared" si="141"/>
        <v/>
      </c>
      <c r="V341" s="301"/>
      <c r="W341" s="136" t="str">
        <f t="shared" si="142"/>
        <v/>
      </c>
      <c r="X341" s="588" t="str">
        <f t="shared" si="160"/>
        <v/>
      </c>
      <c r="Y341" s="580"/>
      <c r="Z341" s="251" t="str">
        <f t="shared" si="143"/>
        <v/>
      </c>
      <c r="AA341" s="138" t="str">
        <f t="shared" si="168"/>
        <v/>
      </c>
      <c r="AB341" s="243" t="str">
        <f t="shared" si="161"/>
        <v/>
      </c>
      <c r="AC341" s="141" t="str">
        <f t="shared" si="144"/>
        <v/>
      </c>
      <c r="AD341" s="138" t="str">
        <f t="shared" si="162"/>
        <v/>
      </c>
      <c r="AE341" s="243" t="str">
        <f t="shared" si="145"/>
        <v/>
      </c>
      <c r="AF341" s="342" t="str">
        <f>IF(AM341="Row Not Used","",INDEX(SpaceTable[Annual Hours],(MATCH(B341,SpaceTable[Space Name Concatenated Helper],0))))</f>
        <v/>
      </c>
      <c r="AG341" s="205" t="str">
        <f t="shared" si="146"/>
        <v/>
      </c>
      <c r="AH341" s="234" t="str">
        <f t="shared" si="147"/>
        <v/>
      </c>
      <c r="AI341" s="205" t="str">
        <f t="shared" si="148"/>
        <v/>
      </c>
      <c r="AJ341" s="234" t="str">
        <f t="shared" si="149"/>
        <v/>
      </c>
      <c r="AK341" s="144" t="str">
        <f>IF(AM341="Row Not Used","",INDEX(SpaceTable[Row],(MATCH(B341,SpaceTable[Space Name Concatenated Helper],0))))</f>
        <v/>
      </c>
      <c r="AL341" s="238" t="str">
        <f>IF(AM341="Row Not Used","",INDEX(SpaceTable[HVAC Factor],(MATCH(B341,SpaceTable[Space Name Concatenated Helper],0))))</f>
        <v/>
      </c>
      <c r="AM341" s="520" t="str">
        <f t="shared" si="150"/>
        <v>Row Not Used</v>
      </c>
      <c r="AN341" s="512" t="e" cm="1">
        <f t="array" ref="AN341">INDEX(BallastFactorTable[Ballast Factor],MATCH(1,(BallastFactorTable[Fixture Class]=D341)*(BallastFactorTable[Fixture Category]=E341)*(BallastFactorTable[Fixture Sub-category]=F341),0))</f>
        <v>#N/A</v>
      </c>
      <c r="AO341" s="143" t="str">
        <f t="shared" si="163"/>
        <v/>
      </c>
      <c r="AP341" s="501" t="e" cm="1">
        <f t="array" ref="AP341">INDEX(BallastFactorTable[Wattage Range Name],MATCH(1,(BallastFactorTable[Fixture Class]=D341)*(BallastFactorTable[Fixture Category]=E341)*(BallastFactorTable[Fixture Sub-category]=F341),0))</f>
        <v>#N/A</v>
      </c>
      <c r="AQ341" s="515" t="str">
        <f t="shared" ca="1" si="151"/>
        <v>Okay</v>
      </c>
      <c r="AR341" s="512">
        <f t="shared" si="152"/>
        <v>0</v>
      </c>
      <c r="AS341" s="511" t="str">
        <f>IF(OR(Measures!AM341="Row Not Used",Measures!C341="Controls Only",Measures!C341="Decommissioning"),"",_xlfn.CONCAT(P341," ",Q341))</f>
        <v/>
      </c>
      <c r="AT341" s="264" t="str">
        <f t="shared" si="153"/>
        <v>None</v>
      </c>
      <c r="AU341" s="229">
        <f>IF(OR(AM341="Row Not Used",AM341="Controls Only"),0,INDEX(IncentiveRateTable[Incentive Rate],MATCH(AT341,IncentiveRateTable[Incentive Name],0)))</f>
        <v>0</v>
      </c>
      <c r="AV341" s="133" t="str">
        <f>IF(OR(AM341="Row Not Used",AM341="Controls Only"),"None",INDEX(IncentiveRateTable[Incentive Unit],MATCH(AT341,IncentiveRateTable[Incentive Name],0)))</f>
        <v>None</v>
      </c>
      <c r="AW341" s="578">
        <f t="shared" si="164"/>
        <v>0</v>
      </c>
      <c r="AX341" s="264" t="str">
        <f t="shared" si="154"/>
        <v>None</v>
      </c>
      <c r="AY341" s="229">
        <f>IF(OR(AM341="Row Not Used",AM341="Fixtures Only",AM341="Decommissioning"),0,INDEX(IncentiveRateTable[Incentive Rate],MATCH(AX341,IncentiveRateTable[Incentive Name],0)))</f>
        <v>0</v>
      </c>
      <c r="AZ341" s="133" t="str">
        <f>IF(OR(AM341="Row Not Used",AM341="Fixtures Only",AM341="Decommissioning"),"None",INDEX(IncentiveRateTable[Incentive Unit],MATCH(AX341,IncentiveRateTable[Incentive Name],0)))</f>
        <v>None</v>
      </c>
      <c r="BA341" s="465">
        <f t="shared" si="155"/>
        <v>0</v>
      </c>
      <c r="BB341" s="264" t="e" cm="1">
        <f t="array" ref="BB341">INDEX(BallastFactorTable[Commercial BPA Reference Number],MATCH(1,(BallastFactorTable[Fixture Class]=J341)*(BallastFactorTable[Fixture Category]=K341)*(BallastFactorTable[Fixture Sub-category]=L341),0))</f>
        <v>#N/A</v>
      </c>
      <c r="BC341" s="133" t="e" cm="1">
        <f t="array" ref="BC341">INDEX(BallastFactorTable[Industrial BPA Reference Number],MATCH(1,(BallastFactorTable[Fixture Class]=J341)*(BallastFactorTable[Fixture Category]=K341)*(BallastFactorTable[Fixture Sub-category]=L341),0))</f>
        <v>#N/A</v>
      </c>
      <c r="BD341" s="264" t="str">
        <f t="shared" si="156"/>
        <v>Sector is blank</v>
      </c>
      <c r="BE341" s="269" t="str">
        <f>IF(ISBLANK(SectorField),"Sector is blank",IF(AM341="Row Not Used","",IF(OR(R341="No Controls",ISBLANK(R341)),"",INDEX(ControlsBPARefNoTable[Reference Number],MATCH(SectorField,ControlsBPARefNoTable[Sector],0)))))</f>
        <v>Sector is blank</v>
      </c>
      <c r="BF341" s="530" t="str">
        <f t="shared" si="157"/>
        <v/>
      </c>
      <c r="BG341" s="132" t="str">
        <f t="shared" si="158"/>
        <v/>
      </c>
      <c r="BH341" s="531" t="str">
        <f t="shared" si="159"/>
        <v/>
      </c>
      <c r="BI341" s="532"/>
      <c r="BJ341" s="538" t="str">
        <f t="shared" si="165"/>
        <v/>
      </c>
      <c r="BK341" s="539" t="str">
        <f t="shared" si="166"/>
        <v/>
      </c>
      <c r="BL341" s="547" t="str">
        <f t="shared" si="167"/>
        <v/>
      </c>
    </row>
    <row r="342" spans="1:64" x14ac:dyDescent="0.3">
      <c r="A342" s="133">
        <v>335</v>
      </c>
      <c r="B342" s="294"/>
      <c r="C342" s="313"/>
      <c r="D342" s="292"/>
      <c r="E342" s="284"/>
      <c r="F342" s="284"/>
      <c r="G342" s="295"/>
      <c r="H342" s="296"/>
      <c r="I342" s="297"/>
      <c r="J342" s="292"/>
      <c r="K342" s="284"/>
      <c r="L342" s="284"/>
      <c r="M342" s="295"/>
      <c r="N342" s="296"/>
      <c r="O342" s="296"/>
      <c r="P342" s="284"/>
      <c r="Q342" s="298"/>
      <c r="R342" s="292"/>
      <c r="S342" s="299"/>
      <c r="T342" s="300"/>
      <c r="U342" s="317" t="str">
        <f t="shared" si="141"/>
        <v/>
      </c>
      <c r="V342" s="301"/>
      <c r="W342" s="137" t="str">
        <f t="shared" si="142"/>
        <v/>
      </c>
      <c r="X342" s="589" t="str">
        <f t="shared" si="160"/>
        <v/>
      </c>
      <c r="Y342" s="581"/>
      <c r="Z342" s="251" t="str">
        <f t="shared" si="143"/>
        <v/>
      </c>
      <c r="AA342" s="138" t="str">
        <f t="shared" si="168"/>
        <v/>
      </c>
      <c r="AB342" s="243" t="str">
        <f t="shared" si="161"/>
        <v/>
      </c>
      <c r="AC342" s="141" t="str">
        <f t="shared" si="144"/>
        <v/>
      </c>
      <c r="AD342" s="138" t="str">
        <f t="shared" si="162"/>
        <v/>
      </c>
      <c r="AE342" s="243" t="str">
        <f t="shared" si="145"/>
        <v/>
      </c>
      <c r="AF342" s="342" t="str">
        <f>IF(AM342="Row Not Used","",INDEX(SpaceTable[Annual Hours],(MATCH(B342,SpaceTable[Space Name Concatenated Helper],0))))</f>
        <v/>
      </c>
      <c r="AG342" s="205" t="str">
        <f t="shared" si="146"/>
        <v/>
      </c>
      <c r="AH342" s="234" t="str">
        <f t="shared" si="147"/>
        <v/>
      </c>
      <c r="AI342" s="205" t="str">
        <f t="shared" si="148"/>
        <v/>
      </c>
      <c r="AJ342" s="234" t="str">
        <f t="shared" si="149"/>
        <v/>
      </c>
      <c r="AK342" s="144" t="str">
        <f>IF(AM342="Row Not Used","",INDEX(SpaceTable[Row],(MATCH(B342,SpaceTable[Space Name Concatenated Helper],0))))</f>
        <v/>
      </c>
      <c r="AL342" s="238" t="str">
        <f>IF(AM342="Row Not Used","",INDEX(SpaceTable[HVAC Factor],(MATCH(B342,SpaceTable[Space Name Concatenated Helper],0))))</f>
        <v/>
      </c>
      <c r="AM342" s="520" t="str">
        <f t="shared" si="150"/>
        <v>Row Not Used</v>
      </c>
      <c r="AN342" s="512" t="e" cm="1">
        <f t="array" ref="AN342">INDEX(BallastFactorTable[Ballast Factor],MATCH(1,(BallastFactorTable[Fixture Class]=D342)*(BallastFactorTable[Fixture Category]=E342)*(BallastFactorTable[Fixture Sub-category]=F342),0))</f>
        <v>#N/A</v>
      </c>
      <c r="AO342" s="143" t="str">
        <f t="shared" si="163"/>
        <v/>
      </c>
      <c r="AP342" s="501" t="e" cm="1">
        <f t="array" ref="AP342">INDEX(BallastFactorTable[Wattage Range Name],MATCH(1,(BallastFactorTable[Fixture Class]=D342)*(BallastFactorTable[Fixture Category]=E342)*(BallastFactorTable[Fixture Sub-category]=F342),0))</f>
        <v>#N/A</v>
      </c>
      <c r="AQ342" s="515" t="str">
        <f t="shared" ca="1" si="151"/>
        <v>Okay</v>
      </c>
      <c r="AR342" s="512">
        <f t="shared" si="152"/>
        <v>0</v>
      </c>
      <c r="AS342" s="511" t="str">
        <f>IF(OR(Measures!AM342="Row Not Used",Measures!C342="Controls Only",Measures!C342="Decommissioning"),"",_xlfn.CONCAT(P342," ",Q342))</f>
        <v/>
      </c>
      <c r="AT342" s="264" t="str">
        <f t="shared" si="153"/>
        <v>None</v>
      </c>
      <c r="AU342" s="229">
        <f>IF(OR(AM342="Row Not Used",AM342="Controls Only"),0,INDEX(IncentiveRateTable[Incentive Rate],MATCH(AT342,IncentiveRateTable[Incentive Name],0)))</f>
        <v>0</v>
      </c>
      <c r="AV342" s="133" t="str">
        <f>IF(OR(AM342="Row Not Used",AM342="Controls Only"),"None",INDEX(IncentiveRateTable[Incentive Unit],MATCH(AT342,IncentiveRateTable[Incentive Name],0)))</f>
        <v>None</v>
      </c>
      <c r="AW342" s="578">
        <f t="shared" si="164"/>
        <v>0</v>
      </c>
      <c r="AX342" s="264" t="str">
        <f t="shared" si="154"/>
        <v>None</v>
      </c>
      <c r="AY342" s="229">
        <f>IF(OR(AM342="Row Not Used",AM342="Fixtures Only",AM342="Decommissioning"),0,INDEX(IncentiveRateTable[Incentive Rate],MATCH(AX342,IncentiveRateTable[Incentive Name],0)))</f>
        <v>0</v>
      </c>
      <c r="AZ342" s="133" t="str">
        <f>IF(OR(AM342="Row Not Used",AM342="Fixtures Only",AM342="Decommissioning"),"None",INDEX(IncentiveRateTable[Incentive Unit],MATCH(AX342,IncentiveRateTable[Incentive Name],0)))</f>
        <v>None</v>
      </c>
      <c r="BA342" s="465">
        <f t="shared" si="155"/>
        <v>0</v>
      </c>
      <c r="BB342" s="264" t="e" cm="1">
        <f t="array" ref="BB342">INDEX(BallastFactorTable[Commercial BPA Reference Number],MATCH(1,(BallastFactorTable[Fixture Class]=J342)*(BallastFactorTable[Fixture Category]=K342)*(BallastFactorTable[Fixture Sub-category]=L342),0))</f>
        <v>#N/A</v>
      </c>
      <c r="BC342" s="133" t="e" cm="1">
        <f t="array" ref="BC342">INDEX(BallastFactorTable[Industrial BPA Reference Number],MATCH(1,(BallastFactorTable[Fixture Class]=J342)*(BallastFactorTable[Fixture Category]=K342)*(BallastFactorTable[Fixture Sub-category]=L342),0))</f>
        <v>#N/A</v>
      </c>
      <c r="BD342" s="264" t="str">
        <f t="shared" si="156"/>
        <v>Sector is blank</v>
      </c>
      <c r="BE342" s="269" t="str">
        <f>IF(ISBLANK(SectorField),"Sector is blank",IF(AM342="Row Not Used","",IF(OR(R342="No Controls",ISBLANK(R342)),"",INDEX(ControlsBPARefNoTable[Reference Number],MATCH(SectorField,ControlsBPARefNoTable[Sector],0)))))</f>
        <v>Sector is blank</v>
      </c>
      <c r="BF342" s="530" t="str">
        <f t="shared" si="157"/>
        <v/>
      </c>
      <c r="BG342" s="132" t="str">
        <f t="shared" si="158"/>
        <v/>
      </c>
      <c r="BH342" s="531" t="str">
        <f t="shared" si="159"/>
        <v/>
      </c>
      <c r="BI342" s="532"/>
      <c r="BJ342" s="538" t="str">
        <f t="shared" si="165"/>
        <v/>
      </c>
      <c r="BK342" s="539" t="str">
        <f t="shared" si="166"/>
        <v/>
      </c>
      <c r="BL342" s="547" t="str">
        <f t="shared" si="167"/>
        <v/>
      </c>
    </row>
    <row r="343" spans="1:64" x14ac:dyDescent="0.3">
      <c r="A343" s="133">
        <v>336</v>
      </c>
      <c r="B343" s="294"/>
      <c r="C343" s="313"/>
      <c r="D343" s="292"/>
      <c r="E343" s="284"/>
      <c r="F343" s="284"/>
      <c r="G343" s="295"/>
      <c r="H343" s="296"/>
      <c r="I343" s="297"/>
      <c r="J343" s="292"/>
      <c r="K343" s="284"/>
      <c r="L343" s="284"/>
      <c r="M343" s="295"/>
      <c r="N343" s="296"/>
      <c r="O343" s="296"/>
      <c r="P343" s="284"/>
      <c r="Q343" s="298"/>
      <c r="R343" s="292"/>
      <c r="S343" s="299"/>
      <c r="T343" s="300"/>
      <c r="U343" s="317" t="str">
        <f t="shared" si="141"/>
        <v/>
      </c>
      <c r="V343" s="301"/>
      <c r="W343" s="136" t="str">
        <f t="shared" si="142"/>
        <v/>
      </c>
      <c r="X343" s="588" t="str">
        <f t="shared" si="160"/>
        <v/>
      </c>
      <c r="Y343" s="580"/>
      <c r="Z343" s="251" t="str">
        <f t="shared" si="143"/>
        <v/>
      </c>
      <c r="AA343" s="138" t="str">
        <f t="shared" si="168"/>
        <v/>
      </c>
      <c r="AB343" s="243" t="str">
        <f t="shared" si="161"/>
        <v/>
      </c>
      <c r="AC343" s="141" t="str">
        <f t="shared" si="144"/>
        <v/>
      </c>
      <c r="AD343" s="138" t="str">
        <f t="shared" si="162"/>
        <v/>
      </c>
      <c r="AE343" s="243" t="str">
        <f t="shared" si="145"/>
        <v/>
      </c>
      <c r="AF343" s="342" t="str">
        <f>IF(AM343="Row Not Used","",INDEX(SpaceTable[Annual Hours],(MATCH(B343,SpaceTable[Space Name Concatenated Helper],0))))</f>
        <v/>
      </c>
      <c r="AG343" s="205" t="str">
        <f t="shared" si="146"/>
        <v/>
      </c>
      <c r="AH343" s="234" t="str">
        <f t="shared" si="147"/>
        <v/>
      </c>
      <c r="AI343" s="205" t="str">
        <f t="shared" si="148"/>
        <v/>
      </c>
      <c r="AJ343" s="234" t="str">
        <f t="shared" si="149"/>
        <v/>
      </c>
      <c r="AK343" s="144" t="str">
        <f>IF(AM343="Row Not Used","",INDEX(SpaceTable[Row],(MATCH(B343,SpaceTable[Space Name Concatenated Helper],0))))</f>
        <v/>
      </c>
      <c r="AL343" s="238" t="str">
        <f>IF(AM343="Row Not Used","",INDEX(SpaceTable[HVAC Factor],(MATCH(B343,SpaceTable[Space Name Concatenated Helper],0))))</f>
        <v/>
      </c>
      <c r="AM343" s="520" t="str">
        <f t="shared" si="150"/>
        <v>Row Not Used</v>
      </c>
      <c r="AN343" s="512" t="e" cm="1">
        <f t="array" ref="AN343">INDEX(BallastFactorTable[Ballast Factor],MATCH(1,(BallastFactorTable[Fixture Class]=D343)*(BallastFactorTable[Fixture Category]=E343)*(BallastFactorTable[Fixture Sub-category]=F343),0))</f>
        <v>#N/A</v>
      </c>
      <c r="AO343" s="143" t="str">
        <f t="shared" si="163"/>
        <v/>
      </c>
      <c r="AP343" s="501" t="e" cm="1">
        <f t="array" ref="AP343">INDEX(BallastFactorTable[Wattage Range Name],MATCH(1,(BallastFactorTable[Fixture Class]=D343)*(BallastFactorTable[Fixture Category]=E343)*(BallastFactorTable[Fixture Sub-category]=F343),0))</f>
        <v>#N/A</v>
      </c>
      <c r="AQ343" s="515" t="str">
        <f t="shared" ca="1" si="151"/>
        <v>Okay</v>
      </c>
      <c r="AR343" s="512">
        <f t="shared" si="152"/>
        <v>0</v>
      </c>
      <c r="AS343" s="511" t="str">
        <f>IF(OR(Measures!AM343="Row Not Used",Measures!C343="Controls Only",Measures!C343="Decommissioning"),"",_xlfn.CONCAT(P343," ",Q343))</f>
        <v/>
      </c>
      <c r="AT343" s="264" t="str">
        <f t="shared" si="153"/>
        <v>None</v>
      </c>
      <c r="AU343" s="229">
        <f>IF(OR(AM343="Row Not Used",AM343="Controls Only"),0,INDEX(IncentiveRateTable[Incentive Rate],MATCH(AT343,IncentiveRateTable[Incentive Name],0)))</f>
        <v>0</v>
      </c>
      <c r="AV343" s="133" t="str">
        <f>IF(OR(AM343="Row Not Used",AM343="Controls Only"),"None",INDEX(IncentiveRateTable[Incentive Unit],MATCH(AT343,IncentiveRateTable[Incentive Name],0)))</f>
        <v>None</v>
      </c>
      <c r="AW343" s="578">
        <f t="shared" si="164"/>
        <v>0</v>
      </c>
      <c r="AX343" s="264" t="str">
        <f t="shared" si="154"/>
        <v>None</v>
      </c>
      <c r="AY343" s="229">
        <f>IF(OR(AM343="Row Not Used",AM343="Fixtures Only",AM343="Decommissioning"),0,INDEX(IncentiveRateTable[Incentive Rate],MATCH(AX343,IncentiveRateTable[Incentive Name],0)))</f>
        <v>0</v>
      </c>
      <c r="AZ343" s="133" t="str">
        <f>IF(OR(AM343="Row Not Used",AM343="Fixtures Only",AM343="Decommissioning"),"None",INDEX(IncentiveRateTable[Incentive Unit],MATCH(AX343,IncentiveRateTable[Incentive Name],0)))</f>
        <v>None</v>
      </c>
      <c r="BA343" s="465">
        <f t="shared" si="155"/>
        <v>0</v>
      </c>
      <c r="BB343" s="264" t="e" cm="1">
        <f t="array" ref="BB343">INDEX(BallastFactorTable[Commercial BPA Reference Number],MATCH(1,(BallastFactorTable[Fixture Class]=J343)*(BallastFactorTable[Fixture Category]=K343)*(BallastFactorTable[Fixture Sub-category]=L343),0))</f>
        <v>#N/A</v>
      </c>
      <c r="BC343" s="133" t="e" cm="1">
        <f t="array" ref="BC343">INDEX(BallastFactorTable[Industrial BPA Reference Number],MATCH(1,(BallastFactorTable[Fixture Class]=J343)*(BallastFactorTable[Fixture Category]=K343)*(BallastFactorTable[Fixture Sub-category]=L343),0))</f>
        <v>#N/A</v>
      </c>
      <c r="BD343" s="264" t="str">
        <f t="shared" si="156"/>
        <v>Sector is blank</v>
      </c>
      <c r="BE343" s="269" t="str">
        <f>IF(ISBLANK(SectorField),"Sector is blank",IF(AM343="Row Not Used","",IF(OR(R343="No Controls",ISBLANK(R343)),"",INDEX(ControlsBPARefNoTable[Reference Number],MATCH(SectorField,ControlsBPARefNoTable[Sector],0)))))</f>
        <v>Sector is blank</v>
      </c>
      <c r="BF343" s="530" t="str">
        <f t="shared" si="157"/>
        <v/>
      </c>
      <c r="BG343" s="132" t="str">
        <f t="shared" si="158"/>
        <v/>
      </c>
      <c r="BH343" s="531" t="str">
        <f t="shared" si="159"/>
        <v/>
      </c>
      <c r="BI343" s="532"/>
      <c r="BJ343" s="538" t="str">
        <f t="shared" si="165"/>
        <v/>
      </c>
      <c r="BK343" s="539" t="str">
        <f t="shared" si="166"/>
        <v/>
      </c>
      <c r="BL343" s="547" t="str">
        <f t="shared" si="167"/>
        <v/>
      </c>
    </row>
    <row r="344" spans="1:64" x14ac:dyDescent="0.3">
      <c r="A344" s="133">
        <v>337</v>
      </c>
      <c r="B344" s="294"/>
      <c r="C344" s="313"/>
      <c r="D344" s="292"/>
      <c r="E344" s="284"/>
      <c r="F344" s="284"/>
      <c r="G344" s="295"/>
      <c r="H344" s="296"/>
      <c r="I344" s="297"/>
      <c r="J344" s="292"/>
      <c r="K344" s="284"/>
      <c r="L344" s="284"/>
      <c r="M344" s="295"/>
      <c r="N344" s="296"/>
      <c r="O344" s="296"/>
      <c r="P344" s="284"/>
      <c r="Q344" s="298"/>
      <c r="R344" s="292"/>
      <c r="S344" s="299"/>
      <c r="T344" s="300"/>
      <c r="U344" s="317" t="str">
        <f t="shared" si="141"/>
        <v/>
      </c>
      <c r="V344" s="301"/>
      <c r="W344" s="137" t="str">
        <f t="shared" si="142"/>
        <v/>
      </c>
      <c r="X344" s="589" t="str">
        <f t="shared" si="160"/>
        <v/>
      </c>
      <c r="Y344" s="581"/>
      <c r="Z344" s="251" t="str">
        <f t="shared" si="143"/>
        <v/>
      </c>
      <c r="AA344" s="138" t="str">
        <f t="shared" si="168"/>
        <v/>
      </c>
      <c r="AB344" s="243" t="str">
        <f t="shared" si="161"/>
        <v/>
      </c>
      <c r="AC344" s="141" t="str">
        <f t="shared" si="144"/>
        <v/>
      </c>
      <c r="AD344" s="138" t="str">
        <f t="shared" si="162"/>
        <v/>
      </c>
      <c r="AE344" s="243" t="str">
        <f t="shared" si="145"/>
        <v/>
      </c>
      <c r="AF344" s="342" t="str">
        <f>IF(AM344="Row Not Used","",INDEX(SpaceTable[Annual Hours],(MATCH(B344,SpaceTable[Space Name Concatenated Helper],0))))</f>
        <v/>
      </c>
      <c r="AG344" s="205" t="str">
        <f t="shared" si="146"/>
        <v/>
      </c>
      <c r="AH344" s="234" t="str">
        <f t="shared" si="147"/>
        <v/>
      </c>
      <c r="AI344" s="205" t="str">
        <f t="shared" si="148"/>
        <v/>
      </c>
      <c r="AJ344" s="234" t="str">
        <f t="shared" si="149"/>
        <v/>
      </c>
      <c r="AK344" s="144" t="str">
        <f>IF(AM344="Row Not Used","",INDEX(SpaceTable[Row],(MATCH(B344,SpaceTable[Space Name Concatenated Helper],0))))</f>
        <v/>
      </c>
      <c r="AL344" s="238" t="str">
        <f>IF(AM344="Row Not Used","",INDEX(SpaceTable[HVAC Factor],(MATCH(B344,SpaceTable[Space Name Concatenated Helper],0))))</f>
        <v/>
      </c>
      <c r="AM344" s="520" t="str">
        <f t="shared" si="150"/>
        <v>Row Not Used</v>
      </c>
      <c r="AN344" s="512" t="e" cm="1">
        <f t="array" ref="AN344">INDEX(BallastFactorTable[Ballast Factor],MATCH(1,(BallastFactorTable[Fixture Class]=D344)*(BallastFactorTable[Fixture Category]=E344)*(BallastFactorTable[Fixture Sub-category]=F344),0))</f>
        <v>#N/A</v>
      </c>
      <c r="AO344" s="143" t="str">
        <f t="shared" si="163"/>
        <v/>
      </c>
      <c r="AP344" s="501" t="e" cm="1">
        <f t="array" ref="AP344">INDEX(BallastFactorTable[Wattage Range Name],MATCH(1,(BallastFactorTable[Fixture Class]=D344)*(BallastFactorTable[Fixture Category]=E344)*(BallastFactorTable[Fixture Sub-category]=F344),0))</f>
        <v>#N/A</v>
      </c>
      <c r="AQ344" s="515" t="str">
        <f t="shared" ca="1" si="151"/>
        <v>Okay</v>
      </c>
      <c r="AR344" s="512">
        <f t="shared" si="152"/>
        <v>0</v>
      </c>
      <c r="AS344" s="511" t="str">
        <f>IF(OR(Measures!AM344="Row Not Used",Measures!C344="Controls Only",Measures!C344="Decommissioning"),"",_xlfn.CONCAT(P344," ",Q344))</f>
        <v/>
      </c>
      <c r="AT344" s="264" t="str">
        <f t="shared" si="153"/>
        <v>None</v>
      </c>
      <c r="AU344" s="229">
        <f>IF(OR(AM344="Row Not Used",AM344="Controls Only"),0,INDEX(IncentiveRateTable[Incentive Rate],MATCH(AT344,IncentiveRateTable[Incentive Name],0)))</f>
        <v>0</v>
      </c>
      <c r="AV344" s="133" t="str">
        <f>IF(OR(AM344="Row Not Used",AM344="Controls Only"),"None",INDEX(IncentiveRateTable[Incentive Unit],MATCH(AT344,IncentiveRateTable[Incentive Name],0)))</f>
        <v>None</v>
      </c>
      <c r="AW344" s="578">
        <f t="shared" si="164"/>
        <v>0</v>
      </c>
      <c r="AX344" s="264" t="str">
        <f t="shared" si="154"/>
        <v>None</v>
      </c>
      <c r="AY344" s="229">
        <f>IF(OR(AM344="Row Not Used",AM344="Fixtures Only",AM344="Decommissioning"),0,INDEX(IncentiveRateTable[Incentive Rate],MATCH(AX344,IncentiveRateTable[Incentive Name],0)))</f>
        <v>0</v>
      </c>
      <c r="AZ344" s="133" t="str">
        <f>IF(OR(AM344="Row Not Used",AM344="Fixtures Only",AM344="Decommissioning"),"None",INDEX(IncentiveRateTable[Incentive Unit],MATCH(AX344,IncentiveRateTable[Incentive Name],0)))</f>
        <v>None</v>
      </c>
      <c r="BA344" s="465">
        <f t="shared" si="155"/>
        <v>0</v>
      </c>
      <c r="BB344" s="264" t="e" cm="1">
        <f t="array" ref="BB344">INDEX(BallastFactorTable[Commercial BPA Reference Number],MATCH(1,(BallastFactorTable[Fixture Class]=J344)*(BallastFactorTable[Fixture Category]=K344)*(BallastFactorTable[Fixture Sub-category]=L344),0))</f>
        <v>#N/A</v>
      </c>
      <c r="BC344" s="133" t="e" cm="1">
        <f t="array" ref="BC344">INDEX(BallastFactorTable[Industrial BPA Reference Number],MATCH(1,(BallastFactorTable[Fixture Class]=J344)*(BallastFactorTable[Fixture Category]=K344)*(BallastFactorTable[Fixture Sub-category]=L344),0))</f>
        <v>#N/A</v>
      </c>
      <c r="BD344" s="264" t="str">
        <f t="shared" si="156"/>
        <v>Sector is blank</v>
      </c>
      <c r="BE344" s="269" t="str">
        <f>IF(ISBLANK(SectorField),"Sector is blank",IF(AM344="Row Not Used","",IF(OR(R344="No Controls",ISBLANK(R344)),"",INDEX(ControlsBPARefNoTable[Reference Number],MATCH(SectorField,ControlsBPARefNoTable[Sector],0)))))</f>
        <v>Sector is blank</v>
      </c>
      <c r="BF344" s="530" t="str">
        <f t="shared" si="157"/>
        <v/>
      </c>
      <c r="BG344" s="132" t="str">
        <f t="shared" si="158"/>
        <v/>
      </c>
      <c r="BH344" s="531" t="str">
        <f t="shared" si="159"/>
        <v/>
      </c>
      <c r="BI344" s="532"/>
      <c r="BJ344" s="538" t="str">
        <f t="shared" si="165"/>
        <v/>
      </c>
      <c r="BK344" s="539" t="str">
        <f t="shared" si="166"/>
        <v/>
      </c>
      <c r="BL344" s="547" t="str">
        <f t="shared" si="167"/>
        <v/>
      </c>
    </row>
    <row r="345" spans="1:64" x14ac:dyDescent="0.3">
      <c r="A345" s="133">
        <v>338</v>
      </c>
      <c r="B345" s="294"/>
      <c r="C345" s="313"/>
      <c r="D345" s="292"/>
      <c r="E345" s="284"/>
      <c r="F345" s="284"/>
      <c r="G345" s="295"/>
      <c r="H345" s="296"/>
      <c r="I345" s="297"/>
      <c r="J345" s="292"/>
      <c r="K345" s="284"/>
      <c r="L345" s="284"/>
      <c r="M345" s="295"/>
      <c r="N345" s="296"/>
      <c r="O345" s="296"/>
      <c r="P345" s="284"/>
      <c r="Q345" s="298"/>
      <c r="R345" s="292"/>
      <c r="S345" s="299"/>
      <c r="T345" s="300"/>
      <c r="U345" s="317" t="str">
        <f t="shared" si="141"/>
        <v/>
      </c>
      <c r="V345" s="301"/>
      <c r="W345" s="136" t="str">
        <f t="shared" si="142"/>
        <v/>
      </c>
      <c r="X345" s="588" t="str">
        <f t="shared" si="160"/>
        <v/>
      </c>
      <c r="Y345" s="580"/>
      <c r="Z345" s="251" t="str">
        <f t="shared" si="143"/>
        <v/>
      </c>
      <c r="AA345" s="138" t="str">
        <f t="shared" si="168"/>
        <v/>
      </c>
      <c r="AB345" s="243" t="str">
        <f t="shared" si="161"/>
        <v/>
      </c>
      <c r="AC345" s="141" t="str">
        <f t="shared" si="144"/>
        <v/>
      </c>
      <c r="AD345" s="138" t="str">
        <f t="shared" si="162"/>
        <v/>
      </c>
      <c r="AE345" s="243" t="str">
        <f t="shared" si="145"/>
        <v/>
      </c>
      <c r="AF345" s="342" t="str">
        <f>IF(AM345="Row Not Used","",INDEX(SpaceTable[Annual Hours],(MATCH(B345,SpaceTable[Space Name Concatenated Helper],0))))</f>
        <v/>
      </c>
      <c r="AG345" s="205" t="str">
        <f t="shared" si="146"/>
        <v/>
      </c>
      <c r="AH345" s="234" t="str">
        <f t="shared" si="147"/>
        <v/>
      </c>
      <c r="AI345" s="205" t="str">
        <f t="shared" si="148"/>
        <v/>
      </c>
      <c r="AJ345" s="234" t="str">
        <f t="shared" si="149"/>
        <v/>
      </c>
      <c r="AK345" s="144" t="str">
        <f>IF(AM345="Row Not Used","",INDEX(SpaceTable[Row],(MATCH(B345,SpaceTable[Space Name Concatenated Helper],0))))</f>
        <v/>
      </c>
      <c r="AL345" s="238" t="str">
        <f>IF(AM345="Row Not Used","",INDEX(SpaceTable[HVAC Factor],(MATCH(B345,SpaceTable[Space Name Concatenated Helper],0))))</f>
        <v/>
      </c>
      <c r="AM345" s="520" t="str">
        <f t="shared" si="150"/>
        <v>Row Not Used</v>
      </c>
      <c r="AN345" s="512" t="e" cm="1">
        <f t="array" ref="AN345">INDEX(BallastFactorTable[Ballast Factor],MATCH(1,(BallastFactorTable[Fixture Class]=D345)*(BallastFactorTable[Fixture Category]=E345)*(BallastFactorTable[Fixture Sub-category]=F345),0))</f>
        <v>#N/A</v>
      </c>
      <c r="AO345" s="143" t="str">
        <f t="shared" si="163"/>
        <v/>
      </c>
      <c r="AP345" s="501" t="e" cm="1">
        <f t="array" ref="AP345">INDEX(BallastFactorTable[Wattage Range Name],MATCH(1,(BallastFactorTable[Fixture Class]=D345)*(BallastFactorTable[Fixture Category]=E345)*(BallastFactorTable[Fixture Sub-category]=F345),0))</f>
        <v>#N/A</v>
      </c>
      <c r="AQ345" s="515" t="str">
        <f t="shared" ca="1" si="151"/>
        <v>Okay</v>
      </c>
      <c r="AR345" s="512">
        <f t="shared" si="152"/>
        <v>0</v>
      </c>
      <c r="AS345" s="511" t="str">
        <f>IF(OR(Measures!AM345="Row Not Used",Measures!C345="Controls Only",Measures!C345="Decommissioning"),"",_xlfn.CONCAT(P345," ",Q345))</f>
        <v/>
      </c>
      <c r="AT345" s="264" t="str">
        <f t="shared" si="153"/>
        <v>None</v>
      </c>
      <c r="AU345" s="229">
        <f>IF(OR(AM345="Row Not Used",AM345="Controls Only"),0,INDEX(IncentiveRateTable[Incentive Rate],MATCH(AT345,IncentiveRateTable[Incentive Name],0)))</f>
        <v>0</v>
      </c>
      <c r="AV345" s="133" t="str">
        <f>IF(OR(AM345="Row Not Used",AM345="Controls Only"),"None",INDEX(IncentiveRateTable[Incentive Unit],MATCH(AT345,IncentiveRateTable[Incentive Name],0)))</f>
        <v>None</v>
      </c>
      <c r="AW345" s="578">
        <f t="shared" si="164"/>
        <v>0</v>
      </c>
      <c r="AX345" s="264" t="str">
        <f t="shared" si="154"/>
        <v>None</v>
      </c>
      <c r="AY345" s="229">
        <f>IF(OR(AM345="Row Not Used",AM345="Fixtures Only",AM345="Decommissioning"),0,INDEX(IncentiveRateTable[Incentive Rate],MATCH(AX345,IncentiveRateTable[Incentive Name],0)))</f>
        <v>0</v>
      </c>
      <c r="AZ345" s="133" t="str">
        <f>IF(OR(AM345="Row Not Used",AM345="Fixtures Only",AM345="Decommissioning"),"None",INDEX(IncentiveRateTable[Incentive Unit],MATCH(AX345,IncentiveRateTable[Incentive Name],0)))</f>
        <v>None</v>
      </c>
      <c r="BA345" s="465">
        <f t="shared" si="155"/>
        <v>0</v>
      </c>
      <c r="BB345" s="264" t="e" cm="1">
        <f t="array" ref="BB345">INDEX(BallastFactorTable[Commercial BPA Reference Number],MATCH(1,(BallastFactorTable[Fixture Class]=J345)*(BallastFactorTable[Fixture Category]=K345)*(BallastFactorTable[Fixture Sub-category]=L345),0))</f>
        <v>#N/A</v>
      </c>
      <c r="BC345" s="133" t="e" cm="1">
        <f t="array" ref="BC345">INDEX(BallastFactorTable[Industrial BPA Reference Number],MATCH(1,(BallastFactorTable[Fixture Class]=J345)*(BallastFactorTable[Fixture Category]=K345)*(BallastFactorTable[Fixture Sub-category]=L345),0))</f>
        <v>#N/A</v>
      </c>
      <c r="BD345" s="264" t="str">
        <f t="shared" si="156"/>
        <v>Sector is blank</v>
      </c>
      <c r="BE345" s="269" t="str">
        <f>IF(ISBLANK(SectorField),"Sector is blank",IF(AM345="Row Not Used","",IF(OR(R345="No Controls",ISBLANK(R345)),"",INDEX(ControlsBPARefNoTable[Reference Number],MATCH(SectorField,ControlsBPARefNoTable[Sector],0)))))</f>
        <v>Sector is blank</v>
      </c>
      <c r="BF345" s="530" t="str">
        <f t="shared" si="157"/>
        <v/>
      </c>
      <c r="BG345" s="132" t="str">
        <f t="shared" si="158"/>
        <v/>
      </c>
      <c r="BH345" s="531" t="str">
        <f t="shared" si="159"/>
        <v/>
      </c>
      <c r="BI345" s="532"/>
      <c r="BJ345" s="538" t="str">
        <f t="shared" si="165"/>
        <v/>
      </c>
      <c r="BK345" s="539" t="str">
        <f t="shared" si="166"/>
        <v/>
      </c>
      <c r="BL345" s="547" t="str">
        <f t="shared" si="167"/>
        <v/>
      </c>
    </row>
    <row r="346" spans="1:64" x14ac:dyDescent="0.3">
      <c r="A346" s="133">
        <v>339</v>
      </c>
      <c r="B346" s="294"/>
      <c r="C346" s="313"/>
      <c r="D346" s="292"/>
      <c r="E346" s="284"/>
      <c r="F346" s="284"/>
      <c r="G346" s="295"/>
      <c r="H346" s="296"/>
      <c r="I346" s="297"/>
      <c r="J346" s="292"/>
      <c r="K346" s="284"/>
      <c r="L346" s="284"/>
      <c r="M346" s="295"/>
      <c r="N346" s="296"/>
      <c r="O346" s="296"/>
      <c r="P346" s="284"/>
      <c r="Q346" s="298"/>
      <c r="R346" s="292"/>
      <c r="S346" s="299"/>
      <c r="T346" s="300"/>
      <c r="U346" s="317" t="str">
        <f t="shared" si="141"/>
        <v/>
      </c>
      <c r="V346" s="301"/>
      <c r="W346" s="137" t="str">
        <f t="shared" si="142"/>
        <v/>
      </c>
      <c r="X346" s="589" t="str">
        <f t="shared" si="160"/>
        <v/>
      </c>
      <c r="Y346" s="581"/>
      <c r="Z346" s="251" t="str">
        <f t="shared" si="143"/>
        <v/>
      </c>
      <c r="AA346" s="138" t="str">
        <f t="shared" si="168"/>
        <v/>
      </c>
      <c r="AB346" s="243" t="str">
        <f t="shared" si="161"/>
        <v/>
      </c>
      <c r="AC346" s="141" t="str">
        <f t="shared" si="144"/>
        <v/>
      </c>
      <c r="AD346" s="138" t="str">
        <f t="shared" si="162"/>
        <v/>
      </c>
      <c r="AE346" s="243" t="str">
        <f t="shared" si="145"/>
        <v/>
      </c>
      <c r="AF346" s="342" t="str">
        <f>IF(AM346="Row Not Used","",INDEX(SpaceTable[Annual Hours],(MATCH(B346,SpaceTable[Space Name Concatenated Helper],0))))</f>
        <v/>
      </c>
      <c r="AG346" s="205" t="str">
        <f t="shared" si="146"/>
        <v/>
      </c>
      <c r="AH346" s="234" t="str">
        <f t="shared" si="147"/>
        <v/>
      </c>
      <c r="AI346" s="205" t="str">
        <f t="shared" si="148"/>
        <v/>
      </c>
      <c r="AJ346" s="234" t="str">
        <f t="shared" si="149"/>
        <v/>
      </c>
      <c r="AK346" s="144" t="str">
        <f>IF(AM346="Row Not Used","",INDEX(SpaceTable[Row],(MATCH(B346,SpaceTable[Space Name Concatenated Helper],0))))</f>
        <v/>
      </c>
      <c r="AL346" s="238" t="str">
        <f>IF(AM346="Row Not Used","",INDEX(SpaceTable[HVAC Factor],(MATCH(B346,SpaceTable[Space Name Concatenated Helper],0))))</f>
        <v/>
      </c>
      <c r="AM346" s="520" t="str">
        <f t="shared" si="150"/>
        <v>Row Not Used</v>
      </c>
      <c r="AN346" s="512" t="e" cm="1">
        <f t="array" ref="AN346">INDEX(BallastFactorTable[Ballast Factor],MATCH(1,(BallastFactorTable[Fixture Class]=D346)*(BallastFactorTable[Fixture Category]=E346)*(BallastFactorTable[Fixture Sub-category]=F346),0))</f>
        <v>#N/A</v>
      </c>
      <c r="AO346" s="143" t="str">
        <f t="shared" si="163"/>
        <v/>
      </c>
      <c r="AP346" s="501" t="e" cm="1">
        <f t="array" ref="AP346">INDEX(BallastFactorTable[Wattage Range Name],MATCH(1,(BallastFactorTable[Fixture Class]=D346)*(BallastFactorTable[Fixture Category]=E346)*(BallastFactorTable[Fixture Sub-category]=F346),0))</f>
        <v>#N/A</v>
      </c>
      <c r="AQ346" s="515" t="str">
        <f t="shared" ca="1" si="151"/>
        <v>Okay</v>
      </c>
      <c r="AR346" s="512">
        <f t="shared" si="152"/>
        <v>0</v>
      </c>
      <c r="AS346" s="511" t="str">
        <f>IF(OR(Measures!AM346="Row Not Used",Measures!C346="Controls Only",Measures!C346="Decommissioning"),"",_xlfn.CONCAT(P346," ",Q346))</f>
        <v/>
      </c>
      <c r="AT346" s="264" t="str">
        <f t="shared" si="153"/>
        <v>None</v>
      </c>
      <c r="AU346" s="229">
        <f>IF(OR(AM346="Row Not Used",AM346="Controls Only"),0,INDEX(IncentiveRateTable[Incentive Rate],MATCH(AT346,IncentiveRateTable[Incentive Name],0)))</f>
        <v>0</v>
      </c>
      <c r="AV346" s="133" t="str">
        <f>IF(OR(AM346="Row Not Used",AM346="Controls Only"),"None",INDEX(IncentiveRateTable[Incentive Unit],MATCH(AT346,IncentiveRateTable[Incentive Name],0)))</f>
        <v>None</v>
      </c>
      <c r="AW346" s="578">
        <f t="shared" si="164"/>
        <v>0</v>
      </c>
      <c r="AX346" s="264" t="str">
        <f t="shared" si="154"/>
        <v>None</v>
      </c>
      <c r="AY346" s="229">
        <f>IF(OR(AM346="Row Not Used",AM346="Fixtures Only",AM346="Decommissioning"),0,INDEX(IncentiveRateTable[Incentive Rate],MATCH(AX346,IncentiveRateTable[Incentive Name],0)))</f>
        <v>0</v>
      </c>
      <c r="AZ346" s="133" t="str">
        <f>IF(OR(AM346="Row Not Used",AM346="Fixtures Only",AM346="Decommissioning"),"None",INDEX(IncentiveRateTable[Incentive Unit],MATCH(AX346,IncentiveRateTable[Incentive Name],0)))</f>
        <v>None</v>
      </c>
      <c r="BA346" s="465">
        <f t="shared" si="155"/>
        <v>0</v>
      </c>
      <c r="BB346" s="264" t="e" cm="1">
        <f t="array" ref="BB346">INDEX(BallastFactorTable[Commercial BPA Reference Number],MATCH(1,(BallastFactorTable[Fixture Class]=J346)*(BallastFactorTable[Fixture Category]=K346)*(BallastFactorTable[Fixture Sub-category]=L346),0))</f>
        <v>#N/A</v>
      </c>
      <c r="BC346" s="133" t="e" cm="1">
        <f t="array" ref="BC346">INDEX(BallastFactorTable[Industrial BPA Reference Number],MATCH(1,(BallastFactorTable[Fixture Class]=J346)*(BallastFactorTable[Fixture Category]=K346)*(BallastFactorTable[Fixture Sub-category]=L346),0))</f>
        <v>#N/A</v>
      </c>
      <c r="BD346" s="264" t="str">
        <f t="shared" si="156"/>
        <v>Sector is blank</v>
      </c>
      <c r="BE346" s="269" t="str">
        <f>IF(ISBLANK(SectorField),"Sector is blank",IF(AM346="Row Not Used","",IF(OR(R346="No Controls",ISBLANK(R346)),"",INDEX(ControlsBPARefNoTable[Reference Number],MATCH(SectorField,ControlsBPARefNoTable[Sector],0)))))</f>
        <v>Sector is blank</v>
      </c>
      <c r="BF346" s="530" t="str">
        <f t="shared" si="157"/>
        <v/>
      </c>
      <c r="BG346" s="132" t="str">
        <f t="shared" si="158"/>
        <v/>
      </c>
      <c r="BH346" s="531" t="str">
        <f t="shared" si="159"/>
        <v/>
      </c>
      <c r="BI346" s="532"/>
      <c r="BJ346" s="538" t="str">
        <f t="shared" si="165"/>
        <v/>
      </c>
      <c r="BK346" s="539" t="str">
        <f t="shared" si="166"/>
        <v/>
      </c>
      <c r="BL346" s="547" t="str">
        <f t="shared" si="167"/>
        <v/>
      </c>
    </row>
    <row r="347" spans="1:64" x14ac:dyDescent="0.3">
      <c r="A347" s="133">
        <v>340</v>
      </c>
      <c r="B347" s="294"/>
      <c r="C347" s="313"/>
      <c r="D347" s="292"/>
      <c r="E347" s="284"/>
      <c r="F347" s="284"/>
      <c r="G347" s="295"/>
      <c r="H347" s="296"/>
      <c r="I347" s="297"/>
      <c r="J347" s="292"/>
      <c r="K347" s="284"/>
      <c r="L347" s="284"/>
      <c r="M347" s="295"/>
      <c r="N347" s="296"/>
      <c r="O347" s="296"/>
      <c r="P347" s="284"/>
      <c r="Q347" s="298"/>
      <c r="R347" s="292"/>
      <c r="S347" s="299"/>
      <c r="T347" s="300"/>
      <c r="U347" s="317" t="str">
        <f t="shared" si="141"/>
        <v/>
      </c>
      <c r="V347" s="301"/>
      <c r="W347" s="136" t="str">
        <f t="shared" si="142"/>
        <v/>
      </c>
      <c r="X347" s="588" t="str">
        <f t="shared" si="160"/>
        <v/>
      </c>
      <c r="Y347" s="580"/>
      <c r="Z347" s="251" t="str">
        <f t="shared" si="143"/>
        <v/>
      </c>
      <c r="AA347" s="138" t="str">
        <f t="shared" si="168"/>
        <v/>
      </c>
      <c r="AB347" s="243" t="str">
        <f t="shared" si="161"/>
        <v/>
      </c>
      <c r="AC347" s="141" t="str">
        <f t="shared" si="144"/>
        <v/>
      </c>
      <c r="AD347" s="138" t="str">
        <f t="shared" si="162"/>
        <v/>
      </c>
      <c r="AE347" s="243" t="str">
        <f t="shared" si="145"/>
        <v/>
      </c>
      <c r="AF347" s="342" t="str">
        <f>IF(AM347="Row Not Used","",INDEX(SpaceTable[Annual Hours],(MATCH(B347,SpaceTable[Space Name Concatenated Helper],0))))</f>
        <v/>
      </c>
      <c r="AG347" s="205" t="str">
        <f t="shared" si="146"/>
        <v/>
      </c>
      <c r="AH347" s="234" t="str">
        <f t="shared" si="147"/>
        <v/>
      </c>
      <c r="AI347" s="205" t="str">
        <f t="shared" si="148"/>
        <v/>
      </c>
      <c r="AJ347" s="234" t="str">
        <f t="shared" si="149"/>
        <v/>
      </c>
      <c r="AK347" s="144" t="str">
        <f>IF(AM347="Row Not Used","",INDEX(SpaceTable[Row],(MATCH(B347,SpaceTable[Space Name Concatenated Helper],0))))</f>
        <v/>
      </c>
      <c r="AL347" s="238" t="str">
        <f>IF(AM347="Row Not Used","",INDEX(SpaceTable[HVAC Factor],(MATCH(B347,SpaceTable[Space Name Concatenated Helper],0))))</f>
        <v/>
      </c>
      <c r="AM347" s="520" t="str">
        <f t="shared" si="150"/>
        <v>Row Not Used</v>
      </c>
      <c r="AN347" s="512" t="e" cm="1">
        <f t="array" ref="AN347">INDEX(BallastFactorTable[Ballast Factor],MATCH(1,(BallastFactorTable[Fixture Class]=D347)*(BallastFactorTable[Fixture Category]=E347)*(BallastFactorTable[Fixture Sub-category]=F347),0))</f>
        <v>#N/A</v>
      </c>
      <c r="AO347" s="143" t="str">
        <f t="shared" si="163"/>
        <v/>
      </c>
      <c r="AP347" s="501" t="e" cm="1">
        <f t="array" ref="AP347">INDEX(BallastFactorTable[Wattage Range Name],MATCH(1,(BallastFactorTable[Fixture Class]=D347)*(BallastFactorTable[Fixture Category]=E347)*(BallastFactorTable[Fixture Sub-category]=F347),0))</f>
        <v>#N/A</v>
      </c>
      <c r="AQ347" s="515" t="str">
        <f t="shared" ca="1" si="151"/>
        <v>Okay</v>
      </c>
      <c r="AR347" s="512">
        <f t="shared" si="152"/>
        <v>0</v>
      </c>
      <c r="AS347" s="511" t="str">
        <f>IF(OR(Measures!AM347="Row Not Used",Measures!C347="Controls Only",Measures!C347="Decommissioning"),"",_xlfn.CONCAT(P347," ",Q347))</f>
        <v/>
      </c>
      <c r="AT347" s="264" t="str">
        <f t="shared" si="153"/>
        <v>None</v>
      </c>
      <c r="AU347" s="229">
        <f>IF(OR(AM347="Row Not Used",AM347="Controls Only"),0,INDEX(IncentiveRateTable[Incentive Rate],MATCH(AT347,IncentiveRateTable[Incentive Name],0)))</f>
        <v>0</v>
      </c>
      <c r="AV347" s="133" t="str">
        <f>IF(OR(AM347="Row Not Used",AM347="Controls Only"),"None",INDEX(IncentiveRateTable[Incentive Unit],MATCH(AT347,IncentiveRateTable[Incentive Name],0)))</f>
        <v>None</v>
      </c>
      <c r="AW347" s="578">
        <f t="shared" si="164"/>
        <v>0</v>
      </c>
      <c r="AX347" s="264" t="str">
        <f t="shared" si="154"/>
        <v>None</v>
      </c>
      <c r="AY347" s="229">
        <f>IF(OR(AM347="Row Not Used",AM347="Fixtures Only",AM347="Decommissioning"),0,INDEX(IncentiveRateTable[Incentive Rate],MATCH(AX347,IncentiveRateTable[Incentive Name],0)))</f>
        <v>0</v>
      </c>
      <c r="AZ347" s="133" t="str">
        <f>IF(OR(AM347="Row Not Used",AM347="Fixtures Only",AM347="Decommissioning"),"None",INDEX(IncentiveRateTable[Incentive Unit],MATCH(AX347,IncentiveRateTable[Incentive Name],0)))</f>
        <v>None</v>
      </c>
      <c r="BA347" s="465">
        <f t="shared" si="155"/>
        <v>0</v>
      </c>
      <c r="BB347" s="264" t="e" cm="1">
        <f t="array" ref="BB347">INDEX(BallastFactorTable[Commercial BPA Reference Number],MATCH(1,(BallastFactorTable[Fixture Class]=J347)*(BallastFactorTable[Fixture Category]=K347)*(BallastFactorTable[Fixture Sub-category]=L347),0))</f>
        <v>#N/A</v>
      </c>
      <c r="BC347" s="133" t="e" cm="1">
        <f t="array" ref="BC347">INDEX(BallastFactorTable[Industrial BPA Reference Number],MATCH(1,(BallastFactorTable[Fixture Class]=J347)*(BallastFactorTable[Fixture Category]=K347)*(BallastFactorTable[Fixture Sub-category]=L347),0))</f>
        <v>#N/A</v>
      </c>
      <c r="BD347" s="264" t="str">
        <f t="shared" si="156"/>
        <v>Sector is blank</v>
      </c>
      <c r="BE347" s="269" t="str">
        <f>IF(ISBLANK(SectorField),"Sector is blank",IF(AM347="Row Not Used","",IF(OR(R347="No Controls",ISBLANK(R347)),"",INDEX(ControlsBPARefNoTable[Reference Number],MATCH(SectorField,ControlsBPARefNoTable[Sector],0)))))</f>
        <v>Sector is blank</v>
      </c>
      <c r="BF347" s="530" t="str">
        <f t="shared" si="157"/>
        <v/>
      </c>
      <c r="BG347" s="132" t="str">
        <f t="shared" si="158"/>
        <v/>
      </c>
      <c r="BH347" s="531" t="str">
        <f t="shared" si="159"/>
        <v/>
      </c>
      <c r="BI347" s="532"/>
      <c r="BJ347" s="538" t="str">
        <f t="shared" si="165"/>
        <v/>
      </c>
      <c r="BK347" s="539" t="str">
        <f t="shared" si="166"/>
        <v/>
      </c>
      <c r="BL347" s="547" t="str">
        <f t="shared" si="167"/>
        <v/>
      </c>
    </row>
    <row r="348" spans="1:64" x14ac:dyDescent="0.3">
      <c r="A348" s="133">
        <v>341</v>
      </c>
      <c r="B348" s="294"/>
      <c r="C348" s="313"/>
      <c r="D348" s="292"/>
      <c r="E348" s="284"/>
      <c r="F348" s="284"/>
      <c r="G348" s="295"/>
      <c r="H348" s="296"/>
      <c r="I348" s="297"/>
      <c r="J348" s="292"/>
      <c r="K348" s="284"/>
      <c r="L348" s="284"/>
      <c r="M348" s="295"/>
      <c r="N348" s="296"/>
      <c r="O348" s="296"/>
      <c r="P348" s="284"/>
      <c r="Q348" s="298"/>
      <c r="R348" s="292"/>
      <c r="S348" s="299"/>
      <c r="T348" s="300"/>
      <c r="U348" s="317" t="str">
        <f t="shared" si="141"/>
        <v/>
      </c>
      <c r="V348" s="301"/>
      <c r="W348" s="137" t="str">
        <f t="shared" si="142"/>
        <v/>
      </c>
      <c r="X348" s="589" t="str">
        <f t="shared" si="160"/>
        <v/>
      </c>
      <c r="Y348" s="581"/>
      <c r="Z348" s="251" t="str">
        <f t="shared" si="143"/>
        <v/>
      </c>
      <c r="AA348" s="138" t="str">
        <f t="shared" si="168"/>
        <v/>
      </c>
      <c r="AB348" s="243" t="str">
        <f t="shared" si="161"/>
        <v/>
      </c>
      <c r="AC348" s="141" t="str">
        <f t="shared" si="144"/>
        <v/>
      </c>
      <c r="AD348" s="138" t="str">
        <f t="shared" si="162"/>
        <v/>
      </c>
      <c r="AE348" s="243" t="str">
        <f t="shared" si="145"/>
        <v/>
      </c>
      <c r="AF348" s="342" t="str">
        <f>IF(AM348="Row Not Used","",INDEX(SpaceTable[Annual Hours],(MATCH(B348,SpaceTable[Space Name Concatenated Helper],0))))</f>
        <v/>
      </c>
      <c r="AG348" s="205" t="str">
        <f t="shared" si="146"/>
        <v/>
      </c>
      <c r="AH348" s="234" t="str">
        <f t="shared" si="147"/>
        <v/>
      </c>
      <c r="AI348" s="205" t="str">
        <f t="shared" si="148"/>
        <v/>
      </c>
      <c r="AJ348" s="234" t="str">
        <f t="shared" si="149"/>
        <v/>
      </c>
      <c r="AK348" s="144" t="str">
        <f>IF(AM348="Row Not Used","",INDEX(SpaceTable[Row],(MATCH(B348,SpaceTable[Space Name Concatenated Helper],0))))</f>
        <v/>
      </c>
      <c r="AL348" s="238" t="str">
        <f>IF(AM348="Row Not Used","",INDEX(SpaceTable[HVAC Factor],(MATCH(B348,SpaceTable[Space Name Concatenated Helper],0))))</f>
        <v/>
      </c>
      <c r="AM348" s="520" t="str">
        <f t="shared" si="150"/>
        <v>Row Not Used</v>
      </c>
      <c r="AN348" s="512" t="e" cm="1">
        <f t="array" ref="AN348">INDEX(BallastFactorTable[Ballast Factor],MATCH(1,(BallastFactorTable[Fixture Class]=D348)*(BallastFactorTable[Fixture Category]=E348)*(BallastFactorTable[Fixture Sub-category]=F348),0))</f>
        <v>#N/A</v>
      </c>
      <c r="AO348" s="143" t="str">
        <f t="shared" si="163"/>
        <v/>
      </c>
      <c r="AP348" s="501" t="e" cm="1">
        <f t="array" ref="AP348">INDEX(BallastFactorTable[Wattage Range Name],MATCH(1,(BallastFactorTable[Fixture Class]=D348)*(BallastFactorTable[Fixture Category]=E348)*(BallastFactorTable[Fixture Sub-category]=F348),0))</f>
        <v>#N/A</v>
      </c>
      <c r="AQ348" s="515" t="str">
        <f t="shared" ca="1" si="151"/>
        <v>Okay</v>
      </c>
      <c r="AR348" s="512">
        <f t="shared" si="152"/>
        <v>0</v>
      </c>
      <c r="AS348" s="511" t="str">
        <f>IF(OR(Measures!AM348="Row Not Used",Measures!C348="Controls Only",Measures!C348="Decommissioning"),"",_xlfn.CONCAT(P348," ",Q348))</f>
        <v/>
      </c>
      <c r="AT348" s="264" t="str">
        <f t="shared" si="153"/>
        <v>None</v>
      </c>
      <c r="AU348" s="229">
        <f>IF(OR(AM348="Row Not Used",AM348="Controls Only"),0,INDEX(IncentiveRateTable[Incentive Rate],MATCH(AT348,IncentiveRateTable[Incentive Name],0)))</f>
        <v>0</v>
      </c>
      <c r="AV348" s="133" t="str">
        <f>IF(OR(AM348="Row Not Used",AM348="Controls Only"),"None",INDEX(IncentiveRateTable[Incentive Unit],MATCH(AT348,IncentiveRateTable[Incentive Name],0)))</f>
        <v>None</v>
      </c>
      <c r="AW348" s="578">
        <f t="shared" si="164"/>
        <v>0</v>
      </c>
      <c r="AX348" s="264" t="str">
        <f t="shared" si="154"/>
        <v>None</v>
      </c>
      <c r="AY348" s="229">
        <f>IF(OR(AM348="Row Not Used",AM348="Fixtures Only",AM348="Decommissioning"),0,INDEX(IncentiveRateTable[Incentive Rate],MATCH(AX348,IncentiveRateTable[Incentive Name],0)))</f>
        <v>0</v>
      </c>
      <c r="AZ348" s="133" t="str">
        <f>IF(OR(AM348="Row Not Used",AM348="Fixtures Only",AM348="Decommissioning"),"None",INDEX(IncentiveRateTable[Incentive Unit],MATCH(AX348,IncentiveRateTable[Incentive Name],0)))</f>
        <v>None</v>
      </c>
      <c r="BA348" s="465">
        <f t="shared" si="155"/>
        <v>0</v>
      </c>
      <c r="BB348" s="264" t="e" cm="1">
        <f t="array" ref="BB348">INDEX(BallastFactorTable[Commercial BPA Reference Number],MATCH(1,(BallastFactorTable[Fixture Class]=J348)*(BallastFactorTable[Fixture Category]=K348)*(BallastFactorTable[Fixture Sub-category]=L348),0))</f>
        <v>#N/A</v>
      </c>
      <c r="BC348" s="133" t="e" cm="1">
        <f t="array" ref="BC348">INDEX(BallastFactorTable[Industrial BPA Reference Number],MATCH(1,(BallastFactorTable[Fixture Class]=J348)*(BallastFactorTable[Fixture Category]=K348)*(BallastFactorTable[Fixture Sub-category]=L348),0))</f>
        <v>#N/A</v>
      </c>
      <c r="BD348" s="264" t="str">
        <f t="shared" si="156"/>
        <v>Sector is blank</v>
      </c>
      <c r="BE348" s="269" t="str">
        <f>IF(ISBLANK(SectorField),"Sector is blank",IF(AM348="Row Not Used","",IF(OR(R348="No Controls",ISBLANK(R348)),"",INDEX(ControlsBPARefNoTable[Reference Number],MATCH(SectorField,ControlsBPARefNoTable[Sector],0)))))</f>
        <v>Sector is blank</v>
      </c>
      <c r="BF348" s="530" t="str">
        <f t="shared" si="157"/>
        <v/>
      </c>
      <c r="BG348" s="132" t="str">
        <f t="shared" si="158"/>
        <v/>
      </c>
      <c r="BH348" s="531" t="str">
        <f t="shared" si="159"/>
        <v/>
      </c>
      <c r="BI348" s="532"/>
      <c r="BJ348" s="538" t="str">
        <f t="shared" si="165"/>
        <v/>
      </c>
      <c r="BK348" s="539" t="str">
        <f t="shared" si="166"/>
        <v/>
      </c>
      <c r="BL348" s="547" t="str">
        <f t="shared" si="167"/>
        <v/>
      </c>
    </row>
    <row r="349" spans="1:64" x14ac:dyDescent="0.3">
      <c r="A349" s="133">
        <v>342</v>
      </c>
      <c r="B349" s="294"/>
      <c r="C349" s="313"/>
      <c r="D349" s="292"/>
      <c r="E349" s="284"/>
      <c r="F349" s="284"/>
      <c r="G349" s="295"/>
      <c r="H349" s="296"/>
      <c r="I349" s="297"/>
      <c r="J349" s="292"/>
      <c r="K349" s="284"/>
      <c r="L349" s="284"/>
      <c r="M349" s="295"/>
      <c r="N349" s="296"/>
      <c r="O349" s="296"/>
      <c r="P349" s="284"/>
      <c r="Q349" s="298"/>
      <c r="R349" s="292"/>
      <c r="S349" s="299"/>
      <c r="T349" s="300"/>
      <c r="U349" s="317" t="str">
        <f t="shared" si="141"/>
        <v/>
      </c>
      <c r="V349" s="301"/>
      <c r="W349" s="136" t="str">
        <f t="shared" si="142"/>
        <v/>
      </c>
      <c r="X349" s="588" t="str">
        <f t="shared" si="160"/>
        <v/>
      </c>
      <c r="Y349" s="580"/>
      <c r="Z349" s="251" t="str">
        <f t="shared" si="143"/>
        <v/>
      </c>
      <c r="AA349" s="138" t="str">
        <f t="shared" si="168"/>
        <v/>
      </c>
      <c r="AB349" s="243" t="str">
        <f t="shared" si="161"/>
        <v/>
      </c>
      <c r="AC349" s="141" t="str">
        <f t="shared" si="144"/>
        <v/>
      </c>
      <c r="AD349" s="138" t="str">
        <f t="shared" si="162"/>
        <v/>
      </c>
      <c r="AE349" s="243" t="str">
        <f t="shared" si="145"/>
        <v/>
      </c>
      <c r="AF349" s="342" t="str">
        <f>IF(AM349="Row Not Used","",INDEX(SpaceTable[Annual Hours],(MATCH(B349,SpaceTable[Space Name Concatenated Helper],0))))</f>
        <v/>
      </c>
      <c r="AG349" s="205" t="str">
        <f t="shared" si="146"/>
        <v/>
      </c>
      <c r="AH349" s="234" t="str">
        <f t="shared" si="147"/>
        <v/>
      </c>
      <c r="AI349" s="205" t="str">
        <f t="shared" si="148"/>
        <v/>
      </c>
      <c r="AJ349" s="234" t="str">
        <f t="shared" si="149"/>
        <v/>
      </c>
      <c r="AK349" s="144" t="str">
        <f>IF(AM349="Row Not Used","",INDEX(SpaceTable[Row],(MATCH(B349,SpaceTable[Space Name Concatenated Helper],0))))</f>
        <v/>
      </c>
      <c r="AL349" s="238" t="str">
        <f>IF(AM349="Row Not Used","",INDEX(SpaceTable[HVAC Factor],(MATCH(B349,SpaceTable[Space Name Concatenated Helper],0))))</f>
        <v/>
      </c>
      <c r="AM349" s="520" t="str">
        <f t="shared" si="150"/>
        <v>Row Not Used</v>
      </c>
      <c r="AN349" s="512" t="e" cm="1">
        <f t="array" ref="AN349">INDEX(BallastFactorTable[Ballast Factor],MATCH(1,(BallastFactorTable[Fixture Class]=D349)*(BallastFactorTable[Fixture Category]=E349)*(BallastFactorTable[Fixture Sub-category]=F349),0))</f>
        <v>#N/A</v>
      </c>
      <c r="AO349" s="143" t="str">
        <f t="shared" si="163"/>
        <v/>
      </c>
      <c r="AP349" s="501" t="e" cm="1">
        <f t="array" ref="AP349">INDEX(BallastFactorTable[Wattage Range Name],MATCH(1,(BallastFactorTable[Fixture Class]=D349)*(BallastFactorTable[Fixture Category]=E349)*(BallastFactorTable[Fixture Sub-category]=F349),0))</f>
        <v>#N/A</v>
      </c>
      <c r="AQ349" s="515" t="str">
        <f t="shared" ca="1" si="151"/>
        <v>Okay</v>
      </c>
      <c r="AR349" s="512">
        <f t="shared" si="152"/>
        <v>0</v>
      </c>
      <c r="AS349" s="511" t="str">
        <f>IF(OR(Measures!AM349="Row Not Used",Measures!C349="Controls Only",Measures!C349="Decommissioning"),"",_xlfn.CONCAT(P349," ",Q349))</f>
        <v/>
      </c>
      <c r="AT349" s="264" t="str">
        <f t="shared" si="153"/>
        <v>None</v>
      </c>
      <c r="AU349" s="229">
        <f>IF(OR(AM349="Row Not Used",AM349="Controls Only"),0,INDEX(IncentiveRateTable[Incentive Rate],MATCH(AT349,IncentiveRateTable[Incentive Name],0)))</f>
        <v>0</v>
      </c>
      <c r="AV349" s="133" t="str">
        <f>IF(OR(AM349="Row Not Used",AM349="Controls Only"),"None",INDEX(IncentiveRateTable[Incentive Unit],MATCH(AT349,IncentiveRateTable[Incentive Name],0)))</f>
        <v>None</v>
      </c>
      <c r="AW349" s="578">
        <f t="shared" si="164"/>
        <v>0</v>
      </c>
      <c r="AX349" s="264" t="str">
        <f t="shared" si="154"/>
        <v>None</v>
      </c>
      <c r="AY349" s="229">
        <f>IF(OR(AM349="Row Not Used",AM349="Fixtures Only",AM349="Decommissioning"),0,INDEX(IncentiveRateTable[Incentive Rate],MATCH(AX349,IncentiveRateTable[Incentive Name],0)))</f>
        <v>0</v>
      </c>
      <c r="AZ349" s="133" t="str">
        <f>IF(OR(AM349="Row Not Used",AM349="Fixtures Only",AM349="Decommissioning"),"None",INDEX(IncentiveRateTable[Incentive Unit],MATCH(AX349,IncentiveRateTable[Incentive Name],0)))</f>
        <v>None</v>
      </c>
      <c r="BA349" s="465">
        <f t="shared" si="155"/>
        <v>0</v>
      </c>
      <c r="BB349" s="264" t="e" cm="1">
        <f t="array" ref="BB349">INDEX(BallastFactorTable[Commercial BPA Reference Number],MATCH(1,(BallastFactorTable[Fixture Class]=J349)*(BallastFactorTable[Fixture Category]=K349)*(BallastFactorTable[Fixture Sub-category]=L349),0))</f>
        <v>#N/A</v>
      </c>
      <c r="BC349" s="133" t="e" cm="1">
        <f t="array" ref="BC349">INDEX(BallastFactorTable[Industrial BPA Reference Number],MATCH(1,(BallastFactorTable[Fixture Class]=J349)*(BallastFactorTable[Fixture Category]=K349)*(BallastFactorTable[Fixture Sub-category]=L349),0))</f>
        <v>#N/A</v>
      </c>
      <c r="BD349" s="264" t="str">
        <f t="shared" si="156"/>
        <v>Sector is blank</v>
      </c>
      <c r="BE349" s="269" t="str">
        <f>IF(ISBLANK(SectorField),"Sector is blank",IF(AM349="Row Not Used","",IF(OR(R349="No Controls",ISBLANK(R349)),"",INDEX(ControlsBPARefNoTable[Reference Number],MATCH(SectorField,ControlsBPARefNoTable[Sector],0)))))</f>
        <v>Sector is blank</v>
      </c>
      <c r="BF349" s="530" t="str">
        <f t="shared" si="157"/>
        <v/>
      </c>
      <c r="BG349" s="132" t="str">
        <f t="shared" si="158"/>
        <v/>
      </c>
      <c r="BH349" s="531" t="str">
        <f t="shared" si="159"/>
        <v/>
      </c>
      <c r="BI349" s="532"/>
      <c r="BJ349" s="538" t="str">
        <f t="shared" si="165"/>
        <v/>
      </c>
      <c r="BK349" s="539" t="str">
        <f t="shared" si="166"/>
        <v/>
      </c>
      <c r="BL349" s="547" t="str">
        <f t="shared" si="167"/>
        <v/>
      </c>
    </row>
    <row r="350" spans="1:64" x14ac:dyDescent="0.3">
      <c r="A350" s="133">
        <v>343</v>
      </c>
      <c r="B350" s="294"/>
      <c r="C350" s="313"/>
      <c r="D350" s="292"/>
      <c r="E350" s="284"/>
      <c r="F350" s="284"/>
      <c r="G350" s="295"/>
      <c r="H350" s="296"/>
      <c r="I350" s="297"/>
      <c r="J350" s="292"/>
      <c r="K350" s="284"/>
      <c r="L350" s="284"/>
      <c r="M350" s="295"/>
      <c r="N350" s="296"/>
      <c r="O350" s="296"/>
      <c r="P350" s="284"/>
      <c r="Q350" s="298"/>
      <c r="R350" s="292"/>
      <c r="S350" s="299"/>
      <c r="T350" s="300"/>
      <c r="U350" s="317" t="str">
        <f t="shared" si="141"/>
        <v/>
      </c>
      <c r="V350" s="301"/>
      <c r="W350" s="137" t="str">
        <f t="shared" si="142"/>
        <v/>
      </c>
      <c r="X350" s="589" t="str">
        <f t="shared" si="160"/>
        <v/>
      </c>
      <c r="Y350" s="581"/>
      <c r="Z350" s="251" t="str">
        <f t="shared" si="143"/>
        <v/>
      </c>
      <c r="AA350" s="138" t="str">
        <f t="shared" si="168"/>
        <v/>
      </c>
      <c r="AB350" s="243" t="str">
        <f t="shared" si="161"/>
        <v/>
      </c>
      <c r="AC350" s="141" t="str">
        <f t="shared" si="144"/>
        <v/>
      </c>
      <c r="AD350" s="138" t="str">
        <f t="shared" si="162"/>
        <v/>
      </c>
      <c r="AE350" s="243" t="str">
        <f t="shared" si="145"/>
        <v/>
      </c>
      <c r="AF350" s="342" t="str">
        <f>IF(AM350="Row Not Used","",INDEX(SpaceTable[Annual Hours],(MATCH(B350,SpaceTable[Space Name Concatenated Helper],0))))</f>
        <v/>
      </c>
      <c r="AG350" s="205" t="str">
        <f t="shared" si="146"/>
        <v/>
      </c>
      <c r="AH350" s="234" t="str">
        <f t="shared" si="147"/>
        <v/>
      </c>
      <c r="AI350" s="205" t="str">
        <f t="shared" si="148"/>
        <v/>
      </c>
      <c r="AJ350" s="234" t="str">
        <f t="shared" si="149"/>
        <v/>
      </c>
      <c r="AK350" s="144" t="str">
        <f>IF(AM350="Row Not Used","",INDEX(SpaceTable[Row],(MATCH(B350,SpaceTable[Space Name Concatenated Helper],0))))</f>
        <v/>
      </c>
      <c r="AL350" s="238" t="str">
        <f>IF(AM350="Row Not Used","",INDEX(SpaceTable[HVAC Factor],(MATCH(B350,SpaceTable[Space Name Concatenated Helper],0))))</f>
        <v/>
      </c>
      <c r="AM350" s="520" t="str">
        <f t="shared" si="150"/>
        <v>Row Not Used</v>
      </c>
      <c r="AN350" s="512" t="e" cm="1">
        <f t="array" ref="AN350">INDEX(BallastFactorTable[Ballast Factor],MATCH(1,(BallastFactorTable[Fixture Class]=D350)*(BallastFactorTable[Fixture Category]=E350)*(BallastFactorTable[Fixture Sub-category]=F350),0))</f>
        <v>#N/A</v>
      </c>
      <c r="AO350" s="143" t="str">
        <f t="shared" si="163"/>
        <v/>
      </c>
      <c r="AP350" s="501" t="e" cm="1">
        <f t="array" ref="AP350">INDEX(BallastFactorTable[Wattage Range Name],MATCH(1,(BallastFactorTable[Fixture Class]=D350)*(BallastFactorTable[Fixture Category]=E350)*(BallastFactorTable[Fixture Sub-category]=F350),0))</f>
        <v>#N/A</v>
      </c>
      <c r="AQ350" s="515" t="str">
        <f t="shared" ca="1" si="151"/>
        <v>Okay</v>
      </c>
      <c r="AR350" s="512">
        <f t="shared" si="152"/>
        <v>0</v>
      </c>
      <c r="AS350" s="511" t="str">
        <f>IF(OR(Measures!AM350="Row Not Used",Measures!C350="Controls Only",Measures!C350="Decommissioning"),"",_xlfn.CONCAT(P350," ",Q350))</f>
        <v/>
      </c>
      <c r="AT350" s="264" t="str">
        <f t="shared" si="153"/>
        <v>None</v>
      </c>
      <c r="AU350" s="229">
        <f>IF(OR(AM350="Row Not Used",AM350="Controls Only"),0,INDEX(IncentiveRateTable[Incentive Rate],MATCH(AT350,IncentiveRateTable[Incentive Name],0)))</f>
        <v>0</v>
      </c>
      <c r="AV350" s="133" t="str">
        <f>IF(OR(AM350="Row Not Used",AM350="Controls Only"),"None",INDEX(IncentiveRateTable[Incentive Unit],MATCH(AT350,IncentiveRateTable[Incentive Name],0)))</f>
        <v>None</v>
      </c>
      <c r="AW350" s="578">
        <f t="shared" si="164"/>
        <v>0</v>
      </c>
      <c r="AX350" s="264" t="str">
        <f t="shared" si="154"/>
        <v>None</v>
      </c>
      <c r="AY350" s="229">
        <f>IF(OR(AM350="Row Not Used",AM350="Fixtures Only",AM350="Decommissioning"),0,INDEX(IncentiveRateTable[Incentive Rate],MATCH(AX350,IncentiveRateTable[Incentive Name],0)))</f>
        <v>0</v>
      </c>
      <c r="AZ350" s="133" t="str">
        <f>IF(OR(AM350="Row Not Used",AM350="Fixtures Only",AM350="Decommissioning"),"None",INDEX(IncentiveRateTable[Incentive Unit],MATCH(AX350,IncentiveRateTable[Incentive Name],0)))</f>
        <v>None</v>
      </c>
      <c r="BA350" s="465">
        <f t="shared" si="155"/>
        <v>0</v>
      </c>
      <c r="BB350" s="264" t="e" cm="1">
        <f t="array" ref="BB350">INDEX(BallastFactorTable[Commercial BPA Reference Number],MATCH(1,(BallastFactorTable[Fixture Class]=J350)*(BallastFactorTable[Fixture Category]=K350)*(BallastFactorTable[Fixture Sub-category]=L350),0))</f>
        <v>#N/A</v>
      </c>
      <c r="BC350" s="133" t="e" cm="1">
        <f t="array" ref="BC350">INDEX(BallastFactorTable[Industrial BPA Reference Number],MATCH(1,(BallastFactorTable[Fixture Class]=J350)*(BallastFactorTable[Fixture Category]=K350)*(BallastFactorTable[Fixture Sub-category]=L350),0))</f>
        <v>#N/A</v>
      </c>
      <c r="BD350" s="264" t="str">
        <f t="shared" si="156"/>
        <v>Sector is blank</v>
      </c>
      <c r="BE350" s="269" t="str">
        <f>IF(ISBLANK(SectorField),"Sector is blank",IF(AM350="Row Not Used","",IF(OR(R350="No Controls",ISBLANK(R350)),"",INDEX(ControlsBPARefNoTable[Reference Number],MATCH(SectorField,ControlsBPARefNoTable[Sector],0)))))</f>
        <v>Sector is blank</v>
      </c>
      <c r="BF350" s="530" t="str">
        <f t="shared" si="157"/>
        <v/>
      </c>
      <c r="BG350" s="132" t="str">
        <f t="shared" si="158"/>
        <v/>
      </c>
      <c r="BH350" s="531" t="str">
        <f t="shared" si="159"/>
        <v/>
      </c>
      <c r="BI350" s="532"/>
      <c r="BJ350" s="538" t="str">
        <f t="shared" si="165"/>
        <v/>
      </c>
      <c r="BK350" s="539" t="str">
        <f t="shared" si="166"/>
        <v/>
      </c>
      <c r="BL350" s="547" t="str">
        <f t="shared" si="167"/>
        <v/>
      </c>
    </row>
    <row r="351" spans="1:64" x14ac:dyDescent="0.3">
      <c r="A351" s="133">
        <v>344</v>
      </c>
      <c r="B351" s="294"/>
      <c r="C351" s="313"/>
      <c r="D351" s="292"/>
      <c r="E351" s="284"/>
      <c r="F351" s="284"/>
      <c r="G351" s="295"/>
      <c r="H351" s="296"/>
      <c r="I351" s="297"/>
      <c r="J351" s="292"/>
      <c r="K351" s="284"/>
      <c r="L351" s="284"/>
      <c r="M351" s="295"/>
      <c r="N351" s="296"/>
      <c r="O351" s="296"/>
      <c r="P351" s="284"/>
      <c r="Q351" s="298"/>
      <c r="R351" s="292"/>
      <c r="S351" s="299"/>
      <c r="T351" s="300"/>
      <c r="U351" s="317" t="str">
        <f t="shared" si="141"/>
        <v/>
      </c>
      <c r="V351" s="301"/>
      <c r="W351" s="136" t="str">
        <f t="shared" si="142"/>
        <v/>
      </c>
      <c r="X351" s="588" t="str">
        <f t="shared" si="160"/>
        <v/>
      </c>
      <c r="Y351" s="580"/>
      <c r="Z351" s="251" t="str">
        <f t="shared" si="143"/>
        <v/>
      </c>
      <c r="AA351" s="138" t="str">
        <f t="shared" si="168"/>
        <v/>
      </c>
      <c r="AB351" s="243" t="str">
        <f t="shared" si="161"/>
        <v/>
      </c>
      <c r="AC351" s="141" t="str">
        <f t="shared" si="144"/>
        <v/>
      </c>
      <c r="AD351" s="138" t="str">
        <f t="shared" si="162"/>
        <v/>
      </c>
      <c r="AE351" s="243" t="str">
        <f t="shared" si="145"/>
        <v/>
      </c>
      <c r="AF351" s="342" t="str">
        <f>IF(AM351="Row Not Used","",INDEX(SpaceTable[Annual Hours],(MATCH(B351,SpaceTable[Space Name Concatenated Helper],0))))</f>
        <v/>
      </c>
      <c r="AG351" s="205" t="str">
        <f t="shared" si="146"/>
        <v/>
      </c>
      <c r="AH351" s="234" t="str">
        <f t="shared" si="147"/>
        <v/>
      </c>
      <c r="AI351" s="205" t="str">
        <f t="shared" si="148"/>
        <v/>
      </c>
      <c r="AJ351" s="234" t="str">
        <f t="shared" si="149"/>
        <v/>
      </c>
      <c r="AK351" s="144" t="str">
        <f>IF(AM351="Row Not Used","",INDEX(SpaceTable[Row],(MATCH(B351,SpaceTable[Space Name Concatenated Helper],0))))</f>
        <v/>
      </c>
      <c r="AL351" s="238" t="str">
        <f>IF(AM351="Row Not Used","",INDEX(SpaceTable[HVAC Factor],(MATCH(B351,SpaceTable[Space Name Concatenated Helper],0))))</f>
        <v/>
      </c>
      <c r="AM351" s="520" t="str">
        <f t="shared" si="150"/>
        <v>Row Not Used</v>
      </c>
      <c r="AN351" s="512" t="e" cm="1">
        <f t="array" ref="AN351">INDEX(BallastFactorTable[Ballast Factor],MATCH(1,(BallastFactorTable[Fixture Class]=D351)*(BallastFactorTable[Fixture Category]=E351)*(BallastFactorTable[Fixture Sub-category]=F351),0))</f>
        <v>#N/A</v>
      </c>
      <c r="AO351" s="143" t="str">
        <f t="shared" si="163"/>
        <v/>
      </c>
      <c r="AP351" s="501" t="e" cm="1">
        <f t="array" ref="AP351">INDEX(BallastFactorTable[Wattage Range Name],MATCH(1,(BallastFactorTable[Fixture Class]=D351)*(BallastFactorTable[Fixture Category]=E351)*(BallastFactorTable[Fixture Sub-category]=F351),0))</f>
        <v>#N/A</v>
      </c>
      <c r="AQ351" s="515" t="str">
        <f t="shared" ca="1" si="151"/>
        <v>Okay</v>
      </c>
      <c r="AR351" s="512">
        <f t="shared" si="152"/>
        <v>0</v>
      </c>
      <c r="AS351" s="511" t="str">
        <f>IF(OR(Measures!AM351="Row Not Used",Measures!C351="Controls Only",Measures!C351="Decommissioning"),"",_xlfn.CONCAT(P351," ",Q351))</f>
        <v/>
      </c>
      <c r="AT351" s="264" t="str">
        <f t="shared" si="153"/>
        <v>None</v>
      </c>
      <c r="AU351" s="229">
        <f>IF(OR(AM351="Row Not Used",AM351="Controls Only"),0,INDEX(IncentiveRateTable[Incentive Rate],MATCH(AT351,IncentiveRateTable[Incentive Name],0)))</f>
        <v>0</v>
      </c>
      <c r="AV351" s="133" t="str">
        <f>IF(OR(AM351="Row Not Used",AM351="Controls Only"),"None",INDEX(IncentiveRateTable[Incentive Unit],MATCH(AT351,IncentiveRateTable[Incentive Name],0)))</f>
        <v>None</v>
      </c>
      <c r="AW351" s="578">
        <f t="shared" si="164"/>
        <v>0</v>
      </c>
      <c r="AX351" s="264" t="str">
        <f t="shared" si="154"/>
        <v>None</v>
      </c>
      <c r="AY351" s="229">
        <f>IF(OR(AM351="Row Not Used",AM351="Fixtures Only",AM351="Decommissioning"),0,INDEX(IncentiveRateTable[Incentive Rate],MATCH(AX351,IncentiveRateTable[Incentive Name],0)))</f>
        <v>0</v>
      </c>
      <c r="AZ351" s="133" t="str">
        <f>IF(OR(AM351="Row Not Used",AM351="Fixtures Only",AM351="Decommissioning"),"None",INDEX(IncentiveRateTable[Incentive Unit],MATCH(AX351,IncentiveRateTable[Incentive Name],0)))</f>
        <v>None</v>
      </c>
      <c r="BA351" s="465">
        <f t="shared" si="155"/>
        <v>0</v>
      </c>
      <c r="BB351" s="264" t="e" cm="1">
        <f t="array" ref="BB351">INDEX(BallastFactorTable[Commercial BPA Reference Number],MATCH(1,(BallastFactorTable[Fixture Class]=J351)*(BallastFactorTable[Fixture Category]=K351)*(BallastFactorTable[Fixture Sub-category]=L351),0))</f>
        <v>#N/A</v>
      </c>
      <c r="BC351" s="133" t="e" cm="1">
        <f t="array" ref="BC351">INDEX(BallastFactorTable[Industrial BPA Reference Number],MATCH(1,(BallastFactorTable[Fixture Class]=J351)*(BallastFactorTable[Fixture Category]=K351)*(BallastFactorTable[Fixture Sub-category]=L351),0))</f>
        <v>#N/A</v>
      </c>
      <c r="BD351" s="264" t="str">
        <f t="shared" si="156"/>
        <v>Sector is blank</v>
      </c>
      <c r="BE351" s="269" t="str">
        <f>IF(ISBLANK(SectorField),"Sector is blank",IF(AM351="Row Not Used","",IF(OR(R351="No Controls",ISBLANK(R351)),"",INDEX(ControlsBPARefNoTable[Reference Number],MATCH(SectorField,ControlsBPARefNoTable[Sector],0)))))</f>
        <v>Sector is blank</v>
      </c>
      <c r="BF351" s="530" t="str">
        <f t="shared" si="157"/>
        <v/>
      </c>
      <c r="BG351" s="132" t="str">
        <f t="shared" si="158"/>
        <v/>
      </c>
      <c r="BH351" s="531" t="str">
        <f t="shared" si="159"/>
        <v/>
      </c>
      <c r="BI351" s="532"/>
      <c r="BJ351" s="538" t="str">
        <f t="shared" si="165"/>
        <v/>
      </c>
      <c r="BK351" s="539" t="str">
        <f t="shared" si="166"/>
        <v/>
      </c>
      <c r="BL351" s="547" t="str">
        <f t="shared" si="167"/>
        <v/>
      </c>
    </row>
    <row r="352" spans="1:64" x14ac:dyDescent="0.3">
      <c r="A352" s="133">
        <v>345</v>
      </c>
      <c r="B352" s="294"/>
      <c r="C352" s="313"/>
      <c r="D352" s="292"/>
      <c r="E352" s="284"/>
      <c r="F352" s="284"/>
      <c r="G352" s="295"/>
      <c r="H352" s="296"/>
      <c r="I352" s="297"/>
      <c r="J352" s="292"/>
      <c r="K352" s="284"/>
      <c r="L352" s="284"/>
      <c r="M352" s="295"/>
      <c r="N352" s="296"/>
      <c r="O352" s="296"/>
      <c r="P352" s="284"/>
      <c r="Q352" s="298"/>
      <c r="R352" s="292"/>
      <c r="S352" s="299"/>
      <c r="T352" s="300"/>
      <c r="U352" s="317" t="str">
        <f t="shared" si="141"/>
        <v/>
      </c>
      <c r="V352" s="301"/>
      <c r="W352" s="137" t="str">
        <f t="shared" si="142"/>
        <v/>
      </c>
      <c r="X352" s="589" t="str">
        <f t="shared" si="160"/>
        <v/>
      </c>
      <c r="Y352" s="581"/>
      <c r="Z352" s="251" t="str">
        <f t="shared" si="143"/>
        <v/>
      </c>
      <c r="AA352" s="138" t="str">
        <f t="shared" si="168"/>
        <v/>
      </c>
      <c r="AB352" s="243" t="str">
        <f t="shared" si="161"/>
        <v/>
      </c>
      <c r="AC352" s="141" t="str">
        <f t="shared" si="144"/>
        <v/>
      </c>
      <c r="AD352" s="138" t="str">
        <f t="shared" si="162"/>
        <v/>
      </c>
      <c r="AE352" s="243" t="str">
        <f t="shared" si="145"/>
        <v/>
      </c>
      <c r="AF352" s="342" t="str">
        <f>IF(AM352="Row Not Used","",INDEX(SpaceTable[Annual Hours],(MATCH(B352,SpaceTable[Space Name Concatenated Helper],0))))</f>
        <v/>
      </c>
      <c r="AG352" s="205" t="str">
        <f t="shared" si="146"/>
        <v/>
      </c>
      <c r="AH352" s="234" t="str">
        <f t="shared" si="147"/>
        <v/>
      </c>
      <c r="AI352" s="205" t="str">
        <f t="shared" si="148"/>
        <v/>
      </c>
      <c r="AJ352" s="234" t="str">
        <f t="shared" si="149"/>
        <v/>
      </c>
      <c r="AK352" s="144" t="str">
        <f>IF(AM352="Row Not Used","",INDEX(SpaceTable[Row],(MATCH(B352,SpaceTable[Space Name Concatenated Helper],0))))</f>
        <v/>
      </c>
      <c r="AL352" s="238" t="str">
        <f>IF(AM352="Row Not Used","",INDEX(SpaceTable[HVAC Factor],(MATCH(B352,SpaceTable[Space Name Concatenated Helper],0))))</f>
        <v/>
      </c>
      <c r="AM352" s="520" t="str">
        <f t="shared" si="150"/>
        <v>Row Not Used</v>
      </c>
      <c r="AN352" s="512" t="e" cm="1">
        <f t="array" ref="AN352">INDEX(BallastFactorTable[Ballast Factor],MATCH(1,(BallastFactorTable[Fixture Class]=D352)*(BallastFactorTable[Fixture Category]=E352)*(BallastFactorTable[Fixture Sub-category]=F352),0))</f>
        <v>#N/A</v>
      </c>
      <c r="AO352" s="143" t="str">
        <f t="shared" si="163"/>
        <v/>
      </c>
      <c r="AP352" s="501" t="e" cm="1">
        <f t="array" ref="AP352">INDEX(BallastFactorTable[Wattage Range Name],MATCH(1,(BallastFactorTable[Fixture Class]=D352)*(BallastFactorTable[Fixture Category]=E352)*(BallastFactorTable[Fixture Sub-category]=F352),0))</f>
        <v>#N/A</v>
      </c>
      <c r="AQ352" s="515" t="str">
        <f t="shared" ca="1" si="151"/>
        <v>Okay</v>
      </c>
      <c r="AR352" s="512">
        <f t="shared" si="152"/>
        <v>0</v>
      </c>
      <c r="AS352" s="511" t="str">
        <f>IF(OR(Measures!AM352="Row Not Used",Measures!C352="Controls Only",Measures!C352="Decommissioning"),"",_xlfn.CONCAT(P352," ",Q352))</f>
        <v/>
      </c>
      <c r="AT352" s="264" t="str">
        <f t="shared" si="153"/>
        <v>None</v>
      </c>
      <c r="AU352" s="229">
        <f>IF(OR(AM352="Row Not Used",AM352="Controls Only"),0,INDEX(IncentiveRateTable[Incentive Rate],MATCH(AT352,IncentiveRateTable[Incentive Name],0)))</f>
        <v>0</v>
      </c>
      <c r="AV352" s="133" t="str">
        <f>IF(OR(AM352="Row Not Used",AM352="Controls Only"),"None",INDEX(IncentiveRateTable[Incentive Unit],MATCH(AT352,IncentiveRateTable[Incentive Name],0)))</f>
        <v>None</v>
      </c>
      <c r="AW352" s="578">
        <f t="shared" si="164"/>
        <v>0</v>
      </c>
      <c r="AX352" s="264" t="str">
        <f t="shared" si="154"/>
        <v>None</v>
      </c>
      <c r="AY352" s="229">
        <f>IF(OR(AM352="Row Not Used",AM352="Fixtures Only",AM352="Decommissioning"),0,INDEX(IncentiveRateTable[Incentive Rate],MATCH(AX352,IncentiveRateTable[Incentive Name],0)))</f>
        <v>0</v>
      </c>
      <c r="AZ352" s="133" t="str">
        <f>IF(OR(AM352="Row Not Used",AM352="Fixtures Only",AM352="Decommissioning"),"None",INDEX(IncentiveRateTable[Incentive Unit],MATCH(AX352,IncentiveRateTable[Incentive Name],0)))</f>
        <v>None</v>
      </c>
      <c r="BA352" s="465">
        <f t="shared" si="155"/>
        <v>0</v>
      </c>
      <c r="BB352" s="264" t="e" cm="1">
        <f t="array" ref="BB352">INDEX(BallastFactorTable[Commercial BPA Reference Number],MATCH(1,(BallastFactorTable[Fixture Class]=J352)*(BallastFactorTable[Fixture Category]=K352)*(BallastFactorTable[Fixture Sub-category]=L352),0))</f>
        <v>#N/A</v>
      </c>
      <c r="BC352" s="133" t="e" cm="1">
        <f t="array" ref="BC352">INDEX(BallastFactorTable[Industrial BPA Reference Number],MATCH(1,(BallastFactorTable[Fixture Class]=J352)*(BallastFactorTable[Fixture Category]=K352)*(BallastFactorTable[Fixture Sub-category]=L352),0))</f>
        <v>#N/A</v>
      </c>
      <c r="BD352" s="264" t="str">
        <f t="shared" si="156"/>
        <v>Sector is blank</v>
      </c>
      <c r="BE352" s="269" t="str">
        <f>IF(ISBLANK(SectorField),"Sector is blank",IF(AM352="Row Not Used","",IF(OR(R352="No Controls",ISBLANK(R352)),"",INDEX(ControlsBPARefNoTable[Reference Number],MATCH(SectorField,ControlsBPARefNoTable[Sector],0)))))</f>
        <v>Sector is blank</v>
      </c>
      <c r="BF352" s="530" t="str">
        <f t="shared" si="157"/>
        <v/>
      </c>
      <c r="BG352" s="132" t="str">
        <f t="shared" si="158"/>
        <v/>
      </c>
      <c r="BH352" s="531" t="str">
        <f t="shared" si="159"/>
        <v/>
      </c>
      <c r="BI352" s="532"/>
      <c r="BJ352" s="538" t="str">
        <f t="shared" si="165"/>
        <v/>
      </c>
      <c r="BK352" s="539" t="str">
        <f t="shared" si="166"/>
        <v/>
      </c>
      <c r="BL352" s="547" t="str">
        <f t="shared" si="167"/>
        <v/>
      </c>
    </row>
    <row r="353" spans="1:64" x14ac:dyDescent="0.3">
      <c r="A353" s="133">
        <v>346</v>
      </c>
      <c r="B353" s="294"/>
      <c r="C353" s="313"/>
      <c r="D353" s="292"/>
      <c r="E353" s="284"/>
      <c r="F353" s="284"/>
      <c r="G353" s="295"/>
      <c r="H353" s="296"/>
      <c r="I353" s="297"/>
      <c r="J353" s="292"/>
      <c r="K353" s="284"/>
      <c r="L353" s="284"/>
      <c r="M353" s="295"/>
      <c r="N353" s="296"/>
      <c r="O353" s="296"/>
      <c r="P353" s="284"/>
      <c r="Q353" s="298"/>
      <c r="R353" s="292"/>
      <c r="S353" s="299"/>
      <c r="T353" s="300"/>
      <c r="U353" s="317" t="str">
        <f t="shared" si="141"/>
        <v/>
      </c>
      <c r="V353" s="301"/>
      <c r="W353" s="136" t="str">
        <f t="shared" si="142"/>
        <v/>
      </c>
      <c r="X353" s="588" t="str">
        <f t="shared" si="160"/>
        <v/>
      </c>
      <c r="Y353" s="580"/>
      <c r="Z353" s="251" t="str">
        <f t="shared" si="143"/>
        <v/>
      </c>
      <c r="AA353" s="138" t="str">
        <f t="shared" si="168"/>
        <v/>
      </c>
      <c r="AB353" s="243" t="str">
        <f t="shared" si="161"/>
        <v/>
      </c>
      <c r="AC353" s="141" t="str">
        <f t="shared" si="144"/>
        <v/>
      </c>
      <c r="AD353" s="138" t="str">
        <f t="shared" si="162"/>
        <v/>
      </c>
      <c r="AE353" s="243" t="str">
        <f t="shared" si="145"/>
        <v/>
      </c>
      <c r="AF353" s="342" t="str">
        <f>IF(AM353="Row Not Used","",INDEX(SpaceTable[Annual Hours],(MATCH(B353,SpaceTable[Space Name Concatenated Helper],0))))</f>
        <v/>
      </c>
      <c r="AG353" s="205" t="str">
        <f t="shared" si="146"/>
        <v/>
      </c>
      <c r="AH353" s="234" t="str">
        <f t="shared" si="147"/>
        <v/>
      </c>
      <c r="AI353" s="205" t="str">
        <f t="shared" si="148"/>
        <v/>
      </c>
      <c r="AJ353" s="234" t="str">
        <f t="shared" si="149"/>
        <v/>
      </c>
      <c r="AK353" s="144" t="str">
        <f>IF(AM353="Row Not Used","",INDEX(SpaceTable[Row],(MATCH(B353,SpaceTable[Space Name Concatenated Helper],0))))</f>
        <v/>
      </c>
      <c r="AL353" s="238" t="str">
        <f>IF(AM353="Row Not Used","",INDEX(SpaceTable[HVAC Factor],(MATCH(B353,SpaceTable[Space Name Concatenated Helper],0))))</f>
        <v/>
      </c>
      <c r="AM353" s="520" t="str">
        <f t="shared" si="150"/>
        <v>Row Not Used</v>
      </c>
      <c r="AN353" s="512" t="e" cm="1">
        <f t="array" ref="AN353">INDEX(BallastFactorTable[Ballast Factor],MATCH(1,(BallastFactorTable[Fixture Class]=D353)*(BallastFactorTable[Fixture Category]=E353)*(BallastFactorTable[Fixture Sub-category]=F353),0))</f>
        <v>#N/A</v>
      </c>
      <c r="AO353" s="143" t="str">
        <f t="shared" si="163"/>
        <v/>
      </c>
      <c r="AP353" s="501" t="e" cm="1">
        <f t="array" ref="AP353">INDEX(BallastFactorTable[Wattage Range Name],MATCH(1,(BallastFactorTable[Fixture Class]=D353)*(BallastFactorTable[Fixture Category]=E353)*(BallastFactorTable[Fixture Sub-category]=F353),0))</f>
        <v>#N/A</v>
      </c>
      <c r="AQ353" s="515" t="str">
        <f t="shared" ca="1" si="151"/>
        <v>Okay</v>
      </c>
      <c r="AR353" s="512">
        <f t="shared" si="152"/>
        <v>0</v>
      </c>
      <c r="AS353" s="511" t="str">
        <f>IF(OR(Measures!AM353="Row Not Used",Measures!C353="Controls Only",Measures!C353="Decommissioning"),"",_xlfn.CONCAT(P353," ",Q353))</f>
        <v/>
      </c>
      <c r="AT353" s="264" t="str">
        <f t="shared" si="153"/>
        <v>None</v>
      </c>
      <c r="AU353" s="229">
        <f>IF(OR(AM353="Row Not Used",AM353="Controls Only"),0,INDEX(IncentiveRateTable[Incentive Rate],MATCH(AT353,IncentiveRateTable[Incentive Name],0)))</f>
        <v>0</v>
      </c>
      <c r="AV353" s="133" t="str">
        <f>IF(OR(AM353="Row Not Used",AM353="Controls Only"),"None",INDEX(IncentiveRateTable[Incentive Unit],MATCH(AT353,IncentiveRateTable[Incentive Name],0)))</f>
        <v>None</v>
      </c>
      <c r="AW353" s="578">
        <f t="shared" si="164"/>
        <v>0</v>
      </c>
      <c r="AX353" s="264" t="str">
        <f t="shared" si="154"/>
        <v>None</v>
      </c>
      <c r="AY353" s="229">
        <f>IF(OR(AM353="Row Not Used",AM353="Fixtures Only",AM353="Decommissioning"),0,INDEX(IncentiveRateTable[Incentive Rate],MATCH(AX353,IncentiveRateTable[Incentive Name],0)))</f>
        <v>0</v>
      </c>
      <c r="AZ353" s="133" t="str">
        <f>IF(OR(AM353="Row Not Used",AM353="Fixtures Only",AM353="Decommissioning"),"None",INDEX(IncentiveRateTable[Incentive Unit],MATCH(AX353,IncentiveRateTable[Incentive Name],0)))</f>
        <v>None</v>
      </c>
      <c r="BA353" s="465">
        <f t="shared" si="155"/>
        <v>0</v>
      </c>
      <c r="BB353" s="264" t="e" cm="1">
        <f t="array" ref="BB353">INDEX(BallastFactorTable[Commercial BPA Reference Number],MATCH(1,(BallastFactorTable[Fixture Class]=J353)*(BallastFactorTable[Fixture Category]=K353)*(BallastFactorTable[Fixture Sub-category]=L353),0))</f>
        <v>#N/A</v>
      </c>
      <c r="BC353" s="133" t="e" cm="1">
        <f t="array" ref="BC353">INDEX(BallastFactorTable[Industrial BPA Reference Number],MATCH(1,(BallastFactorTable[Fixture Class]=J353)*(BallastFactorTable[Fixture Category]=K353)*(BallastFactorTable[Fixture Sub-category]=L353),0))</f>
        <v>#N/A</v>
      </c>
      <c r="BD353" s="264" t="str">
        <f t="shared" si="156"/>
        <v>Sector is blank</v>
      </c>
      <c r="BE353" s="269" t="str">
        <f>IF(ISBLANK(SectorField),"Sector is blank",IF(AM353="Row Not Used","",IF(OR(R353="No Controls",ISBLANK(R353)),"",INDEX(ControlsBPARefNoTable[Reference Number],MATCH(SectorField,ControlsBPARefNoTable[Sector],0)))))</f>
        <v>Sector is blank</v>
      </c>
      <c r="BF353" s="530" t="str">
        <f t="shared" si="157"/>
        <v/>
      </c>
      <c r="BG353" s="132" t="str">
        <f t="shared" si="158"/>
        <v/>
      </c>
      <c r="BH353" s="531" t="str">
        <f t="shared" si="159"/>
        <v/>
      </c>
      <c r="BI353" s="532"/>
      <c r="BJ353" s="538" t="str">
        <f t="shared" si="165"/>
        <v/>
      </c>
      <c r="BK353" s="539" t="str">
        <f t="shared" si="166"/>
        <v/>
      </c>
      <c r="BL353" s="547" t="str">
        <f t="shared" si="167"/>
        <v/>
      </c>
    </row>
    <row r="354" spans="1:64" x14ac:dyDescent="0.3">
      <c r="A354" s="133">
        <v>347</v>
      </c>
      <c r="B354" s="294"/>
      <c r="C354" s="313"/>
      <c r="D354" s="292"/>
      <c r="E354" s="284"/>
      <c r="F354" s="284"/>
      <c r="G354" s="295"/>
      <c r="H354" s="296"/>
      <c r="I354" s="297"/>
      <c r="J354" s="292"/>
      <c r="K354" s="284"/>
      <c r="L354" s="284"/>
      <c r="M354" s="295"/>
      <c r="N354" s="296"/>
      <c r="O354" s="296"/>
      <c r="P354" s="284"/>
      <c r="Q354" s="298"/>
      <c r="R354" s="292"/>
      <c r="S354" s="299"/>
      <c r="T354" s="300"/>
      <c r="U354" s="317" t="str">
        <f t="shared" si="141"/>
        <v/>
      </c>
      <c r="V354" s="301"/>
      <c r="W354" s="137" t="str">
        <f t="shared" si="142"/>
        <v/>
      </c>
      <c r="X354" s="589" t="str">
        <f t="shared" si="160"/>
        <v/>
      </c>
      <c r="Y354" s="581"/>
      <c r="Z354" s="251" t="str">
        <f t="shared" si="143"/>
        <v/>
      </c>
      <c r="AA354" s="138" t="str">
        <f t="shared" si="168"/>
        <v/>
      </c>
      <c r="AB354" s="243" t="str">
        <f t="shared" si="161"/>
        <v/>
      </c>
      <c r="AC354" s="141" t="str">
        <f t="shared" si="144"/>
        <v/>
      </c>
      <c r="AD354" s="138" t="str">
        <f t="shared" si="162"/>
        <v/>
      </c>
      <c r="AE354" s="243" t="str">
        <f t="shared" si="145"/>
        <v/>
      </c>
      <c r="AF354" s="342" t="str">
        <f>IF(AM354="Row Not Used","",INDEX(SpaceTable[Annual Hours],(MATCH(B354,SpaceTable[Space Name Concatenated Helper],0))))</f>
        <v/>
      </c>
      <c r="AG354" s="205" t="str">
        <f t="shared" si="146"/>
        <v/>
      </c>
      <c r="AH354" s="234" t="str">
        <f t="shared" si="147"/>
        <v/>
      </c>
      <c r="AI354" s="205" t="str">
        <f t="shared" si="148"/>
        <v/>
      </c>
      <c r="AJ354" s="234" t="str">
        <f t="shared" si="149"/>
        <v/>
      </c>
      <c r="AK354" s="144" t="str">
        <f>IF(AM354="Row Not Used","",INDEX(SpaceTable[Row],(MATCH(B354,SpaceTable[Space Name Concatenated Helper],0))))</f>
        <v/>
      </c>
      <c r="AL354" s="238" t="str">
        <f>IF(AM354="Row Not Used","",INDEX(SpaceTable[HVAC Factor],(MATCH(B354,SpaceTable[Space Name Concatenated Helper],0))))</f>
        <v/>
      </c>
      <c r="AM354" s="520" t="str">
        <f t="shared" si="150"/>
        <v>Row Not Used</v>
      </c>
      <c r="AN354" s="512" t="e" cm="1">
        <f t="array" ref="AN354">INDEX(BallastFactorTable[Ballast Factor],MATCH(1,(BallastFactorTable[Fixture Class]=D354)*(BallastFactorTable[Fixture Category]=E354)*(BallastFactorTable[Fixture Sub-category]=F354),0))</f>
        <v>#N/A</v>
      </c>
      <c r="AO354" s="143" t="str">
        <f t="shared" si="163"/>
        <v/>
      </c>
      <c r="AP354" s="501" t="e" cm="1">
        <f t="array" ref="AP354">INDEX(BallastFactorTable[Wattage Range Name],MATCH(1,(BallastFactorTable[Fixture Class]=D354)*(BallastFactorTable[Fixture Category]=E354)*(BallastFactorTable[Fixture Sub-category]=F354),0))</f>
        <v>#N/A</v>
      </c>
      <c r="AQ354" s="515" t="str">
        <f t="shared" ca="1" si="151"/>
        <v>Okay</v>
      </c>
      <c r="AR354" s="512">
        <f t="shared" si="152"/>
        <v>0</v>
      </c>
      <c r="AS354" s="511" t="str">
        <f>IF(OR(Measures!AM354="Row Not Used",Measures!C354="Controls Only",Measures!C354="Decommissioning"),"",_xlfn.CONCAT(P354," ",Q354))</f>
        <v/>
      </c>
      <c r="AT354" s="264" t="str">
        <f t="shared" si="153"/>
        <v>None</v>
      </c>
      <c r="AU354" s="229">
        <f>IF(OR(AM354="Row Not Used",AM354="Controls Only"),0,INDEX(IncentiveRateTable[Incentive Rate],MATCH(AT354,IncentiveRateTable[Incentive Name],0)))</f>
        <v>0</v>
      </c>
      <c r="AV354" s="133" t="str">
        <f>IF(OR(AM354="Row Not Used",AM354="Controls Only"),"None",INDEX(IncentiveRateTable[Incentive Unit],MATCH(AT354,IncentiveRateTable[Incentive Name],0)))</f>
        <v>None</v>
      </c>
      <c r="AW354" s="578">
        <f t="shared" si="164"/>
        <v>0</v>
      </c>
      <c r="AX354" s="264" t="str">
        <f t="shared" si="154"/>
        <v>None</v>
      </c>
      <c r="AY354" s="229">
        <f>IF(OR(AM354="Row Not Used",AM354="Fixtures Only",AM354="Decommissioning"),0,INDEX(IncentiveRateTable[Incentive Rate],MATCH(AX354,IncentiveRateTable[Incentive Name],0)))</f>
        <v>0</v>
      </c>
      <c r="AZ354" s="133" t="str">
        <f>IF(OR(AM354="Row Not Used",AM354="Fixtures Only",AM354="Decommissioning"),"None",INDEX(IncentiveRateTable[Incentive Unit],MATCH(AX354,IncentiveRateTable[Incentive Name],0)))</f>
        <v>None</v>
      </c>
      <c r="BA354" s="465">
        <f t="shared" si="155"/>
        <v>0</v>
      </c>
      <c r="BB354" s="264" t="e" cm="1">
        <f t="array" ref="BB354">INDEX(BallastFactorTable[Commercial BPA Reference Number],MATCH(1,(BallastFactorTable[Fixture Class]=J354)*(BallastFactorTable[Fixture Category]=K354)*(BallastFactorTable[Fixture Sub-category]=L354),0))</f>
        <v>#N/A</v>
      </c>
      <c r="BC354" s="133" t="e" cm="1">
        <f t="array" ref="BC354">INDEX(BallastFactorTable[Industrial BPA Reference Number],MATCH(1,(BallastFactorTable[Fixture Class]=J354)*(BallastFactorTable[Fixture Category]=K354)*(BallastFactorTable[Fixture Sub-category]=L354),0))</f>
        <v>#N/A</v>
      </c>
      <c r="BD354" s="264" t="str">
        <f t="shared" si="156"/>
        <v>Sector is blank</v>
      </c>
      <c r="BE354" s="269" t="str">
        <f>IF(ISBLANK(SectorField),"Sector is blank",IF(AM354="Row Not Used","",IF(OR(R354="No Controls",ISBLANK(R354)),"",INDEX(ControlsBPARefNoTable[Reference Number],MATCH(SectorField,ControlsBPARefNoTable[Sector],0)))))</f>
        <v>Sector is blank</v>
      </c>
      <c r="BF354" s="530" t="str">
        <f t="shared" si="157"/>
        <v/>
      </c>
      <c r="BG354" s="132" t="str">
        <f t="shared" si="158"/>
        <v/>
      </c>
      <c r="BH354" s="531" t="str">
        <f t="shared" si="159"/>
        <v/>
      </c>
      <c r="BI354" s="532"/>
      <c r="BJ354" s="538" t="str">
        <f t="shared" si="165"/>
        <v/>
      </c>
      <c r="BK354" s="539" t="str">
        <f t="shared" si="166"/>
        <v/>
      </c>
      <c r="BL354" s="547" t="str">
        <f t="shared" si="167"/>
        <v/>
      </c>
    </row>
    <row r="355" spans="1:64" x14ac:dyDescent="0.3">
      <c r="A355" s="133">
        <v>348</v>
      </c>
      <c r="B355" s="294"/>
      <c r="C355" s="313"/>
      <c r="D355" s="292"/>
      <c r="E355" s="284"/>
      <c r="F355" s="284"/>
      <c r="G355" s="295"/>
      <c r="H355" s="296"/>
      <c r="I355" s="297"/>
      <c r="J355" s="292"/>
      <c r="K355" s="284"/>
      <c r="L355" s="284"/>
      <c r="M355" s="295"/>
      <c r="N355" s="296"/>
      <c r="O355" s="296"/>
      <c r="P355" s="284"/>
      <c r="Q355" s="298"/>
      <c r="R355" s="292"/>
      <c r="S355" s="299"/>
      <c r="T355" s="300"/>
      <c r="U355" s="317" t="str">
        <f t="shared" si="141"/>
        <v/>
      </c>
      <c r="V355" s="301"/>
      <c r="W355" s="136" t="str">
        <f t="shared" si="142"/>
        <v/>
      </c>
      <c r="X355" s="588" t="str">
        <f t="shared" si="160"/>
        <v/>
      </c>
      <c r="Y355" s="580"/>
      <c r="Z355" s="251" t="str">
        <f t="shared" si="143"/>
        <v/>
      </c>
      <c r="AA355" s="138" t="str">
        <f t="shared" si="168"/>
        <v/>
      </c>
      <c r="AB355" s="243" t="str">
        <f t="shared" si="161"/>
        <v/>
      </c>
      <c r="AC355" s="141" t="str">
        <f t="shared" si="144"/>
        <v/>
      </c>
      <c r="AD355" s="138" t="str">
        <f t="shared" si="162"/>
        <v/>
      </c>
      <c r="AE355" s="243" t="str">
        <f t="shared" si="145"/>
        <v/>
      </c>
      <c r="AF355" s="342" t="str">
        <f>IF(AM355="Row Not Used","",INDEX(SpaceTable[Annual Hours],(MATCH(B355,SpaceTable[Space Name Concatenated Helper],0))))</f>
        <v/>
      </c>
      <c r="AG355" s="205" t="str">
        <f t="shared" si="146"/>
        <v/>
      </c>
      <c r="AH355" s="234" t="str">
        <f t="shared" si="147"/>
        <v/>
      </c>
      <c r="AI355" s="205" t="str">
        <f t="shared" si="148"/>
        <v/>
      </c>
      <c r="AJ355" s="234" t="str">
        <f t="shared" si="149"/>
        <v/>
      </c>
      <c r="AK355" s="144" t="str">
        <f>IF(AM355="Row Not Used","",INDEX(SpaceTable[Row],(MATCH(B355,SpaceTable[Space Name Concatenated Helper],0))))</f>
        <v/>
      </c>
      <c r="AL355" s="238" t="str">
        <f>IF(AM355="Row Not Used","",INDEX(SpaceTable[HVAC Factor],(MATCH(B355,SpaceTable[Space Name Concatenated Helper],0))))</f>
        <v/>
      </c>
      <c r="AM355" s="520" t="str">
        <f t="shared" si="150"/>
        <v>Row Not Used</v>
      </c>
      <c r="AN355" s="512" t="e" cm="1">
        <f t="array" ref="AN355">INDEX(BallastFactorTable[Ballast Factor],MATCH(1,(BallastFactorTable[Fixture Class]=D355)*(BallastFactorTable[Fixture Category]=E355)*(BallastFactorTable[Fixture Sub-category]=F355),0))</f>
        <v>#N/A</v>
      </c>
      <c r="AO355" s="143" t="str">
        <f t="shared" si="163"/>
        <v/>
      </c>
      <c r="AP355" s="501" t="e" cm="1">
        <f t="array" ref="AP355">INDEX(BallastFactorTable[Wattage Range Name],MATCH(1,(BallastFactorTable[Fixture Class]=D355)*(BallastFactorTable[Fixture Category]=E355)*(BallastFactorTable[Fixture Sub-category]=F355),0))</f>
        <v>#N/A</v>
      </c>
      <c r="AQ355" s="515" t="str">
        <f t="shared" ca="1" si="151"/>
        <v>Okay</v>
      </c>
      <c r="AR355" s="512">
        <f t="shared" si="152"/>
        <v>0</v>
      </c>
      <c r="AS355" s="511" t="str">
        <f>IF(OR(Measures!AM355="Row Not Used",Measures!C355="Controls Only",Measures!C355="Decommissioning"),"",_xlfn.CONCAT(P355," ",Q355))</f>
        <v/>
      </c>
      <c r="AT355" s="264" t="str">
        <f t="shared" si="153"/>
        <v>None</v>
      </c>
      <c r="AU355" s="229">
        <f>IF(OR(AM355="Row Not Used",AM355="Controls Only"),0,INDEX(IncentiveRateTable[Incentive Rate],MATCH(AT355,IncentiveRateTable[Incentive Name],0)))</f>
        <v>0</v>
      </c>
      <c r="AV355" s="133" t="str">
        <f>IF(OR(AM355="Row Not Used",AM355="Controls Only"),"None",INDEX(IncentiveRateTable[Incentive Unit],MATCH(AT355,IncentiveRateTable[Incentive Name],0)))</f>
        <v>None</v>
      </c>
      <c r="AW355" s="578">
        <f t="shared" si="164"/>
        <v>0</v>
      </c>
      <c r="AX355" s="264" t="str">
        <f t="shared" si="154"/>
        <v>None</v>
      </c>
      <c r="AY355" s="229">
        <f>IF(OR(AM355="Row Not Used",AM355="Fixtures Only",AM355="Decommissioning"),0,INDEX(IncentiveRateTable[Incentive Rate],MATCH(AX355,IncentiveRateTable[Incentive Name],0)))</f>
        <v>0</v>
      </c>
      <c r="AZ355" s="133" t="str">
        <f>IF(OR(AM355="Row Not Used",AM355="Fixtures Only",AM355="Decommissioning"),"None",INDEX(IncentiveRateTable[Incentive Unit],MATCH(AX355,IncentiveRateTable[Incentive Name],0)))</f>
        <v>None</v>
      </c>
      <c r="BA355" s="465">
        <f t="shared" si="155"/>
        <v>0</v>
      </c>
      <c r="BB355" s="264" t="e" cm="1">
        <f t="array" ref="BB355">INDEX(BallastFactorTable[Commercial BPA Reference Number],MATCH(1,(BallastFactorTable[Fixture Class]=J355)*(BallastFactorTable[Fixture Category]=K355)*(BallastFactorTable[Fixture Sub-category]=L355),0))</f>
        <v>#N/A</v>
      </c>
      <c r="BC355" s="133" t="e" cm="1">
        <f t="array" ref="BC355">INDEX(BallastFactorTable[Industrial BPA Reference Number],MATCH(1,(BallastFactorTable[Fixture Class]=J355)*(BallastFactorTable[Fixture Category]=K355)*(BallastFactorTable[Fixture Sub-category]=L355),0))</f>
        <v>#N/A</v>
      </c>
      <c r="BD355" s="264" t="str">
        <f t="shared" si="156"/>
        <v>Sector is blank</v>
      </c>
      <c r="BE355" s="269" t="str">
        <f>IF(ISBLANK(SectorField),"Sector is blank",IF(AM355="Row Not Used","",IF(OR(R355="No Controls",ISBLANK(R355)),"",INDEX(ControlsBPARefNoTable[Reference Number],MATCH(SectorField,ControlsBPARefNoTable[Sector],0)))))</f>
        <v>Sector is blank</v>
      </c>
      <c r="BF355" s="530" t="str">
        <f t="shared" si="157"/>
        <v/>
      </c>
      <c r="BG355" s="132" t="str">
        <f t="shared" si="158"/>
        <v/>
      </c>
      <c r="BH355" s="531" t="str">
        <f t="shared" si="159"/>
        <v/>
      </c>
      <c r="BI355" s="532"/>
      <c r="BJ355" s="538" t="str">
        <f t="shared" si="165"/>
        <v/>
      </c>
      <c r="BK355" s="539" t="str">
        <f t="shared" si="166"/>
        <v/>
      </c>
      <c r="BL355" s="547" t="str">
        <f t="shared" si="167"/>
        <v/>
      </c>
    </row>
    <row r="356" spans="1:64" x14ac:dyDescent="0.3">
      <c r="A356" s="133">
        <v>349</v>
      </c>
      <c r="B356" s="294"/>
      <c r="C356" s="313"/>
      <c r="D356" s="292"/>
      <c r="E356" s="284"/>
      <c r="F356" s="284"/>
      <c r="G356" s="295"/>
      <c r="H356" s="296"/>
      <c r="I356" s="297"/>
      <c r="J356" s="292"/>
      <c r="K356" s="284"/>
      <c r="L356" s="284"/>
      <c r="M356" s="295"/>
      <c r="N356" s="296"/>
      <c r="O356" s="296"/>
      <c r="P356" s="284"/>
      <c r="Q356" s="298"/>
      <c r="R356" s="292"/>
      <c r="S356" s="299"/>
      <c r="T356" s="300"/>
      <c r="U356" s="317" t="str">
        <f t="shared" si="141"/>
        <v/>
      </c>
      <c r="V356" s="301"/>
      <c r="W356" s="137" t="str">
        <f t="shared" si="142"/>
        <v/>
      </c>
      <c r="X356" s="589" t="str">
        <f t="shared" si="160"/>
        <v/>
      </c>
      <c r="Y356" s="581"/>
      <c r="Z356" s="251" t="str">
        <f t="shared" si="143"/>
        <v/>
      </c>
      <c r="AA356" s="138" t="str">
        <f t="shared" si="168"/>
        <v/>
      </c>
      <c r="AB356" s="243" t="str">
        <f t="shared" si="161"/>
        <v/>
      </c>
      <c r="AC356" s="141" t="str">
        <f t="shared" si="144"/>
        <v/>
      </c>
      <c r="AD356" s="138" t="str">
        <f t="shared" si="162"/>
        <v/>
      </c>
      <c r="AE356" s="243" t="str">
        <f t="shared" si="145"/>
        <v/>
      </c>
      <c r="AF356" s="342" t="str">
        <f>IF(AM356="Row Not Used","",INDEX(SpaceTable[Annual Hours],(MATCH(B356,SpaceTable[Space Name Concatenated Helper],0))))</f>
        <v/>
      </c>
      <c r="AG356" s="205" t="str">
        <f t="shared" si="146"/>
        <v/>
      </c>
      <c r="AH356" s="234" t="str">
        <f t="shared" si="147"/>
        <v/>
      </c>
      <c r="AI356" s="205" t="str">
        <f t="shared" si="148"/>
        <v/>
      </c>
      <c r="AJ356" s="234" t="str">
        <f t="shared" si="149"/>
        <v/>
      </c>
      <c r="AK356" s="144" t="str">
        <f>IF(AM356="Row Not Used","",INDEX(SpaceTable[Row],(MATCH(B356,SpaceTable[Space Name Concatenated Helper],0))))</f>
        <v/>
      </c>
      <c r="AL356" s="238" t="str">
        <f>IF(AM356="Row Not Used","",INDEX(SpaceTable[HVAC Factor],(MATCH(B356,SpaceTable[Space Name Concatenated Helper],0))))</f>
        <v/>
      </c>
      <c r="AM356" s="520" t="str">
        <f t="shared" si="150"/>
        <v>Row Not Used</v>
      </c>
      <c r="AN356" s="512" t="e" cm="1">
        <f t="array" ref="AN356">INDEX(BallastFactorTable[Ballast Factor],MATCH(1,(BallastFactorTable[Fixture Class]=D356)*(BallastFactorTable[Fixture Category]=E356)*(BallastFactorTable[Fixture Sub-category]=F356),0))</f>
        <v>#N/A</v>
      </c>
      <c r="AO356" s="143" t="str">
        <f t="shared" si="163"/>
        <v/>
      </c>
      <c r="AP356" s="501" t="e" cm="1">
        <f t="array" ref="AP356">INDEX(BallastFactorTable[Wattage Range Name],MATCH(1,(BallastFactorTable[Fixture Class]=D356)*(BallastFactorTable[Fixture Category]=E356)*(BallastFactorTable[Fixture Sub-category]=F356),0))</f>
        <v>#N/A</v>
      </c>
      <c r="AQ356" s="515" t="str">
        <f t="shared" ca="1" si="151"/>
        <v>Okay</v>
      </c>
      <c r="AR356" s="512">
        <f t="shared" si="152"/>
        <v>0</v>
      </c>
      <c r="AS356" s="511" t="str">
        <f>IF(OR(Measures!AM356="Row Not Used",Measures!C356="Controls Only",Measures!C356="Decommissioning"),"",_xlfn.CONCAT(P356," ",Q356))</f>
        <v/>
      </c>
      <c r="AT356" s="264" t="str">
        <f t="shared" si="153"/>
        <v>None</v>
      </c>
      <c r="AU356" s="229">
        <f>IF(OR(AM356="Row Not Used",AM356="Controls Only"),0,INDEX(IncentiveRateTable[Incentive Rate],MATCH(AT356,IncentiveRateTable[Incentive Name],0)))</f>
        <v>0</v>
      </c>
      <c r="AV356" s="133" t="str">
        <f>IF(OR(AM356="Row Not Used",AM356="Controls Only"),"None",INDEX(IncentiveRateTable[Incentive Unit],MATCH(AT356,IncentiveRateTable[Incentive Name],0)))</f>
        <v>None</v>
      </c>
      <c r="AW356" s="578">
        <f t="shared" si="164"/>
        <v>0</v>
      </c>
      <c r="AX356" s="264" t="str">
        <f t="shared" si="154"/>
        <v>None</v>
      </c>
      <c r="AY356" s="229">
        <f>IF(OR(AM356="Row Not Used",AM356="Fixtures Only",AM356="Decommissioning"),0,INDEX(IncentiveRateTable[Incentive Rate],MATCH(AX356,IncentiveRateTable[Incentive Name],0)))</f>
        <v>0</v>
      </c>
      <c r="AZ356" s="133" t="str">
        <f>IF(OR(AM356="Row Not Used",AM356="Fixtures Only",AM356="Decommissioning"),"None",INDEX(IncentiveRateTable[Incentive Unit],MATCH(AX356,IncentiveRateTable[Incentive Name],0)))</f>
        <v>None</v>
      </c>
      <c r="BA356" s="465">
        <f t="shared" si="155"/>
        <v>0</v>
      </c>
      <c r="BB356" s="264" t="e" cm="1">
        <f t="array" ref="BB356">INDEX(BallastFactorTable[Commercial BPA Reference Number],MATCH(1,(BallastFactorTable[Fixture Class]=J356)*(BallastFactorTable[Fixture Category]=K356)*(BallastFactorTable[Fixture Sub-category]=L356),0))</f>
        <v>#N/A</v>
      </c>
      <c r="BC356" s="133" t="e" cm="1">
        <f t="array" ref="BC356">INDEX(BallastFactorTable[Industrial BPA Reference Number],MATCH(1,(BallastFactorTable[Fixture Class]=J356)*(BallastFactorTable[Fixture Category]=K356)*(BallastFactorTable[Fixture Sub-category]=L356),0))</f>
        <v>#N/A</v>
      </c>
      <c r="BD356" s="264" t="str">
        <f t="shared" si="156"/>
        <v>Sector is blank</v>
      </c>
      <c r="BE356" s="269" t="str">
        <f>IF(ISBLANK(SectorField),"Sector is blank",IF(AM356="Row Not Used","",IF(OR(R356="No Controls",ISBLANK(R356)),"",INDEX(ControlsBPARefNoTable[Reference Number],MATCH(SectorField,ControlsBPARefNoTable[Sector],0)))))</f>
        <v>Sector is blank</v>
      </c>
      <c r="BF356" s="530" t="str">
        <f t="shared" si="157"/>
        <v/>
      </c>
      <c r="BG356" s="132" t="str">
        <f t="shared" si="158"/>
        <v/>
      </c>
      <c r="BH356" s="531" t="str">
        <f t="shared" si="159"/>
        <v/>
      </c>
      <c r="BI356" s="532"/>
      <c r="BJ356" s="538" t="str">
        <f t="shared" si="165"/>
        <v/>
      </c>
      <c r="BK356" s="539" t="str">
        <f t="shared" si="166"/>
        <v/>
      </c>
      <c r="BL356" s="547" t="str">
        <f t="shared" si="167"/>
        <v/>
      </c>
    </row>
    <row r="357" spans="1:64" x14ac:dyDescent="0.3">
      <c r="A357" s="133">
        <v>350</v>
      </c>
      <c r="B357" s="294"/>
      <c r="C357" s="313"/>
      <c r="D357" s="292"/>
      <c r="E357" s="284"/>
      <c r="F357" s="284"/>
      <c r="G357" s="295"/>
      <c r="H357" s="296"/>
      <c r="I357" s="297"/>
      <c r="J357" s="292"/>
      <c r="K357" s="284"/>
      <c r="L357" s="284"/>
      <c r="M357" s="295"/>
      <c r="N357" s="296"/>
      <c r="O357" s="296"/>
      <c r="P357" s="284"/>
      <c r="Q357" s="298"/>
      <c r="R357" s="292"/>
      <c r="S357" s="299"/>
      <c r="T357" s="300"/>
      <c r="U357" s="317" t="str">
        <f t="shared" si="141"/>
        <v/>
      </c>
      <c r="V357" s="301"/>
      <c r="W357" s="136" t="str">
        <f t="shared" si="142"/>
        <v/>
      </c>
      <c r="X357" s="588" t="str">
        <f t="shared" si="160"/>
        <v/>
      </c>
      <c r="Y357" s="580"/>
      <c r="Z357" s="251" t="str">
        <f t="shared" si="143"/>
        <v/>
      </c>
      <c r="AA357" s="138" t="str">
        <f t="shared" si="168"/>
        <v/>
      </c>
      <c r="AB357" s="243" t="str">
        <f t="shared" si="161"/>
        <v/>
      </c>
      <c r="AC357" s="141" t="str">
        <f t="shared" si="144"/>
        <v/>
      </c>
      <c r="AD357" s="138" t="str">
        <f t="shared" si="162"/>
        <v/>
      </c>
      <c r="AE357" s="243" t="str">
        <f t="shared" si="145"/>
        <v/>
      </c>
      <c r="AF357" s="342" t="str">
        <f>IF(AM357="Row Not Used","",INDEX(SpaceTable[Annual Hours],(MATCH(B357,SpaceTable[Space Name Concatenated Helper],0))))</f>
        <v/>
      </c>
      <c r="AG357" s="205" t="str">
        <f t="shared" si="146"/>
        <v/>
      </c>
      <c r="AH357" s="234" t="str">
        <f t="shared" si="147"/>
        <v/>
      </c>
      <c r="AI357" s="205" t="str">
        <f t="shared" si="148"/>
        <v/>
      </c>
      <c r="AJ357" s="234" t="str">
        <f t="shared" si="149"/>
        <v/>
      </c>
      <c r="AK357" s="144" t="str">
        <f>IF(AM357="Row Not Used","",INDEX(SpaceTable[Row],(MATCH(B357,SpaceTable[Space Name Concatenated Helper],0))))</f>
        <v/>
      </c>
      <c r="AL357" s="238" t="str">
        <f>IF(AM357="Row Not Used","",INDEX(SpaceTable[HVAC Factor],(MATCH(B357,SpaceTable[Space Name Concatenated Helper],0))))</f>
        <v/>
      </c>
      <c r="AM357" s="520" t="str">
        <f t="shared" si="150"/>
        <v>Row Not Used</v>
      </c>
      <c r="AN357" s="512" t="e" cm="1">
        <f t="array" ref="AN357">INDEX(BallastFactorTable[Ballast Factor],MATCH(1,(BallastFactorTable[Fixture Class]=D357)*(BallastFactorTable[Fixture Category]=E357)*(BallastFactorTable[Fixture Sub-category]=F357),0))</f>
        <v>#N/A</v>
      </c>
      <c r="AO357" s="143" t="str">
        <f t="shared" si="163"/>
        <v/>
      </c>
      <c r="AP357" s="501" t="e" cm="1">
        <f t="array" ref="AP357">INDEX(BallastFactorTable[Wattage Range Name],MATCH(1,(BallastFactorTable[Fixture Class]=D357)*(BallastFactorTable[Fixture Category]=E357)*(BallastFactorTable[Fixture Sub-category]=F357),0))</f>
        <v>#N/A</v>
      </c>
      <c r="AQ357" s="515" t="str">
        <f t="shared" ca="1" si="151"/>
        <v>Okay</v>
      </c>
      <c r="AR357" s="512">
        <f t="shared" si="152"/>
        <v>0</v>
      </c>
      <c r="AS357" s="511" t="str">
        <f>IF(OR(Measures!AM357="Row Not Used",Measures!C357="Controls Only",Measures!C357="Decommissioning"),"",_xlfn.CONCAT(P357," ",Q357))</f>
        <v/>
      </c>
      <c r="AT357" s="264" t="str">
        <f t="shared" si="153"/>
        <v>None</v>
      </c>
      <c r="AU357" s="229">
        <f>IF(OR(AM357="Row Not Used",AM357="Controls Only"),0,INDEX(IncentiveRateTable[Incentive Rate],MATCH(AT357,IncentiveRateTable[Incentive Name],0)))</f>
        <v>0</v>
      </c>
      <c r="AV357" s="133" t="str">
        <f>IF(OR(AM357="Row Not Used",AM357="Controls Only"),"None",INDEX(IncentiveRateTable[Incentive Unit],MATCH(AT357,IncentiveRateTable[Incentive Name],0)))</f>
        <v>None</v>
      </c>
      <c r="AW357" s="578">
        <f t="shared" si="164"/>
        <v>0</v>
      </c>
      <c r="AX357" s="264" t="str">
        <f t="shared" si="154"/>
        <v>None</v>
      </c>
      <c r="AY357" s="229">
        <f>IF(OR(AM357="Row Not Used",AM357="Fixtures Only",AM357="Decommissioning"),0,INDEX(IncentiveRateTable[Incentive Rate],MATCH(AX357,IncentiveRateTable[Incentive Name],0)))</f>
        <v>0</v>
      </c>
      <c r="AZ357" s="133" t="str">
        <f>IF(OR(AM357="Row Not Used",AM357="Fixtures Only",AM357="Decommissioning"),"None",INDEX(IncentiveRateTable[Incentive Unit],MATCH(AX357,IncentiveRateTable[Incentive Name],0)))</f>
        <v>None</v>
      </c>
      <c r="BA357" s="465">
        <f t="shared" si="155"/>
        <v>0</v>
      </c>
      <c r="BB357" s="264" t="e" cm="1">
        <f t="array" ref="BB357">INDEX(BallastFactorTable[Commercial BPA Reference Number],MATCH(1,(BallastFactorTable[Fixture Class]=J357)*(BallastFactorTable[Fixture Category]=K357)*(BallastFactorTable[Fixture Sub-category]=L357),0))</f>
        <v>#N/A</v>
      </c>
      <c r="BC357" s="133" t="e" cm="1">
        <f t="array" ref="BC357">INDEX(BallastFactorTable[Industrial BPA Reference Number],MATCH(1,(BallastFactorTable[Fixture Class]=J357)*(BallastFactorTable[Fixture Category]=K357)*(BallastFactorTable[Fixture Sub-category]=L357),0))</f>
        <v>#N/A</v>
      </c>
      <c r="BD357" s="264" t="str">
        <f t="shared" si="156"/>
        <v>Sector is blank</v>
      </c>
      <c r="BE357" s="269" t="str">
        <f>IF(ISBLANK(SectorField),"Sector is blank",IF(AM357="Row Not Used","",IF(OR(R357="No Controls",ISBLANK(R357)),"",INDEX(ControlsBPARefNoTable[Reference Number],MATCH(SectorField,ControlsBPARefNoTable[Sector],0)))))</f>
        <v>Sector is blank</v>
      </c>
      <c r="BF357" s="530" t="str">
        <f t="shared" si="157"/>
        <v/>
      </c>
      <c r="BG357" s="132" t="str">
        <f t="shared" si="158"/>
        <v/>
      </c>
      <c r="BH357" s="531" t="str">
        <f t="shared" si="159"/>
        <v/>
      </c>
      <c r="BI357" s="532"/>
      <c r="BJ357" s="538" t="str">
        <f t="shared" si="165"/>
        <v/>
      </c>
      <c r="BK357" s="539" t="str">
        <f t="shared" si="166"/>
        <v/>
      </c>
      <c r="BL357" s="547" t="str">
        <f t="shared" si="167"/>
        <v/>
      </c>
    </row>
    <row r="358" spans="1:64" x14ac:dyDescent="0.3">
      <c r="A358" s="133">
        <v>351</v>
      </c>
      <c r="B358" s="294"/>
      <c r="C358" s="313"/>
      <c r="D358" s="292"/>
      <c r="E358" s="284"/>
      <c r="F358" s="284"/>
      <c r="G358" s="295"/>
      <c r="H358" s="296"/>
      <c r="I358" s="297"/>
      <c r="J358" s="292"/>
      <c r="K358" s="284"/>
      <c r="L358" s="284"/>
      <c r="M358" s="295"/>
      <c r="N358" s="296"/>
      <c r="O358" s="296"/>
      <c r="P358" s="284"/>
      <c r="Q358" s="298"/>
      <c r="R358" s="292"/>
      <c r="S358" s="299"/>
      <c r="T358" s="300"/>
      <c r="U358" s="317" t="str">
        <f t="shared" si="141"/>
        <v/>
      </c>
      <c r="V358" s="301"/>
      <c r="W358" s="137" t="str">
        <f t="shared" si="142"/>
        <v/>
      </c>
      <c r="X358" s="589" t="str">
        <f t="shared" si="160"/>
        <v/>
      </c>
      <c r="Y358" s="581"/>
      <c r="Z358" s="251" t="str">
        <f t="shared" si="143"/>
        <v/>
      </c>
      <c r="AA358" s="138" t="str">
        <f t="shared" si="168"/>
        <v/>
      </c>
      <c r="AB358" s="243" t="str">
        <f t="shared" si="161"/>
        <v/>
      </c>
      <c r="AC358" s="141" t="str">
        <f t="shared" si="144"/>
        <v/>
      </c>
      <c r="AD358" s="138" t="str">
        <f t="shared" si="162"/>
        <v/>
      </c>
      <c r="AE358" s="243" t="str">
        <f t="shared" si="145"/>
        <v/>
      </c>
      <c r="AF358" s="342" t="str">
        <f>IF(AM358="Row Not Used","",INDEX(SpaceTable[Annual Hours],(MATCH(B358,SpaceTable[Space Name Concatenated Helper],0))))</f>
        <v/>
      </c>
      <c r="AG358" s="205" t="str">
        <f t="shared" si="146"/>
        <v/>
      </c>
      <c r="AH358" s="234" t="str">
        <f t="shared" si="147"/>
        <v/>
      </c>
      <c r="AI358" s="205" t="str">
        <f t="shared" si="148"/>
        <v/>
      </c>
      <c r="AJ358" s="234" t="str">
        <f t="shared" si="149"/>
        <v/>
      </c>
      <c r="AK358" s="144" t="str">
        <f>IF(AM358="Row Not Used","",INDEX(SpaceTable[Row],(MATCH(B358,SpaceTable[Space Name Concatenated Helper],0))))</f>
        <v/>
      </c>
      <c r="AL358" s="238" t="str">
        <f>IF(AM358="Row Not Used","",INDEX(SpaceTable[HVAC Factor],(MATCH(B358,SpaceTable[Space Name Concatenated Helper],0))))</f>
        <v/>
      </c>
      <c r="AM358" s="520" t="str">
        <f t="shared" si="150"/>
        <v>Row Not Used</v>
      </c>
      <c r="AN358" s="512" t="e" cm="1">
        <f t="array" ref="AN358">INDEX(BallastFactorTable[Ballast Factor],MATCH(1,(BallastFactorTable[Fixture Class]=D358)*(BallastFactorTable[Fixture Category]=E358)*(BallastFactorTable[Fixture Sub-category]=F358),0))</f>
        <v>#N/A</v>
      </c>
      <c r="AO358" s="143" t="str">
        <f t="shared" si="163"/>
        <v/>
      </c>
      <c r="AP358" s="501" t="e" cm="1">
        <f t="array" ref="AP358">INDEX(BallastFactorTable[Wattage Range Name],MATCH(1,(BallastFactorTable[Fixture Class]=D358)*(BallastFactorTable[Fixture Category]=E358)*(BallastFactorTable[Fixture Sub-category]=F358),0))</f>
        <v>#N/A</v>
      </c>
      <c r="AQ358" s="515" t="str">
        <f t="shared" ca="1" si="151"/>
        <v>Okay</v>
      </c>
      <c r="AR358" s="512">
        <f t="shared" si="152"/>
        <v>0</v>
      </c>
      <c r="AS358" s="511" t="str">
        <f>IF(OR(Measures!AM358="Row Not Used",Measures!C358="Controls Only",Measures!C358="Decommissioning"),"",_xlfn.CONCAT(P358," ",Q358))</f>
        <v/>
      </c>
      <c r="AT358" s="264" t="str">
        <f t="shared" si="153"/>
        <v>None</v>
      </c>
      <c r="AU358" s="229">
        <f>IF(OR(AM358="Row Not Used",AM358="Controls Only"),0,INDEX(IncentiveRateTable[Incentive Rate],MATCH(AT358,IncentiveRateTable[Incentive Name],0)))</f>
        <v>0</v>
      </c>
      <c r="AV358" s="133" t="str">
        <f>IF(OR(AM358="Row Not Used",AM358="Controls Only"),"None",INDEX(IncentiveRateTable[Incentive Unit],MATCH(AT358,IncentiveRateTable[Incentive Name],0)))</f>
        <v>None</v>
      </c>
      <c r="AW358" s="578">
        <f t="shared" si="164"/>
        <v>0</v>
      </c>
      <c r="AX358" s="264" t="str">
        <f t="shared" si="154"/>
        <v>None</v>
      </c>
      <c r="AY358" s="229">
        <f>IF(OR(AM358="Row Not Used",AM358="Fixtures Only",AM358="Decommissioning"),0,INDEX(IncentiveRateTable[Incentive Rate],MATCH(AX358,IncentiveRateTable[Incentive Name],0)))</f>
        <v>0</v>
      </c>
      <c r="AZ358" s="133" t="str">
        <f>IF(OR(AM358="Row Not Used",AM358="Fixtures Only",AM358="Decommissioning"),"None",INDEX(IncentiveRateTable[Incentive Unit],MATCH(AX358,IncentiveRateTable[Incentive Name],0)))</f>
        <v>None</v>
      </c>
      <c r="BA358" s="465">
        <f t="shared" si="155"/>
        <v>0</v>
      </c>
      <c r="BB358" s="264" t="e" cm="1">
        <f t="array" ref="BB358">INDEX(BallastFactorTable[Commercial BPA Reference Number],MATCH(1,(BallastFactorTable[Fixture Class]=J358)*(BallastFactorTable[Fixture Category]=K358)*(BallastFactorTable[Fixture Sub-category]=L358),0))</f>
        <v>#N/A</v>
      </c>
      <c r="BC358" s="133" t="e" cm="1">
        <f t="array" ref="BC358">INDEX(BallastFactorTable[Industrial BPA Reference Number],MATCH(1,(BallastFactorTable[Fixture Class]=J358)*(BallastFactorTable[Fixture Category]=K358)*(BallastFactorTable[Fixture Sub-category]=L358),0))</f>
        <v>#N/A</v>
      </c>
      <c r="BD358" s="264" t="str">
        <f t="shared" si="156"/>
        <v>Sector is blank</v>
      </c>
      <c r="BE358" s="269" t="str">
        <f>IF(ISBLANK(SectorField),"Sector is blank",IF(AM358="Row Not Used","",IF(OR(R358="No Controls",ISBLANK(R358)),"",INDEX(ControlsBPARefNoTable[Reference Number],MATCH(SectorField,ControlsBPARefNoTable[Sector],0)))))</f>
        <v>Sector is blank</v>
      </c>
      <c r="BF358" s="530" t="str">
        <f t="shared" si="157"/>
        <v/>
      </c>
      <c r="BG358" s="132" t="str">
        <f t="shared" si="158"/>
        <v/>
      </c>
      <c r="BH358" s="531" t="str">
        <f t="shared" si="159"/>
        <v/>
      </c>
      <c r="BI358" s="532"/>
      <c r="BJ358" s="538" t="str">
        <f t="shared" si="165"/>
        <v/>
      </c>
      <c r="BK358" s="539" t="str">
        <f t="shared" si="166"/>
        <v/>
      </c>
      <c r="BL358" s="547" t="str">
        <f t="shared" si="167"/>
        <v/>
      </c>
    </row>
    <row r="359" spans="1:64" x14ac:dyDescent="0.3">
      <c r="A359" s="133">
        <v>352</v>
      </c>
      <c r="B359" s="294"/>
      <c r="C359" s="313"/>
      <c r="D359" s="292"/>
      <c r="E359" s="284"/>
      <c r="F359" s="284"/>
      <c r="G359" s="295"/>
      <c r="H359" s="296"/>
      <c r="I359" s="297"/>
      <c r="J359" s="292"/>
      <c r="K359" s="284"/>
      <c r="L359" s="284"/>
      <c r="M359" s="295"/>
      <c r="N359" s="296"/>
      <c r="O359" s="296"/>
      <c r="P359" s="284"/>
      <c r="Q359" s="298"/>
      <c r="R359" s="292"/>
      <c r="S359" s="299"/>
      <c r="T359" s="300"/>
      <c r="U359" s="317" t="str">
        <f t="shared" si="141"/>
        <v/>
      </c>
      <c r="V359" s="301"/>
      <c r="W359" s="136" t="str">
        <f t="shared" si="142"/>
        <v/>
      </c>
      <c r="X359" s="588" t="str">
        <f t="shared" si="160"/>
        <v/>
      </c>
      <c r="Y359" s="580"/>
      <c r="Z359" s="251" t="str">
        <f t="shared" si="143"/>
        <v/>
      </c>
      <c r="AA359" s="138" t="str">
        <f t="shared" si="168"/>
        <v/>
      </c>
      <c r="AB359" s="243" t="str">
        <f t="shared" si="161"/>
        <v/>
      </c>
      <c r="AC359" s="141" t="str">
        <f t="shared" si="144"/>
        <v/>
      </c>
      <c r="AD359" s="138" t="str">
        <f t="shared" si="162"/>
        <v/>
      </c>
      <c r="AE359" s="243" t="str">
        <f t="shared" si="145"/>
        <v/>
      </c>
      <c r="AF359" s="342" t="str">
        <f>IF(AM359="Row Not Used","",INDEX(SpaceTable[Annual Hours],(MATCH(B359,SpaceTable[Space Name Concatenated Helper],0))))</f>
        <v/>
      </c>
      <c r="AG359" s="205" t="str">
        <f t="shared" si="146"/>
        <v/>
      </c>
      <c r="AH359" s="234" t="str">
        <f t="shared" si="147"/>
        <v/>
      </c>
      <c r="AI359" s="205" t="str">
        <f t="shared" si="148"/>
        <v/>
      </c>
      <c r="AJ359" s="234" t="str">
        <f t="shared" si="149"/>
        <v/>
      </c>
      <c r="AK359" s="144" t="str">
        <f>IF(AM359="Row Not Used","",INDEX(SpaceTable[Row],(MATCH(B359,SpaceTable[Space Name Concatenated Helper],0))))</f>
        <v/>
      </c>
      <c r="AL359" s="238" t="str">
        <f>IF(AM359="Row Not Used","",INDEX(SpaceTable[HVAC Factor],(MATCH(B359,SpaceTable[Space Name Concatenated Helper],0))))</f>
        <v/>
      </c>
      <c r="AM359" s="520" t="str">
        <f t="shared" si="150"/>
        <v>Row Not Used</v>
      </c>
      <c r="AN359" s="512" t="e" cm="1">
        <f t="array" ref="AN359">INDEX(BallastFactorTable[Ballast Factor],MATCH(1,(BallastFactorTable[Fixture Class]=D359)*(BallastFactorTable[Fixture Category]=E359)*(BallastFactorTable[Fixture Sub-category]=F359),0))</f>
        <v>#N/A</v>
      </c>
      <c r="AO359" s="143" t="str">
        <f t="shared" si="163"/>
        <v/>
      </c>
      <c r="AP359" s="501" t="e" cm="1">
        <f t="array" ref="AP359">INDEX(BallastFactorTable[Wattage Range Name],MATCH(1,(BallastFactorTable[Fixture Class]=D359)*(BallastFactorTable[Fixture Category]=E359)*(BallastFactorTable[Fixture Sub-category]=F359),0))</f>
        <v>#N/A</v>
      </c>
      <c r="AQ359" s="515" t="str">
        <f t="shared" ca="1" si="151"/>
        <v>Okay</v>
      </c>
      <c r="AR359" s="512">
        <f t="shared" si="152"/>
        <v>0</v>
      </c>
      <c r="AS359" s="511" t="str">
        <f>IF(OR(Measures!AM359="Row Not Used",Measures!C359="Controls Only",Measures!C359="Decommissioning"),"",_xlfn.CONCAT(P359," ",Q359))</f>
        <v/>
      </c>
      <c r="AT359" s="264" t="str">
        <f t="shared" si="153"/>
        <v>None</v>
      </c>
      <c r="AU359" s="229">
        <f>IF(OR(AM359="Row Not Used",AM359="Controls Only"),0,INDEX(IncentiveRateTable[Incentive Rate],MATCH(AT359,IncentiveRateTable[Incentive Name],0)))</f>
        <v>0</v>
      </c>
      <c r="AV359" s="133" t="str">
        <f>IF(OR(AM359="Row Not Used",AM359="Controls Only"),"None",INDEX(IncentiveRateTable[Incentive Unit],MATCH(AT359,IncentiveRateTable[Incentive Name],0)))</f>
        <v>None</v>
      </c>
      <c r="AW359" s="578">
        <f t="shared" si="164"/>
        <v>0</v>
      </c>
      <c r="AX359" s="264" t="str">
        <f t="shared" si="154"/>
        <v>None</v>
      </c>
      <c r="AY359" s="229">
        <f>IF(OR(AM359="Row Not Used",AM359="Fixtures Only",AM359="Decommissioning"),0,INDEX(IncentiveRateTable[Incentive Rate],MATCH(AX359,IncentiveRateTable[Incentive Name],0)))</f>
        <v>0</v>
      </c>
      <c r="AZ359" s="133" t="str">
        <f>IF(OR(AM359="Row Not Used",AM359="Fixtures Only",AM359="Decommissioning"),"None",INDEX(IncentiveRateTable[Incentive Unit],MATCH(AX359,IncentiveRateTable[Incentive Name],0)))</f>
        <v>None</v>
      </c>
      <c r="BA359" s="465">
        <f t="shared" si="155"/>
        <v>0</v>
      </c>
      <c r="BB359" s="264" t="e" cm="1">
        <f t="array" ref="BB359">INDEX(BallastFactorTable[Commercial BPA Reference Number],MATCH(1,(BallastFactorTable[Fixture Class]=J359)*(BallastFactorTable[Fixture Category]=K359)*(BallastFactorTable[Fixture Sub-category]=L359),0))</f>
        <v>#N/A</v>
      </c>
      <c r="BC359" s="133" t="e" cm="1">
        <f t="array" ref="BC359">INDEX(BallastFactorTable[Industrial BPA Reference Number],MATCH(1,(BallastFactorTable[Fixture Class]=J359)*(BallastFactorTable[Fixture Category]=K359)*(BallastFactorTable[Fixture Sub-category]=L359),0))</f>
        <v>#N/A</v>
      </c>
      <c r="BD359" s="264" t="str">
        <f t="shared" si="156"/>
        <v>Sector is blank</v>
      </c>
      <c r="BE359" s="269" t="str">
        <f>IF(ISBLANK(SectorField),"Sector is blank",IF(AM359="Row Not Used","",IF(OR(R359="No Controls",ISBLANK(R359)),"",INDEX(ControlsBPARefNoTable[Reference Number],MATCH(SectorField,ControlsBPARefNoTable[Sector],0)))))</f>
        <v>Sector is blank</v>
      </c>
      <c r="BF359" s="530" t="str">
        <f t="shared" si="157"/>
        <v/>
      </c>
      <c r="BG359" s="132" t="str">
        <f t="shared" si="158"/>
        <v/>
      </c>
      <c r="BH359" s="531" t="str">
        <f t="shared" si="159"/>
        <v/>
      </c>
      <c r="BI359" s="532"/>
      <c r="BJ359" s="538" t="str">
        <f t="shared" si="165"/>
        <v/>
      </c>
      <c r="BK359" s="539" t="str">
        <f t="shared" si="166"/>
        <v/>
      </c>
      <c r="BL359" s="547" t="str">
        <f t="shared" si="167"/>
        <v/>
      </c>
    </row>
    <row r="360" spans="1:64" x14ac:dyDescent="0.3">
      <c r="A360" s="133">
        <v>353</v>
      </c>
      <c r="B360" s="294"/>
      <c r="C360" s="313"/>
      <c r="D360" s="292"/>
      <c r="E360" s="284"/>
      <c r="F360" s="284"/>
      <c r="G360" s="295"/>
      <c r="H360" s="296"/>
      <c r="I360" s="297"/>
      <c r="J360" s="292"/>
      <c r="K360" s="284"/>
      <c r="L360" s="284"/>
      <c r="M360" s="295"/>
      <c r="N360" s="296"/>
      <c r="O360" s="296"/>
      <c r="P360" s="284"/>
      <c r="Q360" s="298"/>
      <c r="R360" s="292"/>
      <c r="S360" s="299"/>
      <c r="T360" s="300"/>
      <c r="U360" s="317" t="str">
        <f t="shared" si="141"/>
        <v/>
      </c>
      <c r="V360" s="301"/>
      <c r="W360" s="137" t="str">
        <f t="shared" si="142"/>
        <v/>
      </c>
      <c r="X360" s="589" t="str">
        <f t="shared" si="160"/>
        <v/>
      </c>
      <c r="Y360" s="581"/>
      <c r="Z360" s="251" t="str">
        <f t="shared" si="143"/>
        <v/>
      </c>
      <c r="AA360" s="138" t="str">
        <f t="shared" si="168"/>
        <v/>
      </c>
      <c r="AB360" s="243" t="str">
        <f t="shared" si="161"/>
        <v/>
      </c>
      <c r="AC360" s="141" t="str">
        <f t="shared" si="144"/>
        <v/>
      </c>
      <c r="AD360" s="138" t="str">
        <f t="shared" si="162"/>
        <v/>
      </c>
      <c r="AE360" s="243" t="str">
        <f t="shared" si="145"/>
        <v/>
      </c>
      <c r="AF360" s="342" t="str">
        <f>IF(AM360="Row Not Used","",INDEX(SpaceTable[Annual Hours],(MATCH(B360,SpaceTable[Space Name Concatenated Helper],0))))</f>
        <v/>
      </c>
      <c r="AG360" s="205" t="str">
        <f t="shared" si="146"/>
        <v/>
      </c>
      <c r="AH360" s="234" t="str">
        <f t="shared" si="147"/>
        <v/>
      </c>
      <c r="AI360" s="205" t="str">
        <f t="shared" si="148"/>
        <v/>
      </c>
      <c r="AJ360" s="234" t="str">
        <f t="shared" si="149"/>
        <v/>
      </c>
      <c r="AK360" s="144" t="str">
        <f>IF(AM360="Row Not Used","",INDEX(SpaceTable[Row],(MATCH(B360,SpaceTable[Space Name Concatenated Helper],0))))</f>
        <v/>
      </c>
      <c r="AL360" s="238" t="str">
        <f>IF(AM360="Row Not Used","",INDEX(SpaceTable[HVAC Factor],(MATCH(B360,SpaceTable[Space Name Concatenated Helper],0))))</f>
        <v/>
      </c>
      <c r="AM360" s="520" t="str">
        <f t="shared" si="150"/>
        <v>Row Not Used</v>
      </c>
      <c r="AN360" s="512" t="e" cm="1">
        <f t="array" ref="AN360">INDEX(BallastFactorTable[Ballast Factor],MATCH(1,(BallastFactorTable[Fixture Class]=D360)*(BallastFactorTable[Fixture Category]=E360)*(BallastFactorTable[Fixture Sub-category]=F360),0))</f>
        <v>#N/A</v>
      </c>
      <c r="AO360" s="143" t="str">
        <f t="shared" si="163"/>
        <v/>
      </c>
      <c r="AP360" s="501" t="e" cm="1">
        <f t="array" ref="AP360">INDEX(BallastFactorTable[Wattage Range Name],MATCH(1,(BallastFactorTable[Fixture Class]=D360)*(BallastFactorTable[Fixture Category]=E360)*(BallastFactorTable[Fixture Sub-category]=F360),0))</f>
        <v>#N/A</v>
      </c>
      <c r="AQ360" s="515" t="str">
        <f t="shared" ca="1" si="151"/>
        <v>Okay</v>
      </c>
      <c r="AR360" s="512">
        <f t="shared" si="152"/>
        <v>0</v>
      </c>
      <c r="AS360" s="511" t="str">
        <f>IF(OR(Measures!AM360="Row Not Used",Measures!C360="Controls Only",Measures!C360="Decommissioning"),"",_xlfn.CONCAT(P360," ",Q360))</f>
        <v/>
      </c>
      <c r="AT360" s="264" t="str">
        <f t="shared" si="153"/>
        <v>None</v>
      </c>
      <c r="AU360" s="229">
        <f>IF(OR(AM360="Row Not Used",AM360="Controls Only"),0,INDEX(IncentiveRateTable[Incentive Rate],MATCH(AT360,IncentiveRateTable[Incentive Name],0)))</f>
        <v>0</v>
      </c>
      <c r="AV360" s="133" t="str">
        <f>IF(OR(AM360="Row Not Used",AM360="Controls Only"),"None",INDEX(IncentiveRateTable[Incentive Unit],MATCH(AT360,IncentiveRateTable[Incentive Name],0)))</f>
        <v>None</v>
      </c>
      <c r="AW360" s="578">
        <f t="shared" si="164"/>
        <v>0</v>
      </c>
      <c r="AX360" s="264" t="str">
        <f t="shared" si="154"/>
        <v>None</v>
      </c>
      <c r="AY360" s="229">
        <f>IF(OR(AM360="Row Not Used",AM360="Fixtures Only",AM360="Decommissioning"),0,INDEX(IncentiveRateTable[Incentive Rate],MATCH(AX360,IncentiveRateTable[Incentive Name],0)))</f>
        <v>0</v>
      </c>
      <c r="AZ360" s="133" t="str">
        <f>IF(OR(AM360="Row Not Used",AM360="Fixtures Only",AM360="Decommissioning"),"None",INDEX(IncentiveRateTable[Incentive Unit],MATCH(AX360,IncentiveRateTable[Incentive Name],0)))</f>
        <v>None</v>
      </c>
      <c r="BA360" s="465">
        <f t="shared" si="155"/>
        <v>0</v>
      </c>
      <c r="BB360" s="264" t="e" cm="1">
        <f t="array" ref="BB360">INDEX(BallastFactorTable[Commercial BPA Reference Number],MATCH(1,(BallastFactorTable[Fixture Class]=J360)*(BallastFactorTable[Fixture Category]=K360)*(BallastFactorTable[Fixture Sub-category]=L360),0))</f>
        <v>#N/A</v>
      </c>
      <c r="BC360" s="133" t="e" cm="1">
        <f t="array" ref="BC360">INDEX(BallastFactorTable[Industrial BPA Reference Number],MATCH(1,(BallastFactorTable[Fixture Class]=J360)*(BallastFactorTable[Fixture Category]=K360)*(BallastFactorTable[Fixture Sub-category]=L360),0))</f>
        <v>#N/A</v>
      </c>
      <c r="BD360" s="264" t="str">
        <f t="shared" si="156"/>
        <v>Sector is blank</v>
      </c>
      <c r="BE360" s="269" t="str">
        <f>IF(ISBLANK(SectorField),"Sector is blank",IF(AM360="Row Not Used","",IF(OR(R360="No Controls",ISBLANK(R360)),"",INDEX(ControlsBPARefNoTable[Reference Number],MATCH(SectorField,ControlsBPARefNoTable[Sector],0)))))</f>
        <v>Sector is blank</v>
      </c>
      <c r="BF360" s="530" t="str">
        <f t="shared" si="157"/>
        <v/>
      </c>
      <c r="BG360" s="132" t="str">
        <f t="shared" si="158"/>
        <v/>
      </c>
      <c r="BH360" s="531" t="str">
        <f t="shared" si="159"/>
        <v/>
      </c>
      <c r="BI360" s="532"/>
      <c r="BJ360" s="538" t="str">
        <f t="shared" si="165"/>
        <v/>
      </c>
      <c r="BK360" s="539" t="str">
        <f t="shared" si="166"/>
        <v/>
      </c>
      <c r="BL360" s="547" t="str">
        <f t="shared" si="167"/>
        <v/>
      </c>
    </row>
    <row r="361" spans="1:64" x14ac:dyDescent="0.3">
      <c r="A361" s="133">
        <v>354</v>
      </c>
      <c r="B361" s="294"/>
      <c r="C361" s="313"/>
      <c r="D361" s="292"/>
      <c r="E361" s="284"/>
      <c r="F361" s="284"/>
      <c r="G361" s="295"/>
      <c r="H361" s="296"/>
      <c r="I361" s="297"/>
      <c r="J361" s="292"/>
      <c r="K361" s="284"/>
      <c r="L361" s="284"/>
      <c r="M361" s="295"/>
      <c r="N361" s="296"/>
      <c r="O361" s="296"/>
      <c r="P361" s="284"/>
      <c r="Q361" s="298"/>
      <c r="R361" s="292"/>
      <c r="S361" s="299"/>
      <c r="T361" s="300"/>
      <c r="U361" s="317" t="str">
        <f t="shared" si="141"/>
        <v/>
      </c>
      <c r="V361" s="301"/>
      <c r="W361" s="136" t="str">
        <f t="shared" si="142"/>
        <v/>
      </c>
      <c r="X361" s="588" t="str">
        <f t="shared" si="160"/>
        <v/>
      </c>
      <c r="Y361" s="580"/>
      <c r="Z361" s="251" t="str">
        <f t="shared" si="143"/>
        <v/>
      </c>
      <c r="AA361" s="138" t="str">
        <f t="shared" si="168"/>
        <v/>
      </c>
      <c r="AB361" s="243" t="str">
        <f t="shared" si="161"/>
        <v/>
      </c>
      <c r="AC361" s="141" t="str">
        <f t="shared" si="144"/>
        <v/>
      </c>
      <c r="AD361" s="138" t="str">
        <f t="shared" si="162"/>
        <v/>
      </c>
      <c r="AE361" s="243" t="str">
        <f t="shared" si="145"/>
        <v/>
      </c>
      <c r="AF361" s="342" t="str">
        <f>IF(AM361="Row Not Used","",INDEX(SpaceTable[Annual Hours],(MATCH(B361,SpaceTable[Space Name Concatenated Helper],0))))</f>
        <v/>
      </c>
      <c r="AG361" s="205" t="str">
        <f t="shared" si="146"/>
        <v/>
      </c>
      <c r="AH361" s="234" t="str">
        <f t="shared" si="147"/>
        <v/>
      </c>
      <c r="AI361" s="205" t="str">
        <f t="shared" si="148"/>
        <v/>
      </c>
      <c r="AJ361" s="234" t="str">
        <f t="shared" si="149"/>
        <v/>
      </c>
      <c r="AK361" s="144" t="str">
        <f>IF(AM361="Row Not Used","",INDEX(SpaceTable[Row],(MATCH(B361,SpaceTable[Space Name Concatenated Helper],0))))</f>
        <v/>
      </c>
      <c r="AL361" s="238" t="str">
        <f>IF(AM361="Row Not Used","",INDEX(SpaceTable[HVAC Factor],(MATCH(B361,SpaceTable[Space Name Concatenated Helper],0))))</f>
        <v/>
      </c>
      <c r="AM361" s="520" t="str">
        <f t="shared" si="150"/>
        <v>Row Not Used</v>
      </c>
      <c r="AN361" s="512" t="e" cm="1">
        <f t="array" ref="AN361">INDEX(BallastFactorTable[Ballast Factor],MATCH(1,(BallastFactorTable[Fixture Class]=D361)*(BallastFactorTable[Fixture Category]=E361)*(BallastFactorTable[Fixture Sub-category]=F361),0))</f>
        <v>#N/A</v>
      </c>
      <c r="AO361" s="143" t="str">
        <f t="shared" si="163"/>
        <v/>
      </c>
      <c r="AP361" s="501" t="e" cm="1">
        <f t="array" ref="AP361">INDEX(BallastFactorTable[Wattage Range Name],MATCH(1,(BallastFactorTable[Fixture Class]=D361)*(BallastFactorTable[Fixture Category]=E361)*(BallastFactorTable[Fixture Sub-category]=F361),0))</f>
        <v>#N/A</v>
      </c>
      <c r="AQ361" s="515" t="str">
        <f t="shared" ca="1" si="151"/>
        <v>Okay</v>
      </c>
      <c r="AR361" s="512">
        <f t="shared" si="152"/>
        <v>0</v>
      </c>
      <c r="AS361" s="511" t="str">
        <f>IF(OR(Measures!AM361="Row Not Used",Measures!C361="Controls Only",Measures!C361="Decommissioning"),"",_xlfn.CONCAT(P361," ",Q361))</f>
        <v/>
      </c>
      <c r="AT361" s="264" t="str">
        <f t="shared" si="153"/>
        <v>None</v>
      </c>
      <c r="AU361" s="229">
        <f>IF(OR(AM361="Row Not Used",AM361="Controls Only"),0,INDEX(IncentiveRateTable[Incentive Rate],MATCH(AT361,IncentiveRateTable[Incentive Name],0)))</f>
        <v>0</v>
      </c>
      <c r="AV361" s="133" t="str">
        <f>IF(OR(AM361="Row Not Used",AM361="Controls Only"),"None",INDEX(IncentiveRateTable[Incentive Unit],MATCH(AT361,IncentiveRateTable[Incentive Name],0)))</f>
        <v>None</v>
      </c>
      <c r="AW361" s="578">
        <f t="shared" si="164"/>
        <v>0</v>
      </c>
      <c r="AX361" s="264" t="str">
        <f t="shared" si="154"/>
        <v>None</v>
      </c>
      <c r="AY361" s="229">
        <f>IF(OR(AM361="Row Not Used",AM361="Fixtures Only",AM361="Decommissioning"),0,INDEX(IncentiveRateTable[Incentive Rate],MATCH(AX361,IncentiveRateTable[Incentive Name],0)))</f>
        <v>0</v>
      </c>
      <c r="AZ361" s="133" t="str">
        <f>IF(OR(AM361="Row Not Used",AM361="Fixtures Only",AM361="Decommissioning"),"None",INDEX(IncentiveRateTable[Incentive Unit],MATCH(AX361,IncentiveRateTable[Incentive Name],0)))</f>
        <v>None</v>
      </c>
      <c r="BA361" s="465">
        <f t="shared" si="155"/>
        <v>0</v>
      </c>
      <c r="BB361" s="264" t="e" cm="1">
        <f t="array" ref="BB361">INDEX(BallastFactorTable[Commercial BPA Reference Number],MATCH(1,(BallastFactorTable[Fixture Class]=J361)*(BallastFactorTable[Fixture Category]=K361)*(BallastFactorTable[Fixture Sub-category]=L361),0))</f>
        <v>#N/A</v>
      </c>
      <c r="BC361" s="133" t="e" cm="1">
        <f t="array" ref="BC361">INDEX(BallastFactorTable[Industrial BPA Reference Number],MATCH(1,(BallastFactorTable[Fixture Class]=J361)*(BallastFactorTable[Fixture Category]=K361)*(BallastFactorTable[Fixture Sub-category]=L361),0))</f>
        <v>#N/A</v>
      </c>
      <c r="BD361" s="264" t="str">
        <f t="shared" si="156"/>
        <v>Sector is blank</v>
      </c>
      <c r="BE361" s="269" t="str">
        <f>IF(ISBLANK(SectorField),"Sector is blank",IF(AM361="Row Not Used","",IF(OR(R361="No Controls",ISBLANK(R361)),"",INDEX(ControlsBPARefNoTable[Reference Number],MATCH(SectorField,ControlsBPARefNoTable[Sector],0)))))</f>
        <v>Sector is blank</v>
      </c>
      <c r="BF361" s="530" t="str">
        <f t="shared" si="157"/>
        <v/>
      </c>
      <c r="BG361" s="132" t="str">
        <f t="shared" si="158"/>
        <v/>
      </c>
      <c r="BH361" s="531" t="str">
        <f t="shared" si="159"/>
        <v/>
      </c>
      <c r="BI361" s="532"/>
      <c r="BJ361" s="538" t="str">
        <f t="shared" si="165"/>
        <v/>
      </c>
      <c r="BK361" s="539" t="str">
        <f t="shared" si="166"/>
        <v/>
      </c>
      <c r="BL361" s="547" t="str">
        <f t="shared" si="167"/>
        <v/>
      </c>
    </row>
    <row r="362" spans="1:64" x14ac:dyDescent="0.3">
      <c r="A362" s="133">
        <v>355</v>
      </c>
      <c r="B362" s="294"/>
      <c r="C362" s="313"/>
      <c r="D362" s="292"/>
      <c r="E362" s="284"/>
      <c r="F362" s="284"/>
      <c r="G362" s="295"/>
      <c r="H362" s="296"/>
      <c r="I362" s="297"/>
      <c r="J362" s="292"/>
      <c r="K362" s="284"/>
      <c r="L362" s="284"/>
      <c r="M362" s="295"/>
      <c r="N362" s="296"/>
      <c r="O362" s="296"/>
      <c r="P362" s="284"/>
      <c r="Q362" s="298"/>
      <c r="R362" s="292"/>
      <c r="S362" s="299"/>
      <c r="T362" s="300"/>
      <c r="U362" s="317" t="str">
        <f t="shared" si="141"/>
        <v/>
      </c>
      <c r="V362" s="301"/>
      <c r="W362" s="137" t="str">
        <f t="shared" si="142"/>
        <v/>
      </c>
      <c r="X362" s="589" t="str">
        <f t="shared" si="160"/>
        <v/>
      </c>
      <c r="Y362" s="581"/>
      <c r="Z362" s="251" t="str">
        <f t="shared" si="143"/>
        <v/>
      </c>
      <c r="AA362" s="138" t="str">
        <f t="shared" si="168"/>
        <v/>
      </c>
      <c r="AB362" s="243" t="str">
        <f t="shared" si="161"/>
        <v/>
      </c>
      <c r="AC362" s="141" t="str">
        <f t="shared" si="144"/>
        <v/>
      </c>
      <c r="AD362" s="138" t="str">
        <f t="shared" si="162"/>
        <v/>
      </c>
      <c r="AE362" s="243" t="str">
        <f t="shared" si="145"/>
        <v/>
      </c>
      <c r="AF362" s="342" t="str">
        <f>IF(AM362="Row Not Used","",INDEX(SpaceTable[Annual Hours],(MATCH(B362,SpaceTable[Space Name Concatenated Helper],0))))</f>
        <v/>
      </c>
      <c r="AG362" s="205" t="str">
        <f t="shared" si="146"/>
        <v/>
      </c>
      <c r="AH362" s="234" t="str">
        <f t="shared" si="147"/>
        <v/>
      </c>
      <c r="AI362" s="205" t="str">
        <f t="shared" si="148"/>
        <v/>
      </c>
      <c r="AJ362" s="234" t="str">
        <f t="shared" si="149"/>
        <v/>
      </c>
      <c r="AK362" s="144" t="str">
        <f>IF(AM362="Row Not Used","",INDEX(SpaceTable[Row],(MATCH(B362,SpaceTable[Space Name Concatenated Helper],0))))</f>
        <v/>
      </c>
      <c r="AL362" s="238" t="str">
        <f>IF(AM362="Row Not Used","",INDEX(SpaceTable[HVAC Factor],(MATCH(B362,SpaceTable[Space Name Concatenated Helper],0))))</f>
        <v/>
      </c>
      <c r="AM362" s="520" t="str">
        <f t="shared" si="150"/>
        <v>Row Not Used</v>
      </c>
      <c r="AN362" s="512" t="e" cm="1">
        <f t="array" ref="AN362">INDEX(BallastFactorTable[Ballast Factor],MATCH(1,(BallastFactorTable[Fixture Class]=D362)*(BallastFactorTable[Fixture Category]=E362)*(BallastFactorTable[Fixture Sub-category]=F362),0))</f>
        <v>#N/A</v>
      </c>
      <c r="AO362" s="143" t="str">
        <f t="shared" si="163"/>
        <v/>
      </c>
      <c r="AP362" s="501" t="e" cm="1">
        <f t="array" ref="AP362">INDEX(BallastFactorTable[Wattage Range Name],MATCH(1,(BallastFactorTable[Fixture Class]=D362)*(BallastFactorTable[Fixture Category]=E362)*(BallastFactorTable[Fixture Sub-category]=F362),0))</f>
        <v>#N/A</v>
      </c>
      <c r="AQ362" s="515" t="str">
        <f t="shared" ca="1" si="151"/>
        <v>Okay</v>
      </c>
      <c r="AR362" s="512">
        <f t="shared" si="152"/>
        <v>0</v>
      </c>
      <c r="AS362" s="511" t="str">
        <f>IF(OR(Measures!AM362="Row Not Used",Measures!C362="Controls Only",Measures!C362="Decommissioning"),"",_xlfn.CONCAT(P362," ",Q362))</f>
        <v/>
      </c>
      <c r="AT362" s="264" t="str">
        <f t="shared" si="153"/>
        <v>None</v>
      </c>
      <c r="AU362" s="229">
        <f>IF(OR(AM362="Row Not Used",AM362="Controls Only"),0,INDEX(IncentiveRateTable[Incentive Rate],MATCH(AT362,IncentiveRateTable[Incentive Name],0)))</f>
        <v>0</v>
      </c>
      <c r="AV362" s="133" t="str">
        <f>IF(OR(AM362="Row Not Used",AM362="Controls Only"),"None",INDEX(IncentiveRateTable[Incentive Unit],MATCH(AT362,IncentiveRateTable[Incentive Name],0)))</f>
        <v>None</v>
      </c>
      <c r="AW362" s="578">
        <f t="shared" si="164"/>
        <v>0</v>
      </c>
      <c r="AX362" s="264" t="str">
        <f t="shared" si="154"/>
        <v>None</v>
      </c>
      <c r="AY362" s="229">
        <f>IF(OR(AM362="Row Not Used",AM362="Fixtures Only",AM362="Decommissioning"),0,INDEX(IncentiveRateTable[Incentive Rate],MATCH(AX362,IncentiveRateTable[Incentive Name],0)))</f>
        <v>0</v>
      </c>
      <c r="AZ362" s="133" t="str">
        <f>IF(OR(AM362="Row Not Used",AM362="Fixtures Only",AM362="Decommissioning"),"None",INDEX(IncentiveRateTable[Incentive Unit],MATCH(AX362,IncentiveRateTable[Incentive Name],0)))</f>
        <v>None</v>
      </c>
      <c r="BA362" s="465">
        <f t="shared" si="155"/>
        <v>0</v>
      </c>
      <c r="BB362" s="264" t="e" cm="1">
        <f t="array" ref="BB362">INDEX(BallastFactorTable[Commercial BPA Reference Number],MATCH(1,(BallastFactorTable[Fixture Class]=J362)*(BallastFactorTable[Fixture Category]=K362)*(BallastFactorTable[Fixture Sub-category]=L362),0))</f>
        <v>#N/A</v>
      </c>
      <c r="BC362" s="133" t="e" cm="1">
        <f t="array" ref="BC362">INDEX(BallastFactorTable[Industrial BPA Reference Number],MATCH(1,(BallastFactorTable[Fixture Class]=J362)*(BallastFactorTable[Fixture Category]=K362)*(BallastFactorTable[Fixture Sub-category]=L362),0))</f>
        <v>#N/A</v>
      </c>
      <c r="BD362" s="264" t="str">
        <f t="shared" si="156"/>
        <v>Sector is blank</v>
      </c>
      <c r="BE362" s="269" t="str">
        <f>IF(ISBLANK(SectorField),"Sector is blank",IF(AM362="Row Not Used","",IF(OR(R362="No Controls",ISBLANK(R362)),"",INDEX(ControlsBPARefNoTable[Reference Number],MATCH(SectorField,ControlsBPARefNoTable[Sector],0)))))</f>
        <v>Sector is blank</v>
      </c>
      <c r="BF362" s="530" t="str">
        <f t="shared" si="157"/>
        <v/>
      </c>
      <c r="BG362" s="132" t="str">
        <f t="shared" si="158"/>
        <v/>
      </c>
      <c r="BH362" s="531" t="str">
        <f t="shared" si="159"/>
        <v/>
      </c>
      <c r="BI362" s="532"/>
      <c r="BJ362" s="538" t="str">
        <f t="shared" si="165"/>
        <v/>
      </c>
      <c r="BK362" s="539" t="str">
        <f t="shared" si="166"/>
        <v/>
      </c>
      <c r="BL362" s="547" t="str">
        <f t="shared" si="167"/>
        <v/>
      </c>
    </row>
    <row r="363" spans="1:64" x14ac:dyDescent="0.3">
      <c r="A363" s="133">
        <v>356</v>
      </c>
      <c r="B363" s="294"/>
      <c r="C363" s="313"/>
      <c r="D363" s="292"/>
      <c r="E363" s="284"/>
      <c r="F363" s="284"/>
      <c r="G363" s="295"/>
      <c r="H363" s="296"/>
      <c r="I363" s="297"/>
      <c r="J363" s="292"/>
      <c r="K363" s="284"/>
      <c r="L363" s="284"/>
      <c r="M363" s="295"/>
      <c r="N363" s="296"/>
      <c r="O363" s="296"/>
      <c r="P363" s="284"/>
      <c r="Q363" s="298"/>
      <c r="R363" s="292"/>
      <c r="S363" s="299"/>
      <c r="T363" s="300"/>
      <c r="U363" s="317" t="str">
        <f t="shared" si="141"/>
        <v/>
      </c>
      <c r="V363" s="301"/>
      <c r="W363" s="136" t="str">
        <f t="shared" si="142"/>
        <v/>
      </c>
      <c r="X363" s="588" t="str">
        <f t="shared" si="160"/>
        <v/>
      </c>
      <c r="Y363" s="580"/>
      <c r="Z363" s="251" t="str">
        <f t="shared" si="143"/>
        <v/>
      </c>
      <c r="AA363" s="138" t="str">
        <f t="shared" si="168"/>
        <v/>
      </c>
      <c r="AB363" s="243" t="str">
        <f t="shared" si="161"/>
        <v/>
      </c>
      <c r="AC363" s="141" t="str">
        <f t="shared" si="144"/>
        <v/>
      </c>
      <c r="AD363" s="138" t="str">
        <f t="shared" si="162"/>
        <v/>
      </c>
      <c r="AE363" s="243" t="str">
        <f t="shared" si="145"/>
        <v/>
      </c>
      <c r="AF363" s="342" t="str">
        <f>IF(AM363="Row Not Used","",INDEX(SpaceTable[Annual Hours],(MATCH(B363,SpaceTable[Space Name Concatenated Helper],0))))</f>
        <v/>
      </c>
      <c r="AG363" s="205" t="str">
        <f t="shared" si="146"/>
        <v/>
      </c>
      <c r="AH363" s="234" t="str">
        <f t="shared" si="147"/>
        <v/>
      </c>
      <c r="AI363" s="205" t="str">
        <f t="shared" si="148"/>
        <v/>
      </c>
      <c r="AJ363" s="234" t="str">
        <f t="shared" si="149"/>
        <v/>
      </c>
      <c r="AK363" s="144" t="str">
        <f>IF(AM363="Row Not Used","",INDEX(SpaceTable[Row],(MATCH(B363,SpaceTable[Space Name Concatenated Helper],0))))</f>
        <v/>
      </c>
      <c r="AL363" s="238" t="str">
        <f>IF(AM363="Row Not Used","",INDEX(SpaceTable[HVAC Factor],(MATCH(B363,SpaceTable[Space Name Concatenated Helper],0))))</f>
        <v/>
      </c>
      <c r="AM363" s="520" t="str">
        <f t="shared" si="150"/>
        <v>Row Not Used</v>
      </c>
      <c r="AN363" s="512" t="e" cm="1">
        <f t="array" ref="AN363">INDEX(BallastFactorTable[Ballast Factor],MATCH(1,(BallastFactorTable[Fixture Class]=D363)*(BallastFactorTable[Fixture Category]=E363)*(BallastFactorTable[Fixture Sub-category]=F363),0))</f>
        <v>#N/A</v>
      </c>
      <c r="AO363" s="143" t="str">
        <f t="shared" si="163"/>
        <v/>
      </c>
      <c r="AP363" s="501" t="e" cm="1">
        <f t="array" ref="AP363">INDEX(BallastFactorTable[Wattage Range Name],MATCH(1,(BallastFactorTable[Fixture Class]=D363)*(BallastFactorTable[Fixture Category]=E363)*(BallastFactorTable[Fixture Sub-category]=F363),0))</f>
        <v>#N/A</v>
      </c>
      <c r="AQ363" s="515" t="str">
        <f t="shared" ca="1" si="151"/>
        <v>Okay</v>
      </c>
      <c r="AR363" s="512">
        <f t="shared" si="152"/>
        <v>0</v>
      </c>
      <c r="AS363" s="511" t="str">
        <f>IF(OR(Measures!AM363="Row Not Used",Measures!C363="Controls Only",Measures!C363="Decommissioning"),"",_xlfn.CONCAT(P363," ",Q363))</f>
        <v/>
      </c>
      <c r="AT363" s="264" t="str">
        <f t="shared" si="153"/>
        <v>None</v>
      </c>
      <c r="AU363" s="229">
        <f>IF(OR(AM363="Row Not Used",AM363="Controls Only"),0,INDEX(IncentiveRateTable[Incentive Rate],MATCH(AT363,IncentiveRateTable[Incentive Name],0)))</f>
        <v>0</v>
      </c>
      <c r="AV363" s="133" t="str">
        <f>IF(OR(AM363="Row Not Used",AM363="Controls Only"),"None",INDEX(IncentiveRateTable[Incentive Unit],MATCH(AT363,IncentiveRateTable[Incentive Name],0)))</f>
        <v>None</v>
      </c>
      <c r="AW363" s="578">
        <f t="shared" si="164"/>
        <v>0</v>
      </c>
      <c r="AX363" s="264" t="str">
        <f t="shared" si="154"/>
        <v>None</v>
      </c>
      <c r="AY363" s="229">
        <f>IF(OR(AM363="Row Not Used",AM363="Fixtures Only",AM363="Decommissioning"),0,INDEX(IncentiveRateTable[Incentive Rate],MATCH(AX363,IncentiveRateTable[Incentive Name],0)))</f>
        <v>0</v>
      </c>
      <c r="AZ363" s="133" t="str">
        <f>IF(OR(AM363="Row Not Used",AM363="Fixtures Only",AM363="Decommissioning"),"None",INDEX(IncentiveRateTable[Incentive Unit],MATCH(AX363,IncentiveRateTable[Incentive Name],0)))</f>
        <v>None</v>
      </c>
      <c r="BA363" s="465">
        <f t="shared" si="155"/>
        <v>0</v>
      </c>
      <c r="BB363" s="264" t="e" cm="1">
        <f t="array" ref="BB363">INDEX(BallastFactorTable[Commercial BPA Reference Number],MATCH(1,(BallastFactorTable[Fixture Class]=J363)*(BallastFactorTable[Fixture Category]=K363)*(BallastFactorTable[Fixture Sub-category]=L363),0))</f>
        <v>#N/A</v>
      </c>
      <c r="BC363" s="133" t="e" cm="1">
        <f t="array" ref="BC363">INDEX(BallastFactorTable[Industrial BPA Reference Number],MATCH(1,(BallastFactorTable[Fixture Class]=J363)*(BallastFactorTable[Fixture Category]=K363)*(BallastFactorTable[Fixture Sub-category]=L363),0))</f>
        <v>#N/A</v>
      </c>
      <c r="BD363" s="264" t="str">
        <f t="shared" si="156"/>
        <v>Sector is blank</v>
      </c>
      <c r="BE363" s="269" t="str">
        <f>IF(ISBLANK(SectorField),"Sector is blank",IF(AM363="Row Not Used","",IF(OR(R363="No Controls",ISBLANK(R363)),"",INDEX(ControlsBPARefNoTable[Reference Number],MATCH(SectorField,ControlsBPARefNoTable[Sector],0)))))</f>
        <v>Sector is blank</v>
      </c>
      <c r="BF363" s="530" t="str">
        <f t="shared" si="157"/>
        <v/>
      </c>
      <c r="BG363" s="132" t="str">
        <f t="shared" si="158"/>
        <v/>
      </c>
      <c r="BH363" s="531" t="str">
        <f t="shared" si="159"/>
        <v/>
      </c>
      <c r="BI363" s="532"/>
      <c r="BJ363" s="538" t="str">
        <f t="shared" si="165"/>
        <v/>
      </c>
      <c r="BK363" s="539" t="str">
        <f t="shared" si="166"/>
        <v/>
      </c>
      <c r="BL363" s="547" t="str">
        <f t="shared" si="167"/>
        <v/>
      </c>
    </row>
    <row r="364" spans="1:64" x14ac:dyDescent="0.3">
      <c r="A364" s="133">
        <v>357</v>
      </c>
      <c r="B364" s="294"/>
      <c r="C364" s="313"/>
      <c r="D364" s="292"/>
      <c r="E364" s="284"/>
      <c r="F364" s="284"/>
      <c r="G364" s="295"/>
      <c r="H364" s="296"/>
      <c r="I364" s="297"/>
      <c r="J364" s="292"/>
      <c r="K364" s="284"/>
      <c r="L364" s="284"/>
      <c r="M364" s="295"/>
      <c r="N364" s="296"/>
      <c r="O364" s="296"/>
      <c r="P364" s="284"/>
      <c r="Q364" s="298"/>
      <c r="R364" s="292"/>
      <c r="S364" s="299"/>
      <c r="T364" s="300"/>
      <c r="U364" s="317" t="str">
        <f t="shared" si="141"/>
        <v/>
      </c>
      <c r="V364" s="301"/>
      <c r="W364" s="137" t="str">
        <f t="shared" si="142"/>
        <v/>
      </c>
      <c r="X364" s="589" t="str">
        <f t="shared" si="160"/>
        <v/>
      </c>
      <c r="Y364" s="581"/>
      <c r="Z364" s="251" t="str">
        <f t="shared" si="143"/>
        <v/>
      </c>
      <c r="AA364" s="138" t="str">
        <f t="shared" si="168"/>
        <v/>
      </c>
      <c r="AB364" s="243" t="str">
        <f t="shared" si="161"/>
        <v/>
      </c>
      <c r="AC364" s="141" t="str">
        <f t="shared" si="144"/>
        <v/>
      </c>
      <c r="AD364" s="138" t="str">
        <f t="shared" si="162"/>
        <v/>
      </c>
      <c r="AE364" s="243" t="str">
        <f t="shared" si="145"/>
        <v/>
      </c>
      <c r="AF364" s="342" t="str">
        <f>IF(AM364="Row Not Used","",INDEX(SpaceTable[Annual Hours],(MATCH(B364,SpaceTable[Space Name Concatenated Helper],0))))</f>
        <v/>
      </c>
      <c r="AG364" s="205" t="str">
        <f t="shared" si="146"/>
        <v/>
      </c>
      <c r="AH364" s="234" t="str">
        <f t="shared" si="147"/>
        <v/>
      </c>
      <c r="AI364" s="205" t="str">
        <f t="shared" si="148"/>
        <v/>
      </c>
      <c r="AJ364" s="234" t="str">
        <f t="shared" si="149"/>
        <v/>
      </c>
      <c r="AK364" s="144" t="str">
        <f>IF(AM364="Row Not Used","",INDEX(SpaceTable[Row],(MATCH(B364,SpaceTable[Space Name Concatenated Helper],0))))</f>
        <v/>
      </c>
      <c r="AL364" s="238" t="str">
        <f>IF(AM364="Row Not Used","",INDEX(SpaceTable[HVAC Factor],(MATCH(B364,SpaceTable[Space Name Concatenated Helper],0))))</f>
        <v/>
      </c>
      <c r="AM364" s="520" t="str">
        <f t="shared" si="150"/>
        <v>Row Not Used</v>
      </c>
      <c r="AN364" s="512" t="e" cm="1">
        <f t="array" ref="AN364">INDEX(BallastFactorTable[Ballast Factor],MATCH(1,(BallastFactorTable[Fixture Class]=D364)*(BallastFactorTable[Fixture Category]=E364)*(BallastFactorTable[Fixture Sub-category]=F364),0))</f>
        <v>#N/A</v>
      </c>
      <c r="AO364" s="143" t="str">
        <f t="shared" si="163"/>
        <v/>
      </c>
      <c r="AP364" s="501" t="e" cm="1">
        <f t="array" ref="AP364">INDEX(BallastFactorTable[Wattage Range Name],MATCH(1,(BallastFactorTable[Fixture Class]=D364)*(BallastFactorTable[Fixture Category]=E364)*(BallastFactorTable[Fixture Sub-category]=F364),0))</f>
        <v>#N/A</v>
      </c>
      <c r="AQ364" s="515" t="str">
        <f t="shared" ca="1" si="151"/>
        <v>Okay</v>
      </c>
      <c r="AR364" s="512">
        <f t="shared" si="152"/>
        <v>0</v>
      </c>
      <c r="AS364" s="511" t="str">
        <f>IF(OR(Measures!AM364="Row Not Used",Measures!C364="Controls Only",Measures!C364="Decommissioning"),"",_xlfn.CONCAT(P364," ",Q364))</f>
        <v/>
      </c>
      <c r="AT364" s="264" t="str">
        <f t="shared" si="153"/>
        <v>None</v>
      </c>
      <c r="AU364" s="229">
        <f>IF(OR(AM364="Row Not Used",AM364="Controls Only"),0,INDEX(IncentiveRateTable[Incentive Rate],MATCH(AT364,IncentiveRateTable[Incentive Name],0)))</f>
        <v>0</v>
      </c>
      <c r="AV364" s="133" t="str">
        <f>IF(OR(AM364="Row Not Used",AM364="Controls Only"),"None",INDEX(IncentiveRateTable[Incentive Unit],MATCH(AT364,IncentiveRateTable[Incentive Name],0)))</f>
        <v>None</v>
      </c>
      <c r="AW364" s="578">
        <f t="shared" si="164"/>
        <v>0</v>
      </c>
      <c r="AX364" s="264" t="str">
        <f t="shared" si="154"/>
        <v>None</v>
      </c>
      <c r="AY364" s="229">
        <f>IF(OR(AM364="Row Not Used",AM364="Fixtures Only",AM364="Decommissioning"),0,INDEX(IncentiveRateTable[Incentive Rate],MATCH(AX364,IncentiveRateTable[Incentive Name],0)))</f>
        <v>0</v>
      </c>
      <c r="AZ364" s="133" t="str">
        <f>IF(OR(AM364="Row Not Used",AM364="Fixtures Only",AM364="Decommissioning"),"None",INDEX(IncentiveRateTable[Incentive Unit],MATCH(AX364,IncentiveRateTable[Incentive Name],0)))</f>
        <v>None</v>
      </c>
      <c r="BA364" s="465">
        <f t="shared" si="155"/>
        <v>0</v>
      </c>
      <c r="BB364" s="264" t="e" cm="1">
        <f t="array" ref="BB364">INDEX(BallastFactorTable[Commercial BPA Reference Number],MATCH(1,(BallastFactorTable[Fixture Class]=J364)*(BallastFactorTable[Fixture Category]=K364)*(BallastFactorTable[Fixture Sub-category]=L364),0))</f>
        <v>#N/A</v>
      </c>
      <c r="BC364" s="133" t="e" cm="1">
        <f t="array" ref="BC364">INDEX(BallastFactorTable[Industrial BPA Reference Number],MATCH(1,(BallastFactorTable[Fixture Class]=J364)*(BallastFactorTable[Fixture Category]=K364)*(BallastFactorTable[Fixture Sub-category]=L364),0))</f>
        <v>#N/A</v>
      </c>
      <c r="BD364" s="264" t="str">
        <f t="shared" si="156"/>
        <v>Sector is blank</v>
      </c>
      <c r="BE364" s="269" t="str">
        <f>IF(ISBLANK(SectorField),"Sector is blank",IF(AM364="Row Not Used","",IF(OR(R364="No Controls",ISBLANK(R364)),"",INDEX(ControlsBPARefNoTable[Reference Number],MATCH(SectorField,ControlsBPARefNoTable[Sector],0)))))</f>
        <v>Sector is blank</v>
      </c>
      <c r="BF364" s="530" t="str">
        <f t="shared" si="157"/>
        <v/>
      </c>
      <c r="BG364" s="132" t="str">
        <f t="shared" si="158"/>
        <v/>
      </c>
      <c r="BH364" s="531" t="str">
        <f t="shared" si="159"/>
        <v/>
      </c>
      <c r="BI364" s="532"/>
      <c r="BJ364" s="538" t="str">
        <f t="shared" si="165"/>
        <v/>
      </c>
      <c r="BK364" s="539" t="str">
        <f t="shared" si="166"/>
        <v/>
      </c>
      <c r="BL364" s="547" t="str">
        <f t="shared" si="167"/>
        <v/>
      </c>
    </row>
    <row r="365" spans="1:64" x14ac:dyDescent="0.3">
      <c r="A365" s="133">
        <v>358</v>
      </c>
      <c r="B365" s="294"/>
      <c r="C365" s="313"/>
      <c r="D365" s="292"/>
      <c r="E365" s="284"/>
      <c r="F365" s="284"/>
      <c r="G365" s="295"/>
      <c r="H365" s="296"/>
      <c r="I365" s="297"/>
      <c r="J365" s="292"/>
      <c r="K365" s="284"/>
      <c r="L365" s="284"/>
      <c r="M365" s="295"/>
      <c r="N365" s="296"/>
      <c r="O365" s="296"/>
      <c r="P365" s="284"/>
      <c r="Q365" s="298"/>
      <c r="R365" s="292"/>
      <c r="S365" s="299"/>
      <c r="T365" s="300"/>
      <c r="U365" s="317" t="str">
        <f t="shared" si="141"/>
        <v/>
      </c>
      <c r="V365" s="301"/>
      <c r="W365" s="136" t="str">
        <f t="shared" si="142"/>
        <v/>
      </c>
      <c r="X365" s="588" t="str">
        <f t="shared" si="160"/>
        <v/>
      </c>
      <c r="Y365" s="580"/>
      <c r="Z365" s="251" t="str">
        <f t="shared" si="143"/>
        <v/>
      </c>
      <c r="AA365" s="138" t="str">
        <f t="shared" si="168"/>
        <v/>
      </c>
      <c r="AB365" s="243" t="str">
        <f t="shared" si="161"/>
        <v/>
      </c>
      <c r="AC365" s="141" t="str">
        <f t="shared" si="144"/>
        <v/>
      </c>
      <c r="AD365" s="138" t="str">
        <f t="shared" si="162"/>
        <v/>
      </c>
      <c r="AE365" s="243" t="str">
        <f t="shared" si="145"/>
        <v/>
      </c>
      <c r="AF365" s="342" t="str">
        <f>IF(AM365="Row Not Used","",INDEX(SpaceTable[Annual Hours],(MATCH(B365,SpaceTable[Space Name Concatenated Helper],0))))</f>
        <v/>
      </c>
      <c r="AG365" s="205" t="str">
        <f t="shared" si="146"/>
        <v/>
      </c>
      <c r="AH365" s="234" t="str">
        <f t="shared" si="147"/>
        <v/>
      </c>
      <c r="AI365" s="205" t="str">
        <f t="shared" si="148"/>
        <v/>
      </c>
      <c r="AJ365" s="234" t="str">
        <f t="shared" si="149"/>
        <v/>
      </c>
      <c r="AK365" s="144" t="str">
        <f>IF(AM365="Row Not Used","",INDEX(SpaceTable[Row],(MATCH(B365,SpaceTable[Space Name Concatenated Helper],0))))</f>
        <v/>
      </c>
      <c r="AL365" s="238" t="str">
        <f>IF(AM365="Row Not Used","",INDEX(SpaceTable[HVAC Factor],(MATCH(B365,SpaceTable[Space Name Concatenated Helper],0))))</f>
        <v/>
      </c>
      <c r="AM365" s="520" t="str">
        <f t="shared" si="150"/>
        <v>Row Not Used</v>
      </c>
      <c r="AN365" s="512" t="e" cm="1">
        <f t="array" ref="AN365">INDEX(BallastFactorTable[Ballast Factor],MATCH(1,(BallastFactorTable[Fixture Class]=D365)*(BallastFactorTable[Fixture Category]=E365)*(BallastFactorTable[Fixture Sub-category]=F365),0))</f>
        <v>#N/A</v>
      </c>
      <c r="AO365" s="143" t="str">
        <f t="shared" si="163"/>
        <v/>
      </c>
      <c r="AP365" s="501" t="e" cm="1">
        <f t="array" ref="AP365">INDEX(BallastFactorTable[Wattage Range Name],MATCH(1,(BallastFactorTable[Fixture Class]=D365)*(BallastFactorTable[Fixture Category]=E365)*(BallastFactorTable[Fixture Sub-category]=F365),0))</f>
        <v>#N/A</v>
      </c>
      <c r="AQ365" s="515" t="str">
        <f t="shared" ca="1" si="151"/>
        <v>Okay</v>
      </c>
      <c r="AR365" s="512">
        <f t="shared" si="152"/>
        <v>0</v>
      </c>
      <c r="AS365" s="511" t="str">
        <f>IF(OR(Measures!AM365="Row Not Used",Measures!C365="Controls Only",Measures!C365="Decommissioning"),"",_xlfn.CONCAT(P365," ",Q365))</f>
        <v/>
      </c>
      <c r="AT365" s="264" t="str">
        <f t="shared" si="153"/>
        <v>None</v>
      </c>
      <c r="AU365" s="229">
        <f>IF(OR(AM365="Row Not Used",AM365="Controls Only"),0,INDEX(IncentiveRateTable[Incentive Rate],MATCH(AT365,IncentiveRateTable[Incentive Name],0)))</f>
        <v>0</v>
      </c>
      <c r="AV365" s="133" t="str">
        <f>IF(OR(AM365="Row Not Used",AM365="Controls Only"),"None",INDEX(IncentiveRateTable[Incentive Unit],MATCH(AT365,IncentiveRateTable[Incentive Name],0)))</f>
        <v>None</v>
      </c>
      <c r="AW365" s="578">
        <f t="shared" si="164"/>
        <v>0</v>
      </c>
      <c r="AX365" s="264" t="str">
        <f t="shared" si="154"/>
        <v>None</v>
      </c>
      <c r="AY365" s="229">
        <f>IF(OR(AM365="Row Not Used",AM365="Fixtures Only",AM365="Decommissioning"),0,INDEX(IncentiveRateTable[Incentive Rate],MATCH(AX365,IncentiveRateTable[Incentive Name],0)))</f>
        <v>0</v>
      </c>
      <c r="AZ365" s="133" t="str">
        <f>IF(OR(AM365="Row Not Used",AM365="Fixtures Only",AM365="Decommissioning"),"None",INDEX(IncentiveRateTable[Incentive Unit],MATCH(AX365,IncentiveRateTable[Incentive Name],0)))</f>
        <v>None</v>
      </c>
      <c r="BA365" s="465">
        <f t="shared" si="155"/>
        <v>0</v>
      </c>
      <c r="BB365" s="264" t="e" cm="1">
        <f t="array" ref="BB365">INDEX(BallastFactorTable[Commercial BPA Reference Number],MATCH(1,(BallastFactorTable[Fixture Class]=J365)*(BallastFactorTable[Fixture Category]=K365)*(BallastFactorTable[Fixture Sub-category]=L365),0))</f>
        <v>#N/A</v>
      </c>
      <c r="BC365" s="133" t="e" cm="1">
        <f t="array" ref="BC365">INDEX(BallastFactorTable[Industrial BPA Reference Number],MATCH(1,(BallastFactorTable[Fixture Class]=J365)*(BallastFactorTable[Fixture Category]=K365)*(BallastFactorTable[Fixture Sub-category]=L365),0))</f>
        <v>#N/A</v>
      </c>
      <c r="BD365" s="264" t="str">
        <f t="shared" si="156"/>
        <v>Sector is blank</v>
      </c>
      <c r="BE365" s="269" t="str">
        <f>IF(ISBLANK(SectorField),"Sector is blank",IF(AM365="Row Not Used","",IF(OR(R365="No Controls",ISBLANK(R365)),"",INDEX(ControlsBPARefNoTable[Reference Number],MATCH(SectorField,ControlsBPARefNoTable[Sector],0)))))</f>
        <v>Sector is blank</v>
      </c>
      <c r="BF365" s="530" t="str">
        <f t="shared" si="157"/>
        <v/>
      </c>
      <c r="BG365" s="132" t="str">
        <f t="shared" si="158"/>
        <v/>
      </c>
      <c r="BH365" s="531" t="str">
        <f t="shared" si="159"/>
        <v/>
      </c>
      <c r="BI365" s="532"/>
      <c r="BJ365" s="538" t="str">
        <f t="shared" si="165"/>
        <v/>
      </c>
      <c r="BK365" s="539" t="str">
        <f t="shared" si="166"/>
        <v/>
      </c>
      <c r="BL365" s="547" t="str">
        <f t="shared" si="167"/>
        <v/>
      </c>
    </row>
    <row r="366" spans="1:64" x14ac:dyDescent="0.3">
      <c r="A366" s="133">
        <v>359</v>
      </c>
      <c r="B366" s="294"/>
      <c r="C366" s="313"/>
      <c r="D366" s="292"/>
      <c r="E366" s="284"/>
      <c r="F366" s="284"/>
      <c r="G366" s="295"/>
      <c r="H366" s="296"/>
      <c r="I366" s="297"/>
      <c r="J366" s="292"/>
      <c r="K366" s="284"/>
      <c r="L366" s="284"/>
      <c r="M366" s="295"/>
      <c r="N366" s="296"/>
      <c r="O366" s="296"/>
      <c r="P366" s="284"/>
      <c r="Q366" s="298"/>
      <c r="R366" s="292"/>
      <c r="S366" s="299"/>
      <c r="T366" s="300"/>
      <c r="U366" s="317" t="str">
        <f t="shared" si="141"/>
        <v/>
      </c>
      <c r="V366" s="301"/>
      <c r="W366" s="137" t="str">
        <f t="shared" si="142"/>
        <v/>
      </c>
      <c r="X366" s="589" t="str">
        <f t="shared" si="160"/>
        <v/>
      </c>
      <c r="Y366" s="581"/>
      <c r="Z366" s="251" t="str">
        <f t="shared" si="143"/>
        <v/>
      </c>
      <c r="AA366" s="138" t="str">
        <f t="shared" si="168"/>
        <v/>
      </c>
      <c r="AB366" s="243" t="str">
        <f t="shared" si="161"/>
        <v/>
      </c>
      <c r="AC366" s="141" t="str">
        <f t="shared" si="144"/>
        <v/>
      </c>
      <c r="AD366" s="138" t="str">
        <f t="shared" si="162"/>
        <v/>
      </c>
      <c r="AE366" s="243" t="str">
        <f t="shared" si="145"/>
        <v/>
      </c>
      <c r="AF366" s="342" t="str">
        <f>IF(AM366="Row Not Used","",INDEX(SpaceTable[Annual Hours],(MATCH(B366,SpaceTable[Space Name Concatenated Helper],0))))</f>
        <v/>
      </c>
      <c r="AG366" s="205" t="str">
        <f t="shared" si="146"/>
        <v/>
      </c>
      <c r="AH366" s="234" t="str">
        <f t="shared" si="147"/>
        <v/>
      </c>
      <c r="AI366" s="205" t="str">
        <f t="shared" si="148"/>
        <v/>
      </c>
      <c r="AJ366" s="234" t="str">
        <f t="shared" si="149"/>
        <v/>
      </c>
      <c r="AK366" s="144" t="str">
        <f>IF(AM366="Row Not Used","",INDEX(SpaceTable[Row],(MATCH(B366,SpaceTable[Space Name Concatenated Helper],0))))</f>
        <v/>
      </c>
      <c r="AL366" s="238" t="str">
        <f>IF(AM366="Row Not Used","",INDEX(SpaceTable[HVAC Factor],(MATCH(B366,SpaceTable[Space Name Concatenated Helper],0))))</f>
        <v/>
      </c>
      <c r="AM366" s="520" t="str">
        <f t="shared" si="150"/>
        <v>Row Not Used</v>
      </c>
      <c r="AN366" s="512" t="e" cm="1">
        <f t="array" ref="AN366">INDEX(BallastFactorTable[Ballast Factor],MATCH(1,(BallastFactorTable[Fixture Class]=D366)*(BallastFactorTable[Fixture Category]=E366)*(BallastFactorTable[Fixture Sub-category]=F366),0))</f>
        <v>#N/A</v>
      </c>
      <c r="AO366" s="143" t="str">
        <f t="shared" si="163"/>
        <v/>
      </c>
      <c r="AP366" s="501" t="e" cm="1">
        <f t="array" ref="AP366">INDEX(BallastFactorTable[Wattage Range Name],MATCH(1,(BallastFactorTable[Fixture Class]=D366)*(BallastFactorTable[Fixture Category]=E366)*(BallastFactorTable[Fixture Sub-category]=F366),0))</f>
        <v>#N/A</v>
      </c>
      <c r="AQ366" s="515" t="str">
        <f t="shared" ca="1" si="151"/>
        <v>Okay</v>
      </c>
      <c r="AR366" s="512">
        <f t="shared" si="152"/>
        <v>0</v>
      </c>
      <c r="AS366" s="511" t="str">
        <f>IF(OR(Measures!AM366="Row Not Used",Measures!C366="Controls Only",Measures!C366="Decommissioning"),"",_xlfn.CONCAT(P366," ",Q366))</f>
        <v/>
      </c>
      <c r="AT366" s="264" t="str">
        <f t="shared" si="153"/>
        <v>None</v>
      </c>
      <c r="AU366" s="229">
        <f>IF(OR(AM366="Row Not Used",AM366="Controls Only"),0,INDEX(IncentiveRateTable[Incentive Rate],MATCH(AT366,IncentiveRateTable[Incentive Name],0)))</f>
        <v>0</v>
      </c>
      <c r="AV366" s="133" t="str">
        <f>IF(OR(AM366="Row Not Used",AM366="Controls Only"),"None",INDEX(IncentiveRateTable[Incentive Unit],MATCH(AT366,IncentiveRateTable[Incentive Name],0)))</f>
        <v>None</v>
      </c>
      <c r="AW366" s="578">
        <f t="shared" si="164"/>
        <v>0</v>
      </c>
      <c r="AX366" s="264" t="str">
        <f t="shared" si="154"/>
        <v>None</v>
      </c>
      <c r="AY366" s="229">
        <f>IF(OR(AM366="Row Not Used",AM366="Fixtures Only",AM366="Decommissioning"),0,INDEX(IncentiveRateTable[Incentive Rate],MATCH(AX366,IncentiveRateTable[Incentive Name],0)))</f>
        <v>0</v>
      </c>
      <c r="AZ366" s="133" t="str">
        <f>IF(OR(AM366="Row Not Used",AM366="Fixtures Only",AM366="Decommissioning"),"None",INDEX(IncentiveRateTable[Incentive Unit],MATCH(AX366,IncentiveRateTable[Incentive Name],0)))</f>
        <v>None</v>
      </c>
      <c r="BA366" s="465">
        <f t="shared" si="155"/>
        <v>0</v>
      </c>
      <c r="BB366" s="264" t="e" cm="1">
        <f t="array" ref="BB366">INDEX(BallastFactorTable[Commercial BPA Reference Number],MATCH(1,(BallastFactorTable[Fixture Class]=J366)*(BallastFactorTable[Fixture Category]=K366)*(BallastFactorTable[Fixture Sub-category]=L366),0))</f>
        <v>#N/A</v>
      </c>
      <c r="BC366" s="133" t="e" cm="1">
        <f t="array" ref="BC366">INDEX(BallastFactorTable[Industrial BPA Reference Number],MATCH(1,(BallastFactorTable[Fixture Class]=J366)*(BallastFactorTable[Fixture Category]=K366)*(BallastFactorTable[Fixture Sub-category]=L366),0))</f>
        <v>#N/A</v>
      </c>
      <c r="BD366" s="264" t="str">
        <f t="shared" si="156"/>
        <v>Sector is blank</v>
      </c>
      <c r="BE366" s="269" t="str">
        <f>IF(ISBLANK(SectorField),"Sector is blank",IF(AM366="Row Not Used","",IF(OR(R366="No Controls",ISBLANK(R366)),"",INDEX(ControlsBPARefNoTable[Reference Number],MATCH(SectorField,ControlsBPARefNoTable[Sector],0)))))</f>
        <v>Sector is blank</v>
      </c>
      <c r="BF366" s="530" t="str">
        <f t="shared" si="157"/>
        <v/>
      </c>
      <c r="BG366" s="132" t="str">
        <f t="shared" si="158"/>
        <v/>
      </c>
      <c r="BH366" s="531" t="str">
        <f t="shared" si="159"/>
        <v/>
      </c>
      <c r="BI366" s="532"/>
      <c r="BJ366" s="538" t="str">
        <f t="shared" si="165"/>
        <v/>
      </c>
      <c r="BK366" s="539" t="str">
        <f t="shared" si="166"/>
        <v/>
      </c>
      <c r="BL366" s="547" t="str">
        <f t="shared" si="167"/>
        <v/>
      </c>
    </row>
    <row r="367" spans="1:64" x14ac:dyDescent="0.3">
      <c r="A367" s="133">
        <v>360</v>
      </c>
      <c r="B367" s="294"/>
      <c r="C367" s="313"/>
      <c r="D367" s="292"/>
      <c r="E367" s="284"/>
      <c r="F367" s="284"/>
      <c r="G367" s="295"/>
      <c r="H367" s="296"/>
      <c r="I367" s="297"/>
      <c r="J367" s="292"/>
      <c r="K367" s="284"/>
      <c r="L367" s="284"/>
      <c r="M367" s="295"/>
      <c r="N367" s="296"/>
      <c r="O367" s="296"/>
      <c r="P367" s="284"/>
      <c r="Q367" s="298"/>
      <c r="R367" s="292"/>
      <c r="S367" s="299"/>
      <c r="T367" s="300"/>
      <c r="U367" s="317" t="str">
        <f t="shared" si="141"/>
        <v/>
      </c>
      <c r="V367" s="301"/>
      <c r="W367" s="136" t="str">
        <f t="shared" si="142"/>
        <v/>
      </c>
      <c r="X367" s="588" t="str">
        <f t="shared" si="160"/>
        <v/>
      </c>
      <c r="Y367" s="580"/>
      <c r="Z367" s="251" t="str">
        <f t="shared" si="143"/>
        <v/>
      </c>
      <c r="AA367" s="138" t="str">
        <f t="shared" si="168"/>
        <v/>
      </c>
      <c r="AB367" s="243" t="str">
        <f t="shared" si="161"/>
        <v/>
      </c>
      <c r="AC367" s="141" t="str">
        <f t="shared" si="144"/>
        <v/>
      </c>
      <c r="AD367" s="138" t="str">
        <f t="shared" si="162"/>
        <v/>
      </c>
      <c r="AE367" s="243" t="str">
        <f t="shared" si="145"/>
        <v/>
      </c>
      <c r="AF367" s="342" t="str">
        <f>IF(AM367="Row Not Used","",INDEX(SpaceTable[Annual Hours],(MATCH(B367,SpaceTable[Space Name Concatenated Helper],0))))</f>
        <v/>
      </c>
      <c r="AG367" s="205" t="str">
        <f t="shared" si="146"/>
        <v/>
      </c>
      <c r="AH367" s="234" t="str">
        <f t="shared" si="147"/>
        <v/>
      </c>
      <c r="AI367" s="205" t="str">
        <f t="shared" si="148"/>
        <v/>
      </c>
      <c r="AJ367" s="234" t="str">
        <f t="shared" si="149"/>
        <v/>
      </c>
      <c r="AK367" s="144" t="str">
        <f>IF(AM367="Row Not Used","",INDEX(SpaceTable[Row],(MATCH(B367,SpaceTable[Space Name Concatenated Helper],0))))</f>
        <v/>
      </c>
      <c r="AL367" s="238" t="str">
        <f>IF(AM367="Row Not Used","",INDEX(SpaceTable[HVAC Factor],(MATCH(B367,SpaceTable[Space Name Concatenated Helper],0))))</f>
        <v/>
      </c>
      <c r="AM367" s="520" t="str">
        <f t="shared" si="150"/>
        <v>Row Not Used</v>
      </c>
      <c r="AN367" s="512" t="e" cm="1">
        <f t="array" ref="AN367">INDEX(BallastFactorTable[Ballast Factor],MATCH(1,(BallastFactorTable[Fixture Class]=D367)*(BallastFactorTable[Fixture Category]=E367)*(BallastFactorTable[Fixture Sub-category]=F367),0))</f>
        <v>#N/A</v>
      </c>
      <c r="AO367" s="143" t="str">
        <f t="shared" si="163"/>
        <v/>
      </c>
      <c r="AP367" s="501" t="e" cm="1">
        <f t="array" ref="AP367">INDEX(BallastFactorTable[Wattage Range Name],MATCH(1,(BallastFactorTable[Fixture Class]=D367)*(BallastFactorTable[Fixture Category]=E367)*(BallastFactorTable[Fixture Sub-category]=F367),0))</f>
        <v>#N/A</v>
      </c>
      <c r="AQ367" s="515" t="str">
        <f t="shared" ca="1" si="151"/>
        <v>Okay</v>
      </c>
      <c r="AR367" s="512">
        <f t="shared" si="152"/>
        <v>0</v>
      </c>
      <c r="AS367" s="511" t="str">
        <f>IF(OR(Measures!AM367="Row Not Used",Measures!C367="Controls Only",Measures!C367="Decommissioning"),"",_xlfn.CONCAT(P367," ",Q367))</f>
        <v/>
      </c>
      <c r="AT367" s="264" t="str">
        <f t="shared" si="153"/>
        <v>None</v>
      </c>
      <c r="AU367" s="229">
        <f>IF(OR(AM367="Row Not Used",AM367="Controls Only"),0,INDEX(IncentiveRateTable[Incentive Rate],MATCH(AT367,IncentiveRateTable[Incentive Name],0)))</f>
        <v>0</v>
      </c>
      <c r="AV367" s="133" t="str">
        <f>IF(OR(AM367="Row Not Used",AM367="Controls Only"),"None",INDEX(IncentiveRateTable[Incentive Unit],MATCH(AT367,IncentiveRateTable[Incentive Name],0)))</f>
        <v>None</v>
      </c>
      <c r="AW367" s="578">
        <f t="shared" si="164"/>
        <v>0</v>
      </c>
      <c r="AX367" s="264" t="str">
        <f t="shared" si="154"/>
        <v>None</v>
      </c>
      <c r="AY367" s="229">
        <f>IF(OR(AM367="Row Not Used",AM367="Fixtures Only",AM367="Decommissioning"),0,INDEX(IncentiveRateTable[Incentive Rate],MATCH(AX367,IncentiveRateTable[Incentive Name],0)))</f>
        <v>0</v>
      </c>
      <c r="AZ367" s="133" t="str">
        <f>IF(OR(AM367="Row Not Used",AM367="Fixtures Only",AM367="Decommissioning"),"None",INDEX(IncentiveRateTable[Incentive Unit],MATCH(AX367,IncentiveRateTable[Incentive Name],0)))</f>
        <v>None</v>
      </c>
      <c r="BA367" s="465">
        <f t="shared" si="155"/>
        <v>0</v>
      </c>
      <c r="BB367" s="264" t="e" cm="1">
        <f t="array" ref="BB367">INDEX(BallastFactorTable[Commercial BPA Reference Number],MATCH(1,(BallastFactorTable[Fixture Class]=J367)*(BallastFactorTable[Fixture Category]=K367)*(BallastFactorTable[Fixture Sub-category]=L367),0))</f>
        <v>#N/A</v>
      </c>
      <c r="BC367" s="133" t="e" cm="1">
        <f t="array" ref="BC367">INDEX(BallastFactorTable[Industrial BPA Reference Number],MATCH(1,(BallastFactorTable[Fixture Class]=J367)*(BallastFactorTable[Fixture Category]=K367)*(BallastFactorTable[Fixture Sub-category]=L367),0))</f>
        <v>#N/A</v>
      </c>
      <c r="BD367" s="264" t="str">
        <f t="shared" si="156"/>
        <v>Sector is blank</v>
      </c>
      <c r="BE367" s="269" t="str">
        <f>IF(ISBLANK(SectorField),"Sector is blank",IF(AM367="Row Not Used","",IF(OR(R367="No Controls",ISBLANK(R367)),"",INDEX(ControlsBPARefNoTable[Reference Number],MATCH(SectorField,ControlsBPARefNoTable[Sector],0)))))</f>
        <v>Sector is blank</v>
      </c>
      <c r="BF367" s="530" t="str">
        <f t="shared" si="157"/>
        <v/>
      </c>
      <c r="BG367" s="132" t="str">
        <f t="shared" si="158"/>
        <v/>
      </c>
      <c r="BH367" s="531" t="str">
        <f t="shared" si="159"/>
        <v/>
      </c>
      <c r="BI367" s="532"/>
      <c r="BJ367" s="538" t="str">
        <f t="shared" si="165"/>
        <v/>
      </c>
      <c r="BK367" s="539" t="str">
        <f t="shared" si="166"/>
        <v/>
      </c>
      <c r="BL367" s="547" t="str">
        <f t="shared" si="167"/>
        <v/>
      </c>
    </row>
    <row r="368" spans="1:64" x14ac:dyDescent="0.3">
      <c r="A368" s="133">
        <v>361</v>
      </c>
      <c r="B368" s="294"/>
      <c r="C368" s="313"/>
      <c r="D368" s="292"/>
      <c r="E368" s="284"/>
      <c r="F368" s="284"/>
      <c r="G368" s="295"/>
      <c r="H368" s="296"/>
      <c r="I368" s="297"/>
      <c r="J368" s="292"/>
      <c r="K368" s="284"/>
      <c r="L368" s="284"/>
      <c r="M368" s="295"/>
      <c r="N368" s="296"/>
      <c r="O368" s="296"/>
      <c r="P368" s="284"/>
      <c r="Q368" s="298"/>
      <c r="R368" s="292"/>
      <c r="S368" s="299"/>
      <c r="T368" s="300"/>
      <c r="U368" s="317" t="str">
        <f t="shared" si="141"/>
        <v/>
      </c>
      <c r="V368" s="301"/>
      <c r="W368" s="137" t="str">
        <f t="shared" si="142"/>
        <v/>
      </c>
      <c r="X368" s="589" t="str">
        <f t="shared" si="160"/>
        <v/>
      </c>
      <c r="Y368" s="581"/>
      <c r="Z368" s="251" t="str">
        <f t="shared" si="143"/>
        <v/>
      </c>
      <c r="AA368" s="138" t="str">
        <f t="shared" si="168"/>
        <v/>
      </c>
      <c r="AB368" s="243" t="str">
        <f t="shared" si="161"/>
        <v/>
      </c>
      <c r="AC368" s="141" t="str">
        <f t="shared" si="144"/>
        <v/>
      </c>
      <c r="AD368" s="138" t="str">
        <f t="shared" si="162"/>
        <v/>
      </c>
      <c r="AE368" s="243" t="str">
        <f t="shared" si="145"/>
        <v/>
      </c>
      <c r="AF368" s="342" t="str">
        <f>IF(AM368="Row Not Used","",INDEX(SpaceTable[Annual Hours],(MATCH(B368,SpaceTable[Space Name Concatenated Helper],0))))</f>
        <v/>
      </c>
      <c r="AG368" s="205" t="str">
        <f t="shared" si="146"/>
        <v/>
      </c>
      <c r="AH368" s="234" t="str">
        <f t="shared" si="147"/>
        <v/>
      </c>
      <c r="AI368" s="205" t="str">
        <f t="shared" si="148"/>
        <v/>
      </c>
      <c r="AJ368" s="234" t="str">
        <f t="shared" si="149"/>
        <v/>
      </c>
      <c r="AK368" s="144" t="str">
        <f>IF(AM368="Row Not Used","",INDEX(SpaceTable[Row],(MATCH(B368,SpaceTable[Space Name Concatenated Helper],0))))</f>
        <v/>
      </c>
      <c r="AL368" s="238" t="str">
        <f>IF(AM368="Row Not Used","",INDEX(SpaceTable[HVAC Factor],(MATCH(B368,SpaceTable[Space Name Concatenated Helper],0))))</f>
        <v/>
      </c>
      <c r="AM368" s="520" t="str">
        <f t="shared" si="150"/>
        <v>Row Not Used</v>
      </c>
      <c r="AN368" s="512" t="e" cm="1">
        <f t="array" ref="AN368">INDEX(BallastFactorTable[Ballast Factor],MATCH(1,(BallastFactorTable[Fixture Class]=D368)*(BallastFactorTable[Fixture Category]=E368)*(BallastFactorTable[Fixture Sub-category]=F368),0))</f>
        <v>#N/A</v>
      </c>
      <c r="AO368" s="143" t="str">
        <f t="shared" si="163"/>
        <v/>
      </c>
      <c r="AP368" s="501" t="e" cm="1">
        <f t="array" ref="AP368">INDEX(BallastFactorTable[Wattage Range Name],MATCH(1,(BallastFactorTable[Fixture Class]=D368)*(BallastFactorTable[Fixture Category]=E368)*(BallastFactorTable[Fixture Sub-category]=F368),0))</f>
        <v>#N/A</v>
      </c>
      <c r="AQ368" s="515" t="str">
        <f t="shared" ca="1" si="151"/>
        <v>Okay</v>
      </c>
      <c r="AR368" s="512">
        <f t="shared" si="152"/>
        <v>0</v>
      </c>
      <c r="AS368" s="511" t="str">
        <f>IF(OR(Measures!AM368="Row Not Used",Measures!C368="Controls Only",Measures!C368="Decommissioning"),"",_xlfn.CONCAT(P368," ",Q368))</f>
        <v/>
      </c>
      <c r="AT368" s="264" t="str">
        <f t="shared" si="153"/>
        <v>None</v>
      </c>
      <c r="AU368" s="229">
        <f>IF(OR(AM368="Row Not Used",AM368="Controls Only"),0,INDEX(IncentiveRateTable[Incentive Rate],MATCH(AT368,IncentiveRateTable[Incentive Name],0)))</f>
        <v>0</v>
      </c>
      <c r="AV368" s="133" t="str">
        <f>IF(OR(AM368="Row Not Used",AM368="Controls Only"),"None",INDEX(IncentiveRateTable[Incentive Unit],MATCH(AT368,IncentiveRateTable[Incentive Name],0)))</f>
        <v>None</v>
      </c>
      <c r="AW368" s="578">
        <f t="shared" si="164"/>
        <v>0</v>
      </c>
      <c r="AX368" s="264" t="str">
        <f t="shared" si="154"/>
        <v>None</v>
      </c>
      <c r="AY368" s="229">
        <f>IF(OR(AM368="Row Not Used",AM368="Fixtures Only",AM368="Decommissioning"),0,INDEX(IncentiveRateTable[Incentive Rate],MATCH(AX368,IncentiveRateTable[Incentive Name],0)))</f>
        <v>0</v>
      </c>
      <c r="AZ368" s="133" t="str">
        <f>IF(OR(AM368="Row Not Used",AM368="Fixtures Only",AM368="Decommissioning"),"None",INDEX(IncentiveRateTable[Incentive Unit],MATCH(AX368,IncentiveRateTable[Incentive Name],0)))</f>
        <v>None</v>
      </c>
      <c r="BA368" s="465">
        <f t="shared" si="155"/>
        <v>0</v>
      </c>
      <c r="BB368" s="264" t="e" cm="1">
        <f t="array" ref="BB368">INDEX(BallastFactorTable[Commercial BPA Reference Number],MATCH(1,(BallastFactorTable[Fixture Class]=J368)*(BallastFactorTable[Fixture Category]=K368)*(BallastFactorTable[Fixture Sub-category]=L368),0))</f>
        <v>#N/A</v>
      </c>
      <c r="BC368" s="133" t="e" cm="1">
        <f t="array" ref="BC368">INDEX(BallastFactorTable[Industrial BPA Reference Number],MATCH(1,(BallastFactorTable[Fixture Class]=J368)*(BallastFactorTable[Fixture Category]=K368)*(BallastFactorTable[Fixture Sub-category]=L368),0))</f>
        <v>#N/A</v>
      </c>
      <c r="BD368" s="264" t="str">
        <f t="shared" si="156"/>
        <v>Sector is blank</v>
      </c>
      <c r="BE368" s="269" t="str">
        <f>IF(ISBLANK(SectorField),"Sector is blank",IF(AM368="Row Not Used","",IF(OR(R368="No Controls",ISBLANK(R368)),"",INDEX(ControlsBPARefNoTable[Reference Number],MATCH(SectorField,ControlsBPARefNoTable[Sector],0)))))</f>
        <v>Sector is blank</v>
      </c>
      <c r="BF368" s="530" t="str">
        <f t="shared" si="157"/>
        <v/>
      </c>
      <c r="BG368" s="132" t="str">
        <f t="shared" si="158"/>
        <v/>
      </c>
      <c r="BH368" s="531" t="str">
        <f t="shared" si="159"/>
        <v/>
      </c>
      <c r="BI368" s="532"/>
      <c r="BJ368" s="538" t="str">
        <f t="shared" si="165"/>
        <v/>
      </c>
      <c r="BK368" s="539" t="str">
        <f t="shared" si="166"/>
        <v/>
      </c>
      <c r="BL368" s="547" t="str">
        <f t="shared" si="167"/>
        <v/>
      </c>
    </row>
    <row r="369" spans="1:64" x14ac:dyDescent="0.3">
      <c r="A369" s="133">
        <v>362</v>
      </c>
      <c r="B369" s="294"/>
      <c r="C369" s="313"/>
      <c r="D369" s="292"/>
      <c r="E369" s="284"/>
      <c r="F369" s="284"/>
      <c r="G369" s="295"/>
      <c r="H369" s="296"/>
      <c r="I369" s="297"/>
      <c r="J369" s="292"/>
      <c r="K369" s="284"/>
      <c r="L369" s="284"/>
      <c r="M369" s="295"/>
      <c r="N369" s="296"/>
      <c r="O369" s="296"/>
      <c r="P369" s="284"/>
      <c r="Q369" s="298"/>
      <c r="R369" s="292"/>
      <c r="S369" s="299"/>
      <c r="T369" s="300"/>
      <c r="U369" s="317" t="str">
        <f t="shared" si="141"/>
        <v/>
      </c>
      <c r="V369" s="301"/>
      <c r="W369" s="136" t="str">
        <f t="shared" si="142"/>
        <v/>
      </c>
      <c r="X369" s="588" t="str">
        <f t="shared" si="160"/>
        <v/>
      </c>
      <c r="Y369" s="580"/>
      <c r="Z369" s="251" t="str">
        <f t="shared" si="143"/>
        <v/>
      </c>
      <c r="AA369" s="138" t="str">
        <f t="shared" si="168"/>
        <v/>
      </c>
      <c r="AB369" s="243" t="str">
        <f t="shared" si="161"/>
        <v/>
      </c>
      <c r="AC369" s="141" t="str">
        <f t="shared" si="144"/>
        <v/>
      </c>
      <c r="AD369" s="138" t="str">
        <f t="shared" si="162"/>
        <v/>
      </c>
      <c r="AE369" s="243" t="str">
        <f t="shared" si="145"/>
        <v/>
      </c>
      <c r="AF369" s="342" t="str">
        <f>IF(AM369="Row Not Used","",INDEX(SpaceTable[Annual Hours],(MATCH(B369,SpaceTable[Space Name Concatenated Helper],0))))</f>
        <v/>
      </c>
      <c r="AG369" s="205" t="str">
        <f t="shared" si="146"/>
        <v/>
      </c>
      <c r="AH369" s="234" t="str">
        <f t="shared" si="147"/>
        <v/>
      </c>
      <c r="AI369" s="205" t="str">
        <f t="shared" si="148"/>
        <v/>
      </c>
      <c r="AJ369" s="234" t="str">
        <f t="shared" si="149"/>
        <v/>
      </c>
      <c r="AK369" s="144" t="str">
        <f>IF(AM369="Row Not Used","",INDEX(SpaceTable[Row],(MATCH(B369,SpaceTable[Space Name Concatenated Helper],0))))</f>
        <v/>
      </c>
      <c r="AL369" s="238" t="str">
        <f>IF(AM369="Row Not Used","",INDEX(SpaceTable[HVAC Factor],(MATCH(B369,SpaceTable[Space Name Concatenated Helper],0))))</f>
        <v/>
      </c>
      <c r="AM369" s="520" t="str">
        <f t="shared" si="150"/>
        <v>Row Not Used</v>
      </c>
      <c r="AN369" s="512" t="e" cm="1">
        <f t="array" ref="AN369">INDEX(BallastFactorTable[Ballast Factor],MATCH(1,(BallastFactorTable[Fixture Class]=D369)*(BallastFactorTable[Fixture Category]=E369)*(BallastFactorTable[Fixture Sub-category]=F369),0))</f>
        <v>#N/A</v>
      </c>
      <c r="AO369" s="143" t="str">
        <f t="shared" si="163"/>
        <v/>
      </c>
      <c r="AP369" s="501" t="e" cm="1">
        <f t="array" ref="AP369">INDEX(BallastFactorTable[Wattage Range Name],MATCH(1,(BallastFactorTable[Fixture Class]=D369)*(BallastFactorTable[Fixture Category]=E369)*(BallastFactorTable[Fixture Sub-category]=F369),0))</f>
        <v>#N/A</v>
      </c>
      <c r="AQ369" s="515" t="str">
        <f t="shared" ca="1" si="151"/>
        <v>Okay</v>
      </c>
      <c r="AR369" s="512">
        <f t="shared" si="152"/>
        <v>0</v>
      </c>
      <c r="AS369" s="511" t="str">
        <f>IF(OR(Measures!AM369="Row Not Used",Measures!C369="Controls Only",Measures!C369="Decommissioning"),"",_xlfn.CONCAT(P369," ",Q369))</f>
        <v/>
      </c>
      <c r="AT369" s="264" t="str">
        <f t="shared" si="153"/>
        <v>None</v>
      </c>
      <c r="AU369" s="229">
        <f>IF(OR(AM369="Row Not Used",AM369="Controls Only"),0,INDEX(IncentiveRateTable[Incentive Rate],MATCH(AT369,IncentiveRateTable[Incentive Name],0)))</f>
        <v>0</v>
      </c>
      <c r="AV369" s="133" t="str">
        <f>IF(OR(AM369="Row Not Used",AM369="Controls Only"),"None",INDEX(IncentiveRateTable[Incentive Unit],MATCH(AT369,IncentiveRateTable[Incentive Name],0)))</f>
        <v>None</v>
      </c>
      <c r="AW369" s="578">
        <f t="shared" si="164"/>
        <v>0</v>
      </c>
      <c r="AX369" s="264" t="str">
        <f t="shared" si="154"/>
        <v>None</v>
      </c>
      <c r="AY369" s="229">
        <f>IF(OR(AM369="Row Not Used",AM369="Fixtures Only",AM369="Decommissioning"),0,INDEX(IncentiveRateTable[Incentive Rate],MATCH(AX369,IncentiveRateTable[Incentive Name],0)))</f>
        <v>0</v>
      </c>
      <c r="AZ369" s="133" t="str">
        <f>IF(OR(AM369="Row Not Used",AM369="Fixtures Only",AM369="Decommissioning"),"None",INDEX(IncentiveRateTable[Incentive Unit],MATCH(AX369,IncentiveRateTable[Incentive Name],0)))</f>
        <v>None</v>
      </c>
      <c r="BA369" s="465">
        <f t="shared" si="155"/>
        <v>0</v>
      </c>
      <c r="BB369" s="264" t="e" cm="1">
        <f t="array" ref="BB369">INDEX(BallastFactorTable[Commercial BPA Reference Number],MATCH(1,(BallastFactorTable[Fixture Class]=J369)*(BallastFactorTable[Fixture Category]=K369)*(BallastFactorTable[Fixture Sub-category]=L369),0))</f>
        <v>#N/A</v>
      </c>
      <c r="BC369" s="133" t="e" cm="1">
        <f t="array" ref="BC369">INDEX(BallastFactorTable[Industrial BPA Reference Number],MATCH(1,(BallastFactorTable[Fixture Class]=J369)*(BallastFactorTable[Fixture Category]=K369)*(BallastFactorTable[Fixture Sub-category]=L369),0))</f>
        <v>#N/A</v>
      </c>
      <c r="BD369" s="264" t="str">
        <f t="shared" si="156"/>
        <v>Sector is blank</v>
      </c>
      <c r="BE369" s="269" t="str">
        <f>IF(ISBLANK(SectorField),"Sector is blank",IF(AM369="Row Not Used","",IF(OR(R369="No Controls",ISBLANK(R369)),"",INDEX(ControlsBPARefNoTable[Reference Number],MATCH(SectorField,ControlsBPARefNoTable[Sector],0)))))</f>
        <v>Sector is blank</v>
      </c>
      <c r="BF369" s="530" t="str">
        <f t="shared" si="157"/>
        <v/>
      </c>
      <c r="BG369" s="132" t="str">
        <f t="shared" si="158"/>
        <v/>
      </c>
      <c r="BH369" s="531" t="str">
        <f t="shared" si="159"/>
        <v/>
      </c>
      <c r="BI369" s="532"/>
      <c r="BJ369" s="538" t="str">
        <f t="shared" si="165"/>
        <v/>
      </c>
      <c r="BK369" s="539" t="str">
        <f t="shared" si="166"/>
        <v/>
      </c>
      <c r="BL369" s="547" t="str">
        <f t="shared" si="167"/>
        <v/>
      </c>
    </row>
    <row r="370" spans="1:64" x14ac:dyDescent="0.3">
      <c r="A370" s="133">
        <v>363</v>
      </c>
      <c r="B370" s="294"/>
      <c r="C370" s="313"/>
      <c r="D370" s="292"/>
      <c r="E370" s="284"/>
      <c r="F370" s="284"/>
      <c r="G370" s="295"/>
      <c r="H370" s="296"/>
      <c r="I370" s="297"/>
      <c r="J370" s="292"/>
      <c r="K370" s="284"/>
      <c r="L370" s="284"/>
      <c r="M370" s="295"/>
      <c r="N370" s="296"/>
      <c r="O370" s="296"/>
      <c r="P370" s="284"/>
      <c r="Q370" s="298"/>
      <c r="R370" s="292"/>
      <c r="S370" s="299"/>
      <c r="T370" s="300"/>
      <c r="U370" s="317" t="str">
        <f t="shared" si="141"/>
        <v/>
      </c>
      <c r="V370" s="301"/>
      <c r="W370" s="137" t="str">
        <f t="shared" si="142"/>
        <v/>
      </c>
      <c r="X370" s="589" t="str">
        <f t="shared" si="160"/>
        <v/>
      </c>
      <c r="Y370" s="581"/>
      <c r="Z370" s="251" t="str">
        <f t="shared" si="143"/>
        <v/>
      </c>
      <c r="AA370" s="138" t="str">
        <f t="shared" si="168"/>
        <v/>
      </c>
      <c r="AB370" s="243" t="str">
        <f t="shared" si="161"/>
        <v/>
      </c>
      <c r="AC370" s="141" t="str">
        <f t="shared" si="144"/>
        <v/>
      </c>
      <c r="AD370" s="138" t="str">
        <f t="shared" si="162"/>
        <v/>
      </c>
      <c r="AE370" s="243" t="str">
        <f t="shared" si="145"/>
        <v/>
      </c>
      <c r="AF370" s="342" t="str">
        <f>IF(AM370="Row Not Used","",INDEX(SpaceTable[Annual Hours],(MATCH(B370,SpaceTable[Space Name Concatenated Helper],0))))</f>
        <v/>
      </c>
      <c r="AG370" s="205" t="str">
        <f t="shared" si="146"/>
        <v/>
      </c>
      <c r="AH370" s="234" t="str">
        <f t="shared" si="147"/>
        <v/>
      </c>
      <c r="AI370" s="205" t="str">
        <f t="shared" si="148"/>
        <v/>
      </c>
      <c r="AJ370" s="234" t="str">
        <f t="shared" si="149"/>
        <v/>
      </c>
      <c r="AK370" s="144" t="str">
        <f>IF(AM370="Row Not Used","",INDEX(SpaceTable[Row],(MATCH(B370,SpaceTable[Space Name Concatenated Helper],0))))</f>
        <v/>
      </c>
      <c r="AL370" s="238" t="str">
        <f>IF(AM370="Row Not Used","",INDEX(SpaceTable[HVAC Factor],(MATCH(B370,SpaceTable[Space Name Concatenated Helper],0))))</f>
        <v/>
      </c>
      <c r="AM370" s="520" t="str">
        <f t="shared" si="150"/>
        <v>Row Not Used</v>
      </c>
      <c r="AN370" s="512" t="e" cm="1">
        <f t="array" ref="AN370">INDEX(BallastFactorTable[Ballast Factor],MATCH(1,(BallastFactorTable[Fixture Class]=D370)*(BallastFactorTable[Fixture Category]=E370)*(BallastFactorTable[Fixture Sub-category]=F370),0))</f>
        <v>#N/A</v>
      </c>
      <c r="AO370" s="143" t="str">
        <f t="shared" si="163"/>
        <v/>
      </c>
      <c r="AP370" s="501" t="e" cm="1">
        <f t="array" ref="AP370">INDEX(BallastFactorTable[Wattage Range Name],MATCH(1,(BallastFactorTable[Fixture Class]=D370)*(BallastFactorTable[Fixture Category]=E370)*(BallastFactorTable[Fixture Sub-category]=F370),0))</f>
        <v>#N/A</v>
      </c>
      <c r="AQ370" s="515" t="str">
        <f t="shared" ca="1" si="151"/>
        <v>Okay</v>
      </c>
      <c r="AR370" s="512">
        <f t="shared" si="152"/>
        <v>0</v>
      </c>
      <c r="AS370" s="511" t="str">
        <f>IF(OR(Measures!AM370="Row Not Used",Measures!C370="Controls Only",Measures!C370="Decommissioning"),"",_xlfn.CONCAT(P370," ",Q370))</f>
        <v/>
      </c>
      <c r="AT370" s="264" t="str">
        <f t="shared" si="153"/>
        <v>None</v>
      </c>
      <c r="AU370" s="229">
        <f>IF(OR(AM370="Row Not Used",AM370="Controls Only"),0,INDEX(IncentiveRateTable[Incentive Rate],MATCH(AT370,IncentiveRateTable[Incentive Name],0)))</f>
        <v>0</v>
      </c>
      <c r="AV370" s="133" t="str">
        <f>IF(OR(AM370="Row Not Used",AM370="Controls Only"),"None",INDEX(IncentiveRateTable[Incentive Unit],MATCH(AT370,IncentiveRateTable[Incentive Name],0)))</f>
        <v>None</v>
      </c>
      <c r="AW370" s="578">
        <f t="shared" si="164"/>
        <v>0</v>
      </c>
      <c r="AX370" s="264" t="str">
        <f t="shared" si="154"/>
        <v>None</v>
      </c>
      <c r="AY370" s="229">
        <f>IF(OR(AM370="Row Not Used",AM370="Fixtures Only",AM370="Decommissioning"),0,INDEX(IncentiveRateTable[Incentive Rate],MATCH(AX370,IncentiveRateTable[Incentive Name],0)))</f>
        <v>0</v>
      </c>
      <c r="AZ370" s="133" t="str">
        <f>IF(OR(AM370="Row Not Used",AM370="Fixtures Only",AM370="Decommissioning"),"None",INDEX(IncentiveRateTable[Incentive Unit],MATCH(AX370,IncentiveRateTable[Incentive Name],0)))</f>
        <v>None</v>
      </c>
      <c r="BA370" s="465">
        <f t="shared" si="155"/>
        <v>0</v>
      </c>
      <c r="BB370" s="264" t="e" cm="1">
        <f t="array" ref="BB370">INDEX(BallastFactorTable[Commercial BPA Reference Number],MATCH(1,(BallastFactorTable[Fixture Class]=J370)*(BallastFactorTable[Fixture Category]=K370)*(BallastFactorTable[Fixture Sub-category]=L370),0))</f>
        <v>#N/A</v>
      </c>
      <c r="BC370" s="133" t="e" cm="1">
        <f t="array" ref="BC370">INDEX(BallastFactorTable[Industrial BPA Reference Number],MATCH(1,(BallastFactorTable[Fixture Class]=J370)*(BallastFactorTable[Fixture Category]=K370)*(BallastFactorTable[Fixture Sub-category]=L370),0))</f>
        <v>#N/A</v>
      </c>
      <c r="BD370" s="264" t="str">
        <f t="shared" si="156"/>
        <v>Sector is blank</v>
      </c>
      <c r="BE370" s="269" t="str">
        <f>IF(ISBLANK(SectorField),"Sector is blank",IF(AM370="Row Not Used","",IF(OR(R370="No Controls",ISBLANK(R370)),"",INDEX(ControlsBPARefNoTable[Reference Number],MATCH(SectorField,ControlsBPARefNoTable[Sector],0)))))</f>
        <v>Sector is blank</v>
      </c>
      <c r="BF370" s="530" t="str">
        <f t="shared" si="157"/>
        <v/>
      </c>
      <c r="BG370" s="132" t="str">
        <f t="shared" si="158"/>
        <v/>
      </c>
      <c r="BH370" s="531" t="str">
        <f t="shared" si="159"/>
        <v/>
      </c>
      <c r="BI370" s="532"/>
      <c r="BJ370" s="538" t="str">
        <f t="shared" si="165"/>
        <v/>
      </c>
      <c r="BK370" s="539" t="str">
        <f t="shared" si="166"/>
        <v/>
      </c>
      <c r="BL370" s="547" t="str">
        <f t="shared" si="167"/>
        <v/>
      </c>
    </row>
    <row r="371" spans="1:64" x14ac:dyDescent="0.3">
      <c r="A371" s="133">
        <v>364</v>
      </c>
      <c r="B371" s="294"/>
      <c r="C371" s="313"/>
      <c r="D371" s="292"/>
      <c r="E371" s="284"/>
      <c r="F371" s="284"/>
      <c r="G371" s="295"/>
      <c r="H371" s="296"/>
      <c r="I371" s="297"/>
      <c r="J371" s="292"/>
      <c r="K371" s="284"/>
      <c r="L371" s="284"/>
      <c r="M371" s="295"/>
      <c r="N371" s="296"/>
      <c r="O371" s="296"/>
      <c r="P371" s="284"/>
      <c r="Q371" s="298"/>
      <c r="R371" s="292"/>
      <c r="S371" s="299"/>
      <c r="T371" s="300"/>
      <c r="U371" s="317" t="str">
        <f t="shared" si="141"/>
        <v/>
      </c>
      <c r="V371" s="301"/>
      <c r="W371" s="136" t="str">
        <f t="shared" si="142"/>
        <v/>
      </c>
      <c r="X371" s="588" t="str">
        <f t="shared" si="160"/>
        <v/>
      </c>
      <c r="Y371" s="580"/>
      <c r="Z371" s="251" t="str">
        <f t="shared" si="143"/>
        <v/>
      </c>
      <c r="AA371" s="138" t="str">
        <f t="shared" si="168"/>
        <v/>
      </c>
      <c r="AB371" s="243" t="str">
        <f t="shared" si="161"/>
        <v/>
      </c>
      <c r="AC371" s="141" t="str">
        <f t="shared" si="144"/>
        <v/>
      </c>
      <c r="AD371" s="138" t="str">
        <f t="shared" si="162"/>
        <v/>
      </c>
      <c r="AE371" s="243" t="str">
        <f t="shared" si="145"/>
        <v/>
      </c>
      <c r="AF371" s="342" t="str">
        <f>IF(AM371="Row Not Used","",INDEX(SpaceTable[Annual Hours],(MATCH(B371,SpaceTable[Space Name Concatenated Helper],0))))</f>
        <v/>
      </c>
      <c r="AG371" s="205" t="str">
        <f t="shared" si="146"/>
        <v/>
      </c>
      <c r="AH371" s="234" t="str">
        <f t="shared" si="147"/>
        <v/>
      </c>
      <c r="AI371" s="205" t="str">
        <f t="shared" si="148"/>
        <v/>
      </c>
      <c r="AJ371" s="234" t="str">
        <f t="shared" si="149"/>
        <v/>
      </c>
      <c r="AK371" s="144" t="str">
        <f>IF(AM371="Row Not Used","",INDEX(SpaceTable[Row],(MATCH(B371,SpaceTable[Space Name Concatenated Helper],0))))</f>
        <v/>
      </c>
      <c r="AL371" s="238" t="str">
        <f>IF(AM371="Row Not Used","",INDEX(SpaceTable[HVAC Factor],(MATCH(B371,SpaceTable[Space Name Concatenated Helper],0))))</f>
        <v/>
      </c>
      <c r="AM371" s="520" t="str">
        <f t="shared" si="150"/>
        <v>Row Not Used</v>
      </c>
      <c r="AN371" s="512" t="e" cm="1">
        <f t="array" ref="AN371">INDEX(BallastFactorTable[Ballast Factor],MATCH(1,(BallastFactorTable[Fixture Class]=D371)*(BallastFactorTable[Fixture Category]=E371)*(BallastFactorTable[Fixture Sub-category]=F371),0))</f>
        <v>#N/A</v>
      </c>
      <c r="AO371" s="143" t="str">
        <f t="shared" si="163"/>
        <v/>
      </c>
      <c r="AP371" s="501" t="e" cm="1">
        <f t="array" ref="AP371">INDEX(BallastFactorTable[Wattage Range Name],MATCH(1,(BallastFactorTable[Fixture Class]=D371)*(BallastFactorTable[Fixture Category]=E371)*(BallastFactorTable[Fixture Sub-category]=F371),0))</f>
        <v>#N/A</v>
      </c>
      <c r="AQ371" s="515" t="str">
        <f t="shared" ca="1" si="151"/>
        <v>Okay</v>
      </c>
      <c r="AR371" s="512">
        <f t="shared" si="152"/>
        <v>0</v>
      </c>
      <c r="AS371" s="511" t="str">
        <f>IF(OR(Measures!AM371="Row Not Used",Measures!C371="Controls Only",Measures!C371="Decommissioning"),"",_xlfn.CONCAT(P371," ",Q371))</f>
        <v/>
      </c>
      <c r="AT371" s="264" t="str">
        <f t="shared" si="153"/>
        <v>None</v>
      </c>
      <c r="AU371" s="229">
        <f>IF(OR(AM371="Row Not Used",AM371="Controls Only"),0,INDEX(IncentiveRateTable[Incentive Rate],MATCH(AT371,IncentiveRateTable[Incentive Name],0)))</f>
        <v>0</v>
      </c>
      <c r="AV371" s="133" t="str">
        <f>IF(OR(AM371="Row Not Used",AM371="Controls Only"),"None",INDEX(IncentiveRateTable[Incentive Unit],MATCH(AT371,IncentiveRateTable[Incentive Name],0)))</f>
        <v>None</v>
      </c>
      <c r="AW371" s="578">
        <f t="shared" si="164"/>
        <v>0</v>
      </c>
      <c r="AX371" s="264" t="str">
        <f t="shared" si="154"/>
        <v>None</v>
      </c>
      <c r="AY371" s="229">
        <f>IF(OR(AM371="Row Not Used",AM371="Fixtures Only",AM371="Decommissioning"),0,INDEX(IncentiveRateTable[Incentive Rate],MATCH(AX371,IncentiveRateTable[Incentive Name],0)))</f>
        <v>0</v>
      </c>
      <c r="AZ371" s="133" t="str">
        <f>IF(OR(AM371="Row Not Used",AM371="Fixtures Only",AM371="Decommissioning"),"None",INDEX(IncentiveRateTable[Incentive Unit],MATCH(AX371,IncentiveRateTable[Incentive Name],0)))</f>
        <v>None</v>
      </c>
      <c r="BA371" s="465">
        <f t="shared" si="155"/>
        <v>0</v>
      </c>
      <c r="BB371" s="264" t="e" cm="1">
        <f t="array" ref="BB371">INDEX(BallastFactorTable[Commercial BPA Reference Number],MATCH(1,(BallastFactorTable[Fixture Class]=J371)*(BallastFactorTable[Fixture Category]=K371)*(BallastFactorTable[Fixture Sub-category]=L371),0))</f>
        <v>#N/A</v>
      </c>
      <c r="BC371" s="133" t="e" cm="1">
        <f t="array" ref="BC371">INDEX(BallastFactorTable[Industrial BPA Reference Number],MATCH(1,(BallastFactorTable[Fixture Class]=J371)*(BallastFactorTable[Fixture Category]=K371)*(BallastFactorTable[Fixture Sub-category]=L371),0))</f>
        <v>#N/A</v>
      </c>
      <c r="BD371" s="264" t="str">
        <f t="shared" si="156"/>
        <v>Sector is blank</v>
      </c>
      <c r="BE371" s="269" t="str">
        <f>IF(ISBLANK(SectorField),"Sector is blank",IF(AM371="Row Not Used","",IF(OR(R371="No Controls",ISBLANK(R371)),"",INDEX(ControlsBPARefNoTable[Reference Number],MATCH(SectorField,ControlsBPARefNoTable[Sector],0)))))</f>
        <v>Sector is blank</v>
      </c>
      <c r="BF371" s="530" t="str">
        <f t="shared" si="157"/>
        <v/>
      </c>
      <c r="BG371" s="132" t="str">
        <f t="shared" si="158"/>
        <v/>
      </c>
      <c r="BH371" s="531" t="str">
        <f t="shared" si="159"/>
        <v/>
      </c>
      <c r="BI371" s="532"/>
      <c r="BJ371" s="538" t="str">
        <f t="shared" si="165"/>
        <v/>
      </c>
      <c r="BK371" s="539" t="str">
        <f t="shared" si="166"/>
        <v/>
      </c>
      <c r="BL371" s="547" t="str">
        <f t="shared" si="167"/>
        <v/>
      </c>
    </row>
    <row r="372" spans="1:64" x14ac:dyDescent="0.3">
      <c r="A372" s="133">
        <v>365</v>
      </c>
      <c r="B372" s="294"/>
      <c r="C372" s="313"/>
      <c r="D372" s="292"/>
      <c r="E372" s="284"/>
      <c r="F372" s="284"/>
      <c r="G372" s="295"/>
      <c r="H372" s="296"/>
      <c r="I372" s="297"/>
      <c r="J372" s="292"/>
      <c r="K372" s="284"/>
      <c r="L372" s="284"/>
      <c r="M372" s="295"/>
      <c r="N372" s="296"/>
      <c r="O372" s="296"/>
      <c r="P372" s="284"/>
      <c r="Q372" s="298"/>
      <c r="R372" s="292"/>
      <c r="S372" s="299"/>
      <c r="T372" s="300"/>
      <c r="U372" s="317" t="str">
        <f t="shared" si="141"/>
        <v/>
      </c>
      <c r="V372" s="301"/>
      <c r="W372" s="137" t="str">
        <f t="shared" si="142"/>
        <v/>
      </c>
      <c r="X372" s="589" t="str">
        <f t="shared" si="160"/>
        <v/>
      </c>
      <c r="Y372" s="581"/>
      <c r="Z372" s="251" t="str">
        <f t="shared" si="143"/>
        <v/>
      </c>
      <c r="AA372" s="138" t="str">
        <f t="shared" si="168"/>
        <v/>
      </c>
      <c r="AB372" s="243" t="str">
        <f t="shared" si="161"/>
        <v/>
      </c>
      <c r="AC372" s="141" t="str">
        <f t="shared" si="144"/>
        <v/>
      </c>
      <c r="AD372" s="138" t="str">
        <f t="shared" si="162"/>
        <v/>
      </c>
      <c r="AE372" s="243" t="str">
        <f t="shared" si="145"/>
        <v/>
      </c>
      <c r="AF372" s="342" t="str">
        <f>IF(AM372="Row Not Used","",INDEX(SpaceTable[Annual Hours],(MATCH(B372,SpaceTable[Space Name Concatenated Helper],0))))</f>
        <v/>
      </c>
      <c r="AG372" s="205" t="str">
        <f t="shared" si="146"/>
        <v/>
      </c>
      <c r="AH372" s="234" t="str">
        <f t="shared" si="147"/>
        <v/>
      </c>
      <c r="AI372" s="205" t="str">
        <f t="shared" si="148"/>
        <v/>
      </c>
      <c r="AJ372" s="234" t="str">
        <f t="shared" si="149"/>
        <v/>
      </c>
      <c r="AK372" s="144" t="str">
        <f>IF(AM372="Row Not Used","",INDEX(SpaceTable[Row],(MATCH(B372,SpaceTable[Space Name Concatenated Helper],0))))</f>
        <v/>
      </c>
      <c r="AL372" s="238" t="str">
        <f>IF(AM372="Row Not Used","",INDEX(SpaceTable[HVAC Factor],(MATCH(B372,SpaceTable[Space Name Concatenated Helper],0))))</f>
        <v/>
      </c>
      <c r="AM372" s="520" t="str">
        <f t="shared" si="150"/>
        <v>Row Not Used</v>
      </c>
      <c r="AN372" s="512" t="e" cm="1">
        <f t="array" ref="AN372">INDEX(BallastFactorTable[Ballast Factor],MATCH(1,(BallastFactorTable[Fixture Class]=D372)*(BallastFactorTable[Fixture Category]=E372)*(BallastFactorTable[Fixture Sub-category]=F372),0))</f>
        <v>#N/A</v>
      </c>
      <c r="AO372" s="143" t="str">
        <f t="shared" si="163"/>
        <v/>
      </c>
      <c r="AP372" s="501" t="e" cm="1">
        <f t="array" ref="AP372">INDEX(BallastFactorTable[Wattage Range Name],MATCH(1,(BallastFactorTable[Fixture Class]=D372)*(BallastFactorTable[Fixture Category]=E372)*(BallastFactorTable[Fixture Sub-category]=F372),0))</f>
        <v>#N/A</v>
      </c>
      <c r="AQ372" s="515" t="str">
        <f t="shared" ca="1" si="151"/>
        <v>Okay</v>
      </c>
      <c r="AR372" s="512">
        <f t="shared" si="152"/>
        <v>0</v>
      </c>
      <c r="AS372" s="511" t="str">
        <f>IF(OR(Measures!AM372="Row Not Used",Measures!C372="Controls Only",Measures!C372="Decommissioning"),"",_xlfn.CONCAT(P372," ",Q372))</f>
        <v/>
      </c>
      <c r="AT372" s="264" t="str">
        <f t="shared" si="153"/>
        <v>None</v>
      </c>
      <c r="AU372" s="229">
        <f>IF(OR(AM372="Row Not Used",AM372="Controls Only"),0,INDEX(IncentiveRateTable[Incentive Rate],MATCH(AT372,IncentiveRateTable[Incentive Name],0)))</f>
        <v>0</v>
      </c>
      <c r="AV372" s="133" t="str">
        <f>IF(OR(AM372="Row Not Used",AM372="Controls Only"),"None",INDEX(IncentiveRateTable[Incentive Unit],MATCH(AT372,IncentiveRateTable[Incentive Name],0)))</f>
        <v>None</v>
      </c>
      <c r="AW372" s="578">
        <f t="shared" si="164"/>
        <v>0</v>
      </c>
      <c r="AX372" s="264" t="str">
        <f t="shared" si="154"/>
        <v>None</v>
      </c>
      <c r="AY372" s="229">
        <f>IF(OR(AM372="Row Not Used",AM372="Fixtures Only",AM372="Decommissioning"),0,INDEX(IncentiveRateTable[Incentive Rate],MATCH(AX372,IncentiveRateTable[Incentive Name],0)))</f>
        <v>0</v>
      </c>
      <c r="AZ372" s="133" t="str">
        <f>IF(OR(AM372="Row Not Used",AM372="Fixtures Only",AM372="Decommissioning"),"None",INDEX(IncentiveRateTable[Incentive Unit],MATCH(AX372,IncentiveRateTable[Incentive Name],0)))</f>
        <v>None</v>
      </c>
      <c r="BA372" s="465">
        <f t="shared" si="155"/>
        <v>0</v>
      </c>
      <c r="BB372" s="264" t="e" cm="1">
        <f t="array" ref="BB372">INDEX(BallastFactorTable[Commercial BPA Reference Number],MATCH(1,(BallastFactorTable[Fixture Class]=J372)*(BallastFactorTable[Fixture Category]=K372)*(BallastFactorTable[Fixture Sub-category]=L372),0))</f>
        <v>#N/A</v>
      </c>
      <c r="BC372" s="133" t="e" cm="1">
        <f t="array" ref="BC372">INDEX(BallastFactorTable[Industrial BPA Reference Number],MATCH(1,(BallastFactorTable[Fixture Class]=J372)*(BallastFactorTable[Fixture Category]=K372)*(BallastFactorTable[Fixture Sub-category]=L372),0))</f>
        <v>#N/A</v>
      </c>
      <c r="BD372" s="264" t="str">
        <f t="shared" si="156"/>
        <v>Sector is blank</v>
      </c>
      <c r="BE372" s="269" t="str">
        <f>IF(ISBLANK(SectorField),"Sector is blank",IF(AM372="Row Not Used","",IF(OR(R372="No Controls",ISBLANK(R372)),"",INDEX(ControlsBPARefNoTable[Reference Number],MATCH(SectorField,ControlsBPARefNoTable[Sector],0)))))</f>
        <v>Sector is blank</v>
      </c>
      <c r="BF372" s="530" t="str">
        <f t="shared" si="157"/>
        <v/>
      </c>
      <c r="BG372" s="132" t="str">
        <f t="shared" si="158"/>
        <v/>
      </c>
      <c r="BH372" s="531" t="str">
        <f t="shared" si="159"/>
        <v/>
      </c>
      <c r="BI372" s="532"/>
      <c r="BJ372" s="538" t="str">
        <f t="shared" si="165"/>
        <v/>
      </c>
      <c r="BK372" s="539" t="str">
        <f t="shared" si="166"/>
        <v/>
      </c>
      <c r="BL372" s="547" t="str">
        <f t="shared" si="167"/>
        <v/>
      </c>
    </row>
    <row r="373" spans="1:64" x14ac:dyDescent="0.3">
      <c r="A373" s="133">
        <v>366</v>
      </c>
      <c r="B373" s="294"/>
      <c r="C373" s="313"/>
      <c r="D373" s="292"/>
      <c r="E373" s="284"/>
      <c r="F373" s="284"/>
      <c r="G373" s="295"/>
      <c r="H373" s="296"/>
      <c r="I373" s="297"/>
      <c r="J373" s="292"/>
      <c r="K373" s="284"/>
      <c r="L373" s="284"/>
      <c r="M373" s="295"/>
      <c r="N373" s="296"/>
      <c r="O373" s="296"/>
      <c r="P373" s="284"/>
      <c r="Q373" s="298"/>
      <c r="R373" s="292"/>
      <c r="S373" s="299"/>
      <c r="T373" s="300"/>
      <c r="U373" s="317" t="str">
        <f t="shared" si="141"/>
        <v/>
      </c>
      <c r="V373" s="301"/>
      <c r="W373" s="136" t="str">
        <f t="shared" si="142"/>
        <v/>
      </c>
      <c r="X373" s="588" t="str">
        <f t="shared" si="160"/>
        <v/>
      </c>
      <c r="Y373" s="580"/>
      <c r="Z373" s="251" t="str">
        <f t="shared" si="143"/>
        <v/>
      </c>
      <c r="AA373" s="138" t="str">
        <f t="shared" si="168"/>
        <v/>
      </c>
      <c r="AB373" s="243" t="str">
        <f t="shared" si="161"/>
        <v/>
      </c>
      <c r="AC373" s="141" t="str">
        <f t="shared" si="144"/>
        <v/>
      </c>
      <c r="AD373" s="138" t="str">
        <f t="shared" si="162"/>
        <v/>
      </c>
      <c r="AE373" s="243" t="str">
        <f t="shared" si="145"/>
        <v/>
      </c>
      <c r="AF373" s="342" t="str">
        <f>IF(AM373="Row Not Used","",INDEX(SpaceTable[Annual Hours],(MATCH(B373,SpaceTable[Space Name Concatenated Helper],0))))</f>
        <v/>
      </c>
      <c r="AG373" s="205" t="str">
        <f t="shared" si="146"/>
        <v/>
      </c>
      <c r="AH373" s="234" t="str">
        <f t="shared" si="147"/>
        <v/>
      </c>
      <c r="AI373" s="205" t="str">
        <f t="shared" si="148"/>
        <v/>
      </c>
      <c r="AJ373" s="234" t="str">
        <f t="shared" si="149"/>
        <v/>
      </c>
      <c r="AK373" s="144" t="str">
        <f>IF(AM373="Row Not Used","",INDEX(SpaceTable[Row],(MATCH(B373,SpaceTable[Space Name Concatenated Helper],0))))</f>
        <v/>
      </c>
      <c r="AL373" s="238" t="str">
        <f>IF(AM373="Row Not Used","",INDEX(SpaceTable[HVAC Factor],(MATCH(B373,SpaceTable[Space Name Concatenated Helper],0))))</f>
        <v/>
      </c>
      <c r="AM373" s="520" t="str">
        <f t="shared" si="150"/>
        <v>Row Not Used</v>
      </c>
      <c r="AN373" s="512" t="e" cm="1">
        <f t="array" ref="AN373">INDEX(BallastFactorTable[Ballast Factor],MATCH(1,(BallastFactorTable[Fixture Class]=D373)*(BallastFactorTable[Fixture Category]=E373)*(BallastFactorTable[Fixture Sub-category]=F373),0))</f>
        <v>#N/A</v>
      </c>
      <c r="AO373" s="143" t="str">
        <f t="shared" si="163"/>
        <v/>
      </c>
      <c r="AP373" s="501" t="e" cm="1">
        <f t="array" ref="AP373">INDEX(BallastFactorTable[Wattage Range Name],MATCH(1,(BallastFactorTable[Fixture Class]=D373)*(BallastFactorTable[Fixture Category]=E373)*(BallastFactorTable[Fixture Sub-category]=F373),0))</f>
        <v>#N/A</v>
      </c>
      <c r="AQ373" s="515" t="str">
        <f t="shared" ca="1" si="151"/>
        <v>Okay</v>
      </c>
      <c r="AR373" s="512">
        <f t="shared" si="152"/>
        <v>0</v>
      </c>
      <c r="AS373" s="511" t="str">
        <f>IF(OR(Measures!AM373="Row Not Used",Measures!C373="Controls Only",Measures!C373="Decommissioning"),"",_xlfn.CONCAT(P373," ",Q373))</f>
        <v/>
      </c>
      <c r="AT373" s="264" t="str">
        <f t="shared" si="153"/>
        <v>None</v>
      </c>
      <c r="AU373" s="229">
        <f>IF(OR(AM373="Row Not Used",AM373="Controls Only"),0,INDEX(IncentiveRateTable[Incentive Rate],MATCH(AT373,IncentiveRateTable[Incentive Name],0)))</f>
        <v>0</v>
      </c>
      <c r="AV373" s="133" t="str">
        <f>IF(OR(AM373="Row Not Used",AM373="Controls Only"),"None",INDEX(IncentiveRateTable[Incentive Unit],MATCH(AT373,IncentiveRateTable[Incentive Name],0)))</f>
        <v>None</v>
      </c>
      <c r="AW373" s="578">
        <f t="shared" si="164"/>
        <v>0</v>
      </c>
      <c r="AX373" s="264" t="str">
        <f t="shared" si="154"/>
        <v>None</v>
      </c>
      <c r="AY373" s="229">
        <f>IF(OR(AM373="Row Not Used",AM373="Fixtures Only",AM373="Decommissioning"),0,INDEX(IncentiveRateTable[Incentive Rate],MATCH(AX373,IncentiveRateTable[Incentive Name],0)))</f>
        <v>0</v>
      </c>
      <c r="AZ373" s="133" t="str">
        <f>IF(OR(AM373="Row Not Used",AM373="Fixtures Only",AM373="Decommissioning"),"None",INDEX(IncentiveRateTable[Incentive Unit],MATCH(AX373,IncentiveRateTable[Incentive Name],0)))</f>
        <v>None</v>
      </c>
      <c r="BA373" s="465">
        <f t="shared" si="155"/>
        <v>0</v>
      </c>
      <c r="BB373" s="264" t="e" cm="1">
        <f t="array" ref="BB373">INDEX(BallastFactorTable[Commercial BPA Reference Number],MATCH(1,(BallastFactorTable[Fixture Class]=J373)*(BallastFactorTable[Fixture Category]=K373)*(BallastFactorTable[Fixture Sub-category]=L373),0))</f>
        <v>#N/A</v>
      </c>
      <c r="BC373" s="133" t="e" cm="1">
        <f t="array" ref="BC373">INDEX(BallastFactorTable[Industrial BPA Reference Number],MATCH(1,(BallastFactorTable[Fixture Class]=J373)*(BallastFactorTable[Fixture Category]=K373)*(BallastFactorTable[Fixture Sub-category]=L373),0))</f>
        <v>#N/A</v>
      </c>
      <c r="BD373" s="264" t="str">
        <f t="shared" si="156"/>
        <v>Sector is blank</v>
      </c>
      <c r="BE373" s="269" t="str">
        <f>IF(ISBLANK(SectorField),"Sector is blank",IF(AM373="Row Not Used","",IF(OR(R373="No Controls",ISBLANK(R373)),"",INDEX(ControlsBPARefNoTable[Reference Number],MATCH(SectorField,ControlsBPARefNoTable[Sector],0)))))</f>
        <v>Sector is blank</v>
      </c>
      <c r="BF373" s="530" t="str">
        <f t="shared" si="157"/>
        <v/>
      </c>
      <c r="BG373" s="132" t="str">
        <f t="shared" si="158"/>
        <v/>
      </c>
      <c r="BH373" s="531" t="str">
        <f t="shared" si="159"/>
        <v/>
      </c>
      <c r="BI373" s="532"/>
      <c r="BJ373" s="538" t="str">
        <f t="shared" si="165"/>
        <v/>
      </c>
      <c r="BK373" s="539" t="str">
        <f t="shared" si="166"/>
        <v/>
      </c>
      <c r="BL373" s="547" t="str">
        <f t="shared" si="167"/>
        <v/>
      </c>
    </row>
    <row r="374" spans="1:64" x14ac:dyDescent="0.3">
      <c r="A374" s="133">
        <v>367</v>
      </c>
      <c r="B374" s="294"/>
      <c r="C374" s="313"/>
      <c r="D374" s="292"/>
      <c r="E374" s="284"/>
      <c r="F374" s="284"/>
      <c r="G374" s="295"/>
      <c r="H374" s="296"/>
      <c r="I374" s="297"/>
      <c r="J374" s="292"/>
      <c r="K374" s="284"/>
      <c r="L374" s="284"/>
      <c r="M374" s="295"/>
      <c r="N374" s="296"/>
      <c r="O374" s="296"/>
      <c r="P374" s="284"/>
      <c r="Q374" s="298"/>
      <c r="R374" s="292"/>
      <c r="S374" s="299"/>
      <c r="T374" s="300"/>
      <c r="U374" s="317" t="str">
        <f t="shared" si="141"/>
        <v/>
      </c>
      <c r="V374" s="301"/>
      <c r="W374" s="137" t="str">
        <f t="shared" si="142"/>
        <v/>
      </c>
      <c r="X374" s="589" t="str">
        <f t="shared" si="160"/>
        <v/>
      </c>
      <c r="Y374" s="581"/>
      <c r="Z374" s="251" t="str">
        <f t="shared" si="143"/>
        <v/>
      </c>
      <c r="AA374" s="138" t="str">
        <f t="shared" si="168"/>
        <v/>
      </c>
      <c r="AB374" s="243" t="str">
        <f t="shared" si="161"/>
        <v/>
      </c>
      <c r="AC374" s="141" t="str">
        <f t="shared" si="144"/>
        <v/>
      </c>
      <c r="AD374" s="138" t="str">
        <f t="shared" si="162"/>
        <v/>
      </c>
      <c r="AE374" s="243" t="str">
        <f t="shared" si="145"/>
        <v/>
      </c>
      <c r="AF374" s="342" t="str">
        <f>IF(AM374="Row Not Used","",INDEX(SpaceTable[Annual Hours],(MATCH(B374,SpaceTable[Space Name Concatenated Helper],0))))</f>
        <v/>
      </c>
      <c r="AG374" s="205" t="str">
        <f t="shared" si="146"/>
        <v/>
      </c>
      <c r="AH374" s="234" t="str">
        <f t="shared" si="147"/>
        <v/>
      </c>
      <c r="AI374" s="205" t="str">
        <f t="shared" si="148"/>
        <v/>
      </c>
      <c r="AJ374" s="234" t="str">
        <f t="shared" si="149"/>
        <v/>
      </c>
      <c r="AK374" s="144" t="str">
        <f>IF(AM374="Row Not Used","",INDEX(SpaceTable[Row],(MATCH(B374,SpaceTable[Space Name Concatenated Helper],0))))</f>
        <v/>
      </c>
      <c r="AL374" s="238" t="str">
        <f>IF(AM374="Row Not Used","",INDEX(SpaceTable[HVAC Factor],(MATCH(B374,SpaceTable[Space Name Concatenated Helper],0))))</f>
        <v/>
      </c>
      <c r="AM374" s="520" t="str">
        <f t="shared" si="150"/>
        <v>Row Not Used</v>
      </c>
      <c r="AN374" s="512" t="e" cm="1">
        <f t="array" ref="AN374">INDEX(BallastFactorTable[Ballast Factor],MATCH(1,(BallastFactorTable[Fixture Class]=D374)*(BallastFactorTable[Fixture Category]=E374)*(BallastFactorTable[Fixture Sub-category]=F374),0))</f>
        <v>#N/A</v>
      </c>
      <c r="AO374" s="143" t="str">
        <f t="shared" si="163"/>
        <v/>
      </c>
      <c r="AP374" s="501" t="e" cm="1">
        <f t="array" ref="AP374">INDEX(BallastFactorTable[Wattage Range Name],MATCH(1,(BallastFactorTable[Fixture Class]=D374)*(BallastFactorTable[Fixture Category]=E374)*(BallastFactorTable[Fixture Sub-category]=F374),0))</f>
        <v>#N/A</v>
      </c>
      <c r="AQ374" s="515" t="str">
        <f t="shared" ca="1" si="151"/>
        <v>Okay</v>
      </c>
      <c r="AR374" s="512">
        <f t="shared" si="152"/>
        <v>0</v>
      </c>
      <c r="AS374" s="511" t="str">
        <f>IF(OR(Measures!AM374="Row Not Used",Measures!C374="Controls Only",Measures!C374="Decommissioning"),"",_xlfn.CONCAT(P374," ",Q374))</f>
        <v/>
      </c>
      <c r="AT374" s="264" t="str">
        <f t="shared" si="153"/>
        <v>None</v>
      </c>
      <c r="AU374" s="229">
        <f>IF(OR(AM374="Row Not Used",AM374="Controls Only"),0,INDEX(IncentiveRateTable[Incentive Rate],MATCH(AT374,IncentiveRateTable[Incentive Name],0)))</f>
        <v>0</v>
      </c>
      <c r="AV374" s="133" t="str">
        <f>IF(OR(AM374="Row Not Used",AM374="Controls Only"),"None",INDEX(IncentiveRateTable[Incentive Unit],MATCH(AT374,IncentiveRateTable[Incentive Name],0)))</f>
        <v>None</v>
      </c>
      <c r="AW374" s="578">
        <f t="shared" si="164"/>
        <v>0</v>
      </c>
      <c r="AX374" s="264" t="str">
        <f t="shared" si="154"/>
        <v>None</v>
      </c>
      <c r="AY374" s="229">
        <f>IF(OR(AM374="Row Not Used",AM374="Fixtures Only",AM374="Decommissioning"),0,INDEX(IncentiveRateTable[Incentive Rate],MATCH(AX374,IncentiveRateTable[Incentive Name],0)))</f>
        <v>0</v>
      </c>
      <c r="AZ374" s="133" t="str">
        <f>IF(OR(AM374="Row Not Used",AM374="Fixtures Only",AM374="Decommissioning"),"None",INDEX(IncentiveRateTable[Incentive Unit],MATCH(AX374,IncentiveRateTable[Incentive Name],0)))</f>
        <v>None</v>
      </c>
      <c r="BA374" s="465">
        <f t="shared" si="155"/>
        <v>0</v>
      </c>
      <c r="BB374" s="264" t="e" cm="1">
        <f t="array" ref="BB374">INDEX(BallastFactorTable[Commercial BPA Reference Number],MATCH(1,(BallastFactorTable[Fixture Class]=J374)*(BallastFactorTable[Fixture Category]=K374)*(BallastFactorTable[Fixture Sub-category]=L374),0))</f>
        <v>#N/A</v>
      </c>
      <c r="BC374" s="133" t="e" cm="1">
        <f t="array" ref="BC374">INDEX(BallastFactorTable[Industrial BPA Reference Number],MATCH(1,(BallastFactorTable[Fixture Class]=J374)*(BallastFactorTable[Fixture Category]=K374)*(BallastFactorTable[Fixture Sub-category]=L374),0))</f>
        <v>#N/A</v>
      </c>
      <c r="BD374" s="264" t="str">
        <f t="shared" si="156"/>
        <v>Sector is blank</v>
      </c>
      <c r="BE374" s="269" t="str">
        <f>IF(ISBLANK(SectorField),"Sector is blank",IF(AM374="Row Not Used","",IF(OR(R374="No Controls",ISBLANK(R374)),"",INDEX(ControlsBPARefNoTable[Reference Number],MATCH(SectorField,ControlsBPARefNoTable[Sector],0)))))</f>
        <v>Sector is blank</v>
      </c>
      <c r="BF374" s="530" t="str">
        <f t="shared" si="157"/>
        <v/>
      </c>
      <c r="BG374" s="132" t="str">
        <f t="shared" si="158"/>
        <v/>
      </c>
      <c r="BH374" s="531" t="str">
        <f t="shared" si="159"/>
        <v/>
      </c>
      <c r="BI374" s="532"/>
      <c r="BJ374" s="538" t="str">
        <f t="shared" si="165"/>
        <v/>
      </c>
      <c r="BK374" s="539" t="str">
        <f t="shared" si="166"/>
        <v/>
      </c>
      <c r="BL374" s="547" t="str">
        <f t="shared" si="167"/>
        <v/>
      </c>
    </row>
    <row r="375" spans="1:64" x14ac:dyDescent="0.3">
      <c r="A375" s="133">
        <v>368</v>
      </c>
      <c r="B375" s="294"/>
      <c r="C375" s="313"/>
      <c r="D375" s="292"/>
      <c r="E375" s="284"/>
      <c r="F375" s="284"/>
      <c r="G375" s="295"/>
      <c r="H375" s="296"/>
      <c r="I375" s="297"/>
      <c r="J375" s="292"/>
      <c r="K375" s="284"/>
      <c r="L375" s="284"/>
      <c r="M375" s="295"/>
      <c r="N375" s="296"/>
      <c r="O375" s="296"/>
      <c r="P375" s="284"/>
      <c r="Q375" s="298"/>
      <c r="R375" s="292"/>
      <c r="S375" s="299"/>
      <c r="T375" s="300"/>
      <c r="U375" s="317" t="str">
        <f t="shared" si="141"/>
        <v/>
      </c>
      <c r="V375" s="301"/>
      <c r="W375" s="136" t="str">
        <f t="shared" si="142"/>
        <v/>
      </c>
      <c r="X375" s="588" t="str">
        <f t="shared" si="160"/>
        <v/>
      </c>
      <c r="Y375" s="580"/>
      <c r="Z375" s="251" t="str">
        <f t="shared" si="143"/>
        <v/>
      </c>
      <c r="AA375" s="138" t="str">
        <f t="shared" si="168"/>
        <v/>
      </c>
      <c r="AB375" s="243" t="str">
        <f t="shared" si="161"/>
        <v/>
      </c>
      <c r="AC375" s="141" t="str">
        <f t="shared" si="144"/>
        <v/>
      </c>
      <c r="AD375" s="138" t="str">
        <f t="shared" si="162"/>
        <v/>
      </c>
      <c r="AE375" s="243" t="str">
        <f t="shared" si="145"/>
        <v/>
      </c>
      <c r="AF375" s="342" t="str">
        <f>IF(AM375="Row Not Used","",INDEX(SpaceTable[Annual Hours],(MATCH(B375,SpaceTable[Space Name Concatenated Helper],0))))</f>
        <v/>
      </c>
      <c r="AG375" s="205" t="str">
        <f t="shared" si="146"/>
        <v/>
      </c>
      <c r="AH375" s="234" t="str">
        <f t="shared" si="147"/>
        <v/>
      </c>
      <c r="AI375" s="205" t="str">
        <f t="shared" si="148"/>
        <v/>
      </c>
      <c r="AJ375" s="234" t="str">
        <f t="shared" si="149"/>
        <v/>
      </c>
      <c r="AK375" s="144" t="str">
        <f>IF(AM375="Row Not Used","",INDEX(SpaceTable[Row],(MATCH(B375,SpaceTable[Space Name Concatenated Helper],0))))</f>
        <v/>
      </c>
      <c r="AL375" s="238" t="str">
        <f>IF(AM375="Row Not Used","",INDEX(SpaceTable[HVAC Factor],(MATCH(B375,SpaceTable[Space Name Concatenated Helper],0))))</f>
        <v/>
      </c>
      <c r="AM375" s="520" t="str">
        <f t="shared" si="150"/>
        <v>Row Not Used</v>
      </c>
      <c r="AN375" s="512" t="e" cm="1">
        <f t="array" ref="AN375">INDEX(BallastFactorTable[Ballast Factor],MATCH(1,(BallastFactorTable[Fixture Class]=D375)*(BallastFactorTable[Fixture Category]=E375)*(BallastFactorTable[Fixture Sub-category]=F375),0))</f>
        <v>#N/A</v>
      </c>
      <c r="AO375" s="143" t="str">
        <f t="shared" si="163"/>
        <v/>
      </c>
      <c r="AP375" s="501" t="e" cm="1">
        <f t="array" ref="AP375">INDEX(BallastFactorTable[Wattage Range Name],MATCH(1,(BallastFactorTable[Fixture Class]=D375)*(BallastFactorTable[Fixture Category]=E375)*(BallastFactorTable[Fixture Sub-category]=F375),0))</f>
        <v>#N/A</v>
      </c>
      <c r="AQ375" s="515" t="str">
        <f t="shared" ca="1" si="151"/>
        <v>Okay</v>
      </c>
      <c r="AR375" s="512">
        <f t="shared" si="152"/>
        <v>0</v>
      </c>
      <c r="AS375" s="511" t="str">
        <f>IF(OR(Measures!AM375="Row Not Used",Measures!C375="Controls Only",Measures!C375="Decommissioning"),"",_xlfn.CONCAT(P375," ",Q375))</f>
        <v/>
      </c>
      <c r="AT375" s="264" t="str">
        <f t="shared" si="153"/>
        <v>None</v>
      </c>
      <c r="AU375" s="229">
        <f>IF(OR(AM375="Row Not Used",AM375="Controls Only"),0,INDEX(IncentiveRateTable[Incentive Rate],MATCH(AT375,IncentiveRateTable[Incentive Name],0)))</f>
        <v>0</v>
      </c>
      <c r="AV375" s="133" t="str">
        <f>IF(OR(AM375="Row Not Used",AM375="Controls Only"),"None",INDEX(IncentiveRateTable[Incentive Unit],MATCH(AT375,IncentiveRateTable[Incentive Name],0)))</f>
        <v>None</v>
      </c>
      <c r="AW375" s="578">
        <f t="shared" si="164"/>
        <v>0</v>
      </c>
      <c r="AX375" s="264" t="str">
        <f t="shared" si="154"/>
        <v>None</v>
      </c>
      <c r="AY375" s="229">
        <f>IF(OR(AM375="Row Not Used",AM375="Fixtures Only",AM375="Decommissioning"),0,INDEX(IncentiveRateTable[Incentive Rate],MATCH(AX375,IncentiveRateTable[Incentive Name],0)))</f>
        <v>0</v>
      </c>
      <c r="AZ375" s="133" t="str">
        <f>IF(OR(AM375="Row Not Used",AM375="Fixtures Only",AM375="Decommissioning"),"None",INDEX(IncentiveRateTable[Incentive Unit],MATCH(AX375,IncentiveRateTable[Incentive Name],0)))</f>
        <v>None</v>
      </c>
      <c r="BA375" s="465">
        <f t="shared" si="155"/>
        <v>0</v>
      </c>
      <c r="BB375" s="264" t="e" cm="1">
        <f t="array" ref="BB375">INDEX(BallastFactorTable[Commercial BPA Reference Number],MATCH(1,(BallastFactorTable[Fixture Class]=J375)*(BallastFactorTable[Fixture Category]=K375)*(BallastFactorTable[Fixture Sub-category]=L375),0))</f>
        <v>#N/A</v>
      </c>
      <c r="BC375" s="133" t="e" cm="1">
        <f t="array" ref="BC375">INDEX(BallastFactorTable[Industrial BPA Reference Number],MATCH(1,(BallastFactorTable[Fixture Class]=J375)*(BallastFactorTable[Fixture Category]=K375)*(BallastFactorTable[Fixture Sub-category]=L375),0))</f>
        <v>#N/A</v>
      </c>
      <c r="BD375" s="264" t="str">
        <f t="shared" si="156"/>
        <v>Sector is blank</v>
      </c>
      <c r="BE375" s="269" t="str">
        <f>IF(ISBLANK(SectorField),"Sector is blank",IF(AM375="Row Not Used","",IF(OR(R375="No Controls",ISBLANK(R375)),"",INDEX(ControlsBPARefNoTable[Reference Number],MATCH(SectorField,ControlsBPARefNoTable[Sector],0)))))</f>
        <v>Sector is blank</v>
      </c>
      <c r="BF375" s="530" t="str">
        <f t="shared" si="157"/>
        <v/>
      </c>
      <c r="BG375" s="132" t="str">
        <f t="shared" si="158"/>
        <v/>
      </c>
      <c r="BH375" s="531" t="str">
        <f t="shared" si="159"/>
        <v/>
      </c>
      <c r="BI375" s="532"/>
      <c r="BJ375" s="538" t="str">
        <f t="shared" si="165"/>
        <v/>
      </c>
      <c r="BK375" s="539" t="str">
        <f t="shared" si="166"/>
        <v/>
      </c>
      <c r="BL375" s="547" t="str">
        <f t="shared" si="167"/>
        <v/>
      </c>
    </row>
    <row r="376" spans="1:64" x14ac:dyDescent="0.3">
      <c r="A376" s="133">
        <v>369</v>
      </c>
      <c r="B376" s="294"/>
      <c r="C376" s="313"/>
      <c r="D376" s="292"/>
      <c r="E376" s="284"/>
      <c r="F376" s="284"/>
      <c r="G376" s="295"/>
      <c r="H376" s="296"/>
      <c r="I376" s="297"/>
      <c r="J376" s="292"/>
      <c r="K376" s="284"/>
      <c r="L376" s="284"/>
      <c r="M376" s="295"/>
      <c r="N376" s="296"/>
      <c r="O376" s="296"/>
      <c r="P376" s="284"/>
      <c r="Q376" s="298"/>
      <c r="R376" s="292"/>
      <c r="S376" s="299"/>
      <c r="T376" s="300"/>
      <c r="U376" s="317" t="str">
        <f t="shared" si="141"/>
        <v/>
      </c>
      <c r="V376" s="301"/>
      <c r="W376" s="137" t="str">
        <f t="shared" si="142"/>
        <v/>
      </c>
      <c r="X376" s="589" t="str">
        <f t="shared" si="160"/>
        <v/>
      </c>
      <c r="Y376" s="581"/>
      <c r="Z376" s="251" t="str">
        <f t="shared" si="143"/>
        <v/>
      </c>
      <c r="AA376" s="138" t="str">
        <f t="shared" si="168"/>
        <v/>
      </c>
      <c r="AB376" s="243" t="str">
        <f t="shared" si="161"/>
        <v/>
      </c>
      <c r="AC376" s="141" t="str">
        <f t="shared" si="144"/>
        <v/>
      </c>
      <c r="AD376" s="138" t="str">
        <f t="shared" si="162"/>
        <v/>
      </c>
      <c r="AE376" s="243" t="str">
        <f t="shared" si="145"/>
        <v/>
      </c>
      <c r="AF376" s="342" t="str">
        <f>IF(AM376="Row Not Used","",INDEX(SpaceTable[Annual Hours],(MATCH(B376,SpaceTable[Space Name Concatenated Helper],0))))</f>
        <v/>
      </c>
      <c r="AG376" s="205" t="str">
        <f t="shared" si="146"/>
        <v/>
      </c>
      <c r="AH376" s="234" t="str">
        <f t="shared" si="147"/>
        <v/>
      </c>
      <c r="AI376" s="205" t="str">
        <f t="shared" si="148"/>
        <v/>
      </c>
      <c r="AJ376" s="234" t="str">
        <f t="shared" si="149"/>
        <v/>
      </c>
      <c r="AK376" s="144" t="str">
        <f>IF(AM376="Row Not Used","",INDEX(SpaceTable[Row],(MATCH(B376,SpaceTable[Space Name Concatenated Helper],0))))</f>
        <v/>
      </c>
      <c r="AL376" s="238" t="str">
        <f>IF(AM376="Row Not Used","",INDEX(SpaceTable[HVAC Factor],(MATCH(B376,SpaceTable[Space Name Concatenated Helper],0))))</f>
        <v/>
      </c>
      <c r="AM376" s="520" t="str">
        <f t="shared" si="150"/>
        <v>Row Not Used</v>
      </c>
      <c r="AN376" s="512" t="e" cm="1">
        <f t="array" ref="AN376">INDEX(BallastFactorTable[Ballast Factor],MATCH(1,(BallastFactorTable[Fixture Class]=D376)*(BallastFactorTable[Fixture Category]=E376)*(BallastFactorTable[Fixture Sub-category]=F376),0))</f>
        <v>#N/A</v>
      </c>
      <c r="AO376" s="143" t="str">
        <f t="shared" si="163"/>
        <v/>
      </c>
      <c r="AP376" s="501" t="e" cm="1">
        <f t="array" ref="AP376">INDEX(BallastFactorTable[Wattage Range Name],MATCH(1,(BallastFactorTable[Fixture Class]=D376)*(BallastFactorTable[Fixture Category]=E376)*(BallastFactorTable[Fixture Sub-category]=F376),0))</f>
        <v>#N/A</v>
      </c>
      <c r="AQ376" s="515" t="str">
        <f t="shared" ca="1" si="151"/>
        <v>Okay</v>
      </c>
      <c r="AR376" s="512">
        <f t="shared" si="152"/>
        <v>0</v>
      </c>
      <c r="AS376" s="511" t="str">
        <f>IF(OR(Measures!AM376="Row Not Used",Measures!C376="Controls Only",Measures!C376="Decommissioning"),"",_xlfn.CONCAT(P376," ",Q376))</f>
        <v/>
      </c>
      <c r="AT376" s="264" t="str">
        <f t="shared" si="153"/>
        <v>None</v>
      </c>
      <c r="AU376" s="229">
        <f>IF(OR(AM376="Row Not Used",AM376="Controls Only"),0,INDEX(IncentiveRateTable[Incentive Rate],MATCH(AT376,IncentiveRateTable[Incentive Name],0)))</f>
        <v>0</v>
      </c>
      <c r="AV376" s="133" t="str">
        <f>IF(OR(AM376="Row Not Used",AM376="Controls Only"),"None",INDEX(IncentiveRateTable[Incentive Unit],MATCH(AT376,IncentiveRateTable[Incentive Name],0)))</f>
        <v>None</v>
      </c>
      <c r="AW376" s="578">
        <f t="shared" si="164"/>
        <v>0</v>
      </c>
      <c r="AX376" s="264" t="str">
        <f t="shared" si="154"/>
        <v>None</v>
      </c>
      <c r="AY376" s="229">
        <f>IF(OR(AM376="Row Not Used",AM376="Fixtures Only",AM376="Decommissioning"),0,INDEX(IncentiveRateTable[Incentive Rate],MATCH(AX376,IncentiveRateTable[Incentive Name],0)))</f>
        <v>0</v>
      </c>
      <c r="AZ376" s="133" t="str">
        <f>IF(OR(AM376="Row Not Used",AM376="Fixtures Only",AM376="Decommissioning"),"None",INDEX(IncentiveRateTable[Incentive Unit],MATCH(AX376,IncentiveRateTable[Incentive Name],0)))</f>
        <v>None</v>
      </c>
      <c r="BA376" s="465">
        <f t="shared" si="155"/>
        <v>0</v>
      </c>
      <c r="BB376" s="264" t="e" cm="1">
        <f t="array" ref="BB376">INDEX(BallastFactorTable[Commercial BPA Reference Number],MATCH(1,(BallastFactorTable[Fixture Class]=J376)*(BallastFactorTable[Fixture Category]=K376)*(BallastFactorTable[Fixture Sub-category]=L376),0))</f>
        <v>#N/A</v>
      </c>
      <c r="BC376" s="133" t="e" cm="1">
        <f t="array" ref="BC376">INDEX(BallastFactorTable[Industrial BPA Reference Number],MATCH(1,(BallastFactorTable[Fixture Class]=J376)*(BallastFactorTable[Fixture Category]=K376)*(BallastFactorTable[Fixture Sub-category]=L376),0))</f>
        <v>#N/A</v>
      </c>
      <c r="BD376" s="264" t="str">
        <f t="shared" si="156"/>
        <v>Sector is blank</v>
      </c>
      <c r="BE376" s="269" t="str">
        <f>IF(ISBLANK(SectorField),"Sector is blank",IF(AM376="Row Not Used","",IF(OR(R376="No Controls",ISBLANK(R376)),"",INDEX(ControlsBPARefNoTable[Reference Number],MATCH(SectorField,ControlsBPARefNoTable[Sector],0)))))</f>
        <v>Sector is blank</v>
      </c>
      <c r="BF376" s="530" t="str">
        <f t="shared" si="157"/>
        <v/>
      </c>
      <c r="BG376" s="132" t="str">
        <f t="shared" si="158"/>
        <v/>
      </c>
      <c r="BH376" s="531" t="str">
        <f t="shared" si="159"/>
        <v/>
      </c>
      <c r="BI376" s="532"/>
      <c r="BJ376" s="538" t="str">
        <f t="shared" si="165"/>
        <v/>
      </c>
      <c r="BK376" s="539" t="str">
        <f t="shared" si="166"/>
        <v/>
      </c>
      <c r="BL376" s="547" t="str">
        <f t="shared" si="167"/>
        <v/>
      </c>
    </row>
    <row r="377" spans="1:64" x14ac:dyDescent="0.3">
      <c r="A377" s="133">
        <v>370</v>
      </c>
      <c r="B377" s="294"/>
      <c r="C377" s="313"/>
      <c r="D377" s="292"/>
      <c r="E377" s="284"/>
      <c r="F377" s="284"/>
      <c r="G377" s="295"/>
      <c r="H377" s="296"/>
      <c r="I377" s="297"/>
      <c r="J377" s="292"/>
      <c r="K377" s="284"/>
      <c r="L377" s="284"/>
      <c r="M377" s="295"/>
      <c r="N377" s="296"/>
      <c r="O377" s="296"/>
      <c r="P377" s="284"/>
      <c r="Q377" s="298"/>
      <c r="R377" s="292"/>
      <c r="S377" s="299"/>
      <c r="T377" s="300"/>
      <c r="U377" s="317" t="str">
        <f t="shared" si="141"/>
        <v/>
      </c>
      <c r="V377" s="301"/>
      <c r="W377" s="136" t="str">
        <f t="shared" si="142"/>
        <v/>
      </c>
      <c r="X377" s="588" t="str">
        <f t="shared" si="160"/>
        <v/>
      </c>
      <c r="Y377" s="580"/>
      <c r="Z377" s="251" t="str">
        <f t="shared" si="143"/>
        <v/>
      </c>
      <c r="AA377" s="138" t="str">
        <f t="shared" si="168"/>
        <v/>
      </c>
      <c r="AB377" s="243" t="str">
        <f t="shared" si="161"/>
        <v/>
      </c>
      <c r="AC377" s="141" t="str">
        <f t="shared" si="144"/>
        <v/>
      </c>
      <c r="AD377" s="138" t="str">
        <f t="shared" si="162"/>
        <v/>
      </c>
      <c r="AE377" s="243" t="str">
        <f t="shared" si="145"/>
        <v/>
      </c>
      <c r="AF377" s="342" t="str">
        <f>IF(AM377="Row Not Used","",INDEX(SpaceTable[Annual Hours],(MATCH(B377,SpaceTable[Space Name Concatenated Helper],0))))</f>
        <v/>
      </c>
      <c r="AG377" s="205" t="str">
        <f t="shared" si="146"/>
        <v/>
      </c>
      <c r="AH377" s="234" t="str">
        <f t="shared" si="147"/>
        <v/>
      </c>
      <c r="AI377" s="205" t="str">
        <f t="shared" si="148"/>
        <v/>
      </c>
      <c r="AJ377" s="234" t="str">
        <f t="shared" si="149"/>
        <v/>
      </c>
      <c r="AK377" s="144" t="str">
        <f>IF(AM377="Row Not Used","",INDEX(SpaceTable[Row],(MATCH(B377,SpaceTable[Space Name Concatenated Helper],0))))</f>
        <v/>
      </c>
      <c r="AL377" s="238" t="str">
        <f>IF(AM377="Row Not Used","",INDEX(SpaceTable[HVAC Factor],(MATCH(B377,SpaceTable[Space Name Concatenated Helper],0))))</f>
        <v/>
      </c>
      <c r="AM377" s="520" t="str">
        <f t="shared" si="150"/>
        <v>Row Not Used</v>
      </c>
      <c r="AN377" s="512" t="e" cm="1">
        <f t="array" ref="AN377">INDEX(BallastFactorTable[Ballast Factor],MATCH(1,(BallastFactorTable[Fixture Class]=D377)*(BallastFactorTable[Fixture Category]=E377)*(BallastFactorTable[Fixture Sub-category]=F377),0))</f>
        <v>#N/A</v>
      </c>
      <c r="AO377" s="143" t="str">
        <f t="shared" si="163"/>
        <v/>
      </c>
      <c r="AP377" s="501" t="e" cm="1">
        <f t="array" ref="AP377">INDEX(BallastFactorTable[Wattage Range Name],MATCH(1,(BallastFactorTable[Fixture Class]=D377)*(BallastFactorTable[Fixture Category]=E377)*(BallastFactorTable[Fixture Sub-category]=F377),0))</f>
        <v>#N/A</v>
      </c>
      <c r="AQ377" s="515" t="str">
        <f t="shared" ca="1" si="151"/>
        <v>Okay</v>
      </c>
      <c r="AR377" s="512">
        <f t="shared" si="152"/>
        <v>0</v>
      </c>
      <c r="AS377" s="511" t="str">
        <f>IF(OR(Measures!AM377="Row Not Used",Measures!C377="Controls Only",Measures!C377="Decommissioning"),"",_xlfn.CONCAT(P377," ",Q377))</f>
        <v/>
      </c>
      <c r="AT377" s="264" t="str">
        <f t="shared" si="153"/>
        <v>None</v>
      </c>
      <c r="AU377" s="229">
        <f>IF(OR(AM377="Row Not Used",AM377="Controls Only"),0,INDEX(IncentiveRateTable[Incentive Rate],MATCH(AT377,IncentiveRateTable[Incentive Name],0)))</f>
        <v>0</v>
      </c>
      <c r="AV377" s="133" t="str">
        <f>IF(OR(AM377="Row Not Used",AM377="Controls Only"),"None",INDEX(IncentiveRateTable[Incentive Unit],MATCH(AT377,IncentiveRateTable[Incentive Name],0)))</f>
        <v>None</v>
      </c>
      <c r="AW377" s="578">
        <f t="shared" si="164"/>
        <v>0</v>
      </c>
      <c r="AX377" s="264" t="str">
        <f t="shared" si="154"/>
        <v>None</v>
      </c>
      <c r="AY377" s="229">
        <f>IF(OR(AM377="Row Not Used",AM377="Fixtures Only",AM377="Decommissioning"),0,INDEX(IncentiveRateTable[Incentive Rate],MATCH(AX377,IncentiveRateTable[Incentive Name],0)))</f>
        <v>0</v>
      </c>
      <c r="AZ377" s="133" t="str">
        <f>IF(OR(AM377="Row Not Used",AM377="Fixtures Only",AM377="Decommissioning"),"None",INDEX(IncentiveRateTable[Incentive Unit],MATCH(AX377,IncentiveRateTable[Incentive Name],0)))</f>
        <v>None</v>
      </c>
      <c r="BA377" s="465">
        <f t="shared" si="155"/>
        <v>0</v>
      </c>
      <c r="BB377" s="264" t="e" cm="1">
        <f t="array" ref="BB377">INDEX(BallastFactorTable[Commercial BPA Reference Number],MATCH(1,(BallastFactorTable[Fixture Class]=J377)*(BallastFactorTable[Fixture Category]=K377)*(BallastFactorTable[Fixture Sub-category]=L377),0))</f>
        <v>#N/A</v>
      </c>
      <c r="BC377" s="133" t="e" cm="1">
        <f t="array" ref="BC377">INDEX(BallastFactorTable[Industrial BPA Reference Number],MATCH(1,(BallastFactorTable[Fixture Class]=J377)*(BallastFactorTable[Fixture Category]=K377)*(BallastFactorTable[Fixture Sub-category]=L377),0))</f>
        <v>#N/A</v>
      </c>
      <c r="BD377" s="264" t="str">
        <f t="shared" si="156"/>
        <v>Sector is blank</v>
      </c>
      <c r="BE377" s="269" t="str">
        <f>IF(ISBLANK(SectorField),"Sector is blank",IF(AM377="Row Not Used","",IF(OR(R377="No Controls",ISBLANK(R377)),"",INDEX(ControlsBPARefNoTable[Reference Number],MATCH(SectorField,ControlsBPARefNoTable[Sector],0)))))</f>
        <v>Sector is blank</v>
      </c>
      <c r="BF377" s="530" t="str">
        <f t="shared" si="157"/>
        <v/>
      </c>
      <c r="BG377" s="132" t="str">
        <f t="shared" si="158"/>
        <v/>
      </c>
      <c r="BH377" s="531" t="str">
        <f t="shared" si="159"/>
        <v/>
      </c>
      <c r="BI377" s="532"/>
      <c r="BJ377" s="538" t="str">
        <f t="shared" si="165"/>
        <v/>
      </c>
      <c r="BK377" s="539" t="str">
        <f t="shared" si="166"/>
        <v/>
      </c>
      <c r="BL377" s="547" t="str">
        <f t="shared" si="167"/>
        <v/>
      </c>
    </row>
    <row r="378" spans="1:64" x14ac:dyDescent="0.3">
      <c r="A378" s="133">
        <v>371</v>
      </c>
      <c r="B378" s="294"/>
      <c r="C378" s="313"/>
      <c r="D378" s="292"/>
      <c r="E378" s="284"/>
      <c r="F378" s="284"/>
      <c r="G378" s="295"/>
      <c r="H378" s="296"/>
      <c r="I378" s="297"/>
      <c r="J378" s="292"/>
      <c r="K378" s="284"/>
      <c r="L378" s="284"/>
      <c r="M378" s="295"/>
      <c r="N378" s="296"/>
      <c r="O378" s="296"/>
      <c r="P378" s="284"/>
      <c r="Q378" s="298"/>
      <c r="R378" s="292"/>
      <c r="S378" s="299"/>
      <c r="T378" s="300"/>
      <c r="U378" s="317" t="str">
        <f t="shared" si="141"/>
        <v/>
      </c>
      <c r="V378" s="301"/>
      <c r="W378" s="137" t="str">
        <f t="shared" si="142"/>
        <v/>
      </c>
      <c r="X378" s="589" t="str">
        <f t="shared" si="160"/>
        <v/>
      </c>
      <c r="Y378" s="581"/>
      <c r="Z378" s="251" t="str">
        <f t="shared" si="143"/>
        <v/>
      </c>
      <c r="AA378" s="138" t="str">
        <f t="shared" si="168"/>
        <v/>
      </c>
      <c r="AB378" s="243" t="str">
        <f t="shared" si="161"/>
        <v/>
      </c>
      <c r="AC378" s="141" t="str">
        <f t="shared" si="144"/>
        <v/>
      </c>
      <c r="AD378" s="138" t="str">
        <f t="shared" si="162"/>
        <v/>
      </c>
      <c r="AE378" s="243" t="str">
        <f t="shared" si="145"/>
        <v/>
      </c>
      <c r="AF378" s="342" t="str">
        <f>IF(AM378="Row Not Used","",INDEX(SpaceTable[Annual Hours],(MATCH(B378,SpaceTable[Space Name Concatenated Helper],0))))</f>
        <v/>
      </c>
      <c r="AG378" s="205" t="str">
        <f t="shared" si="146"/>
        <v/>
      </c>
      <c r="AH378" s="234" t="str">
        <f t="shared" si="147"/>
        <v/>
      </c>
      <c r="AI378" s="205" t="str">
        <f t="shared" si="148"/>
        <v/>
      </c>
      <c r="AJ378" s="234" t="str">
        <f t="shared" si="149"/>
        <v/>
      </c>
      <c r="AK378" s="144" t="str">
        <f>IF(AM378="Row Not Used","",INDEX(SpaceTable[Row],(MATCH(B378,SpaceTable[Space Name Concatenated Helper],0))))</f>
        <v/>
      </c>
      <c r="AL378" s="238" t="str">
        <f>IF(AM378="Row Not Used","",INDEX(SpaceTable[HVAC Factor],(MATCH(B378,SpaceTable[Space Name Concatenated Helper],0))))</f>
        <v/>
      </c>
      <c r="AM378" s="520" t="str">
        <f t="shared" si="150"/>
        <v>Row Not Used</v>
      </c>
      <c r="AN378" s="512" t="e" cm="1">
        <f t="array" ref="AN378">INDEX(BallastFactorTable[Ballast Factor],MATCH(1,(BallastFactorTable[Fixture Class]=D378)*(BallastFactorTable[Fixture Category]=E378)*(BallastFactorTable[Fixture Sub-category]=F378),0))</f>
        <v>#N/A</v>
      </c>
      <c r="AO378" s="143" t="str">
        <f t="shared" si="163"/>
        <v/>
      </c>
      <c r="AP378" s="501" t="e" cm="1">
        <f t="array" ref="AP378">INDEX(BallastFactorTable[Wattage Range Name],MATCH(1,(BallastFactorTable[Fixture Class]=D378)*(BallastFactorTable[Fixture Category]=E378)*(BallastFactorTable[Fixture Sub-category]=F378),0))</f>
        <v>#N/A</v>
      </c>
      <c r="AQ378" s="515" t="str">
        <f t="shared" ca="1" si="151"/>
        <v>Okay</v>
      </c>
      <c r="AR378" s="512">
        <f t="shared" si="152"/>
        <v>0</v>
      </c>
      <c r="AS378" s="511" t="str">
        <f>IF(OR(Measures!AM378="Row Not Used",Measures!C378="Controls Only",Measures!C378="Decommissioning"),"",_xlfn.CONCAT(P378," ",Q378))</f>
        <v/>
      </c>
      <c r="AT378" s="264" t="str">
        <f t="shared" si="153"/>
        <v>None</v>
      </c>
      <c r="AU378" s="229">
        <f>IF(OR(AM378="Row Not Used",AM378="Controls Only"),0,INDEX(IncentiveRateTable[Incentive Rate],MATCH(AT378,IncentiveRateTable[Incentive Name],0)))</f>
        <v>0</v>
      </c>
      <c r="AV378" s="133" t="str">
        <f>IF(OR(AM378="Row Not Used",AM378="Controls Only"),"None",INDEX(IncentiveRateTable[Incentive Unit],MATCH(AT378,IncentiveRateTable[Incentive Name],0)))</f>
        <v>None</v>
      </c>
      <c r="AW378" s="578">
        <f t="shared" si="164"/>
        <v>0</v>
      </c>
      <c r="AX378" s="264" t="str">
        <f t="shared" si="154"/>
        <v>None</v>
      </c>
      <c r="AY378" s="229">
        <f>IF(OR(AM378="Row Not Used",AM378="Fixtures Only",AM378="Decommissioning"),0,INDEX(IncentiveRateTable[Incentive Rate],MATCH(AX378,IncentiveRateTable[Incentive Name],0)))</f>
        <v>0</v>
      </c>
      <c r="AZ378" s="133" t="str">
        <f>IF(OR(AM378="Row Not Used",AM378="Fixtures Only",AM378="Decommissioning"),"None",INDEX(IncentiveRateTable[Incentive Unit],MATCH(AX378,IncentiveRateTable[Incentive Name],0)))</f>
        <v>None</v>
      </c>
      <c r="BA378" s="465">
        <f t="shared" si="155"/>
        <v>0</v>
      </c>
      <c r="BB378" s="264" t="e" cm="1">
        <f t="array" ref="BB378">INDEX(BallastFactorTable[Commercial BPA Reference Number],MATCH(1,(BallastFactorTable[Fixture Class]=J378)*(BallastFactorTable[Fixture Category]=K378)*(BallastFactorTable[Fixture Sub-category]=L378),0))</f>
        <v>#N/A</v>
      </c>
      <c r="BC378" s="133" t="e" cm="1">
        <f t="array" ref="BC378">INDEX(BallastFactorTable[Industrial BPA Reference Number],MATCH(1,(BallastFactorTable[Fixture Class]=J378)*(BallastFactorTable[Fixture Category]=K378)*(BallastFactorTable[Fixture Sub-category]=L378),0))</f>
        <v>#N/A</v>
      </c>
      <c r="BD378" s="264" t="str">
        <f t="shared" si="156"/>
        <v>Sector is blank</v>
      </c>
      <c r="BE378" s="269" t="str">
        <f>IF(ISBLANK(SectorField),"Sector is blank",IF(AM378="Row Not Used","",IF(OR(R378="No Controls",ISBLANK(R378)),"",INDEX(ControlsBPARefNoTable[Reference Number],MATCH(SectorField,ControlsBPARefNoTable[Sector],0)))))</f>
        <v>Sector is blank</v>
      </c>
      <c r="BF378" s="530" t="str">
        <f t="shared" si="157"/>
        <v/>
      </c>
      <c r="BG378" s="132" t="str">
        <f t="shared" si="158"/>
        <v/>
      </c>
      <c r="BH378" s="531" t="str">
        <f t="shared" si="159"/>
        <v/>
      </c>
      <c r="BI378" s="532"/>
      <c r="BJ378" s="538" t="str">
        <f t="shared" si="165"/>
        <v/>
      </c>
      <c r="BK378" s="539" t="str">
        <f t="shared" si="166"/>
        <v/>
      </c>
      <c r="BL378" s="547" t="str">
        <f t="shared" si="167"/>
        <v/>
      </c>
    </row>
    <row r="379" spans="1:64" x14ac:dyDescent="0.3">
      <c r="A379" s="133">
        <v>372</v>
      </c>
      <c r="B379" s="294"/>
      <c r="C379" s="313"/>
      <c r="D379" s="292"/>
      <c r="E379" s="284"/>
      <c r="F379" s="284"/>
      <c r="G379" s="295"/>
      <c r="H379" s="296"/>
      <c r="I379" s="297"/>
      <c r="J379" s="292"/>
      <c r="K379" s="284"/>
      <c r="L379" s="284"/>
      <c r="M379" s="295"/>
      <c r="N379" s="296"/>
      <c r="O379" s="296"/>
      <c r="P379" s="284"/>
      <c r="Q379" s="298"/>
      <c r="R379" s="292"/>
      <c r="S379" s="299"/>
      <c r="T379" s="300"/>
      <c r="U379" s="317" t="str">
        <f t="shared" si="141"/>
        <v/>
      </c>
      <c r="V379" s="301"/>
      <c r="W379" s="136" t="str">
        <f t="shared" si="142"/>
        <v/>
      </c>
      <c r="X379" s="588" t="str">
        <f t="shared" si="160"/>
        <v/>
      </c>
      <c r="Y379" s="580"/>
      <c r="Z379" s="251" t="str">
        <f t="shared" si="143"/>
        <v/>
      </c>
      <c r="AA379" s="138" t="str">
        <f t="shared" si="168"/>
        <v/>
      </c>
      <c r="AB379" s="243" t="str">
        <f t="shared" si="161"/>
        <v/>
      </c>
      <c r="AC379" s="141" t="str">
        <f t="shared" si="144"/>
        <v/>
      </c>
      <c r="AD379" s="138" t="str">
        <f t="shared" si="162"/>
        <v/>
      </c>
      <c r="AE379" s="243" t="str">
        <f t="shared" si="145"/>
        <v/>
      </c>
      <c r="AF379" s="342" t="str">
        <f>IF(AM379="Row Not Used","",INDEX(SpaceTable[Annual Hours],(MATCH(B379,SpaceTable[Space Name Concatenated Helper],0))))</f>
        <v/>
      </c>
      <c r="AG379" s="205" t="str">
        <f t="shared" si="146"/>
        <v/>
      </c>
      <c r="AH379" s="234" t="str">
        <f t="shared" si="147"/>
        <v/>
      </c>
      <c r="AI379" s="205" t="str">
        <f t="shared" si="148"/>
        <v/>
      </c>
      <c r="AJ379" s="234" t="str">
        <f t="shared" si="149"/>
        <v/>
      </c>
      <c r="AK379" s="144" t="str">
        <f>IF(AM379="Row Not Used","",INDEX(SpaceTable[Row],(MATCH(B379,SpaceTable[Space Name Concatenated Helper],0))))</f>
        <v/>
      </c>
      <c r="AL379" s="238" t="str">
        <f>IF(AM379="Row Not Used","",INDEX(SpaceTable[HVAC Factor],(MATCH(B379,SpaceTable[Space Name Concatenated Helper],0))))</f>
        <v/>
      </c>
      <c r="AM379" s="520" t="str">
        <f t="shared" si="150"/>
        <v>Row Not Used</v>
      </c>
      <c r="AN379" s="512" t="e" cm="1">
        <f t="array" ref="AN379">INDEX(BallastFactorTable[Ballast Factor],MATCH(1,(BallastFactorTable[Fixture Class]=D379)*(BallastFactorTable[Fixture Category]=E379)*(BallastFactorTable[Fixture Sub-category]=F379),0))</f>
        <v>#N/A</v>
      </c>
      <c r="AO379" s="143" t="str">
        <f t="shared" si="163"/>
        <v/>
      </c>
      <c r="AP379" s="501" t="e" cm="1">
        <f t="array" ref="AP379">INDEX(BallastFactorTable[Wattage Range Name],MATCH(1,(BallastFactorTable[Fixture Class]=D379)*(BallastFactorTable[Fixture Category]=E379)*(BallastFactorTable[Fixture Sub-category]=F379),0))</f>
        <v>#N/A</v>
      </c>
      <c r="AQ379" s="515" t="str">
        <f t="shared" ca="1" si="151"/>
        <v>Okay</v>
      </c>
      <c r="AR379" s="512">
        <f t="shared" si="152"/>
        <v>0</v>
      </c>
      <c r="AS379" s="511" t="str">
        <f>IF(OR(Measures!AM379="Row Not Used",Measures!C379="Controls Only",Measures!C379="Decommissioning"),"",_xlfn.CONCAT(P379," ",Q379))</f>
        <v/>
      </c>
      <c r="AT379" s="264" t="str">
        <f t="shared" si="153"/>
        <v>None</v>
      </c>
      <c r="AU379" s="229">
        <f>IF(OR(AM379="Row Not Used",AM379="Controls Only"),0,INDEX(IncentiveRateTable[Incentive Rate],MATCH(AT379,IncentiveRateTable[Incentive Name],0)))</f>
        <v>0</v>
      </c>
      <c r="AV379" s="133" t="str">
        <f>IF(OR(AM379="Row Not Used",AM379="Controls Only"),"None",INDEX(IncentiveRateTable[Incentive Unit],MATCH(AT379,IncentiveRateTable[Incentive Name],0)))</f>
        <v>None</v>
      </c>
      <c r="AW379" s="578">
        <f t="shared" si="164"/>
        <v>0</v>
      </c>
      <c r="AX379" s="264" t="str">
        <f t="shared" si="154"/>
        <v>None</v>
      </c>
      <c r="AY379" s="229">
        <f>IF(OR(AM379="Row Not Used",AM379="Fixtures Only",AM379="Decommissioning"),0,INDEX(IncentiveRateTable[Incentive Rate],MATCH(AX379,IncentiveRateTable[Incentive Name],0)))</f>
        <v>0</v>
      </c>
      <c r="AZ379" s="133" t="str">
        <f>IF(OR(AM379="Row Not Used",AM379="Fixtures Only",AM379="Decommissioning"),"None",INDEX(IncentiveRateTable[Incentive Unit],MATCH(AX379,IncentiveRateTable[Incentive Name],0)))</f>
        <v>None</v>
      </c>
      <c r="BA379" s="465">
        <f t="shared" si="155"/>
        <v>0</v>
      </c>
      <c r="BB379" s="264" t="e" cm="1">
        <f t="array" ref="BB379">INDEX(BallastFactorTable[Commercial BPA Reference Number],MATCH(1,(BallastFactorTable[Fixture Class]=J379)*(BallastFactorTable[Fixture Category]=K379)*(BallastFactorTable[Fixture Sub-category]=L379),0))</f>
        <v>#N/A</v>
      </c>
      <c r="BC379" s="133" t="e" cm="1">
        <f t="array" ref="BC379">INDEX(BallastFactorTable[Industrial BPA Reference Number],MATCH(1,(BallastFactorTable[Fixture Class]=J379)*(BallastFactorTable[Fixture Category]=K379)*(BallastFactorTable[Fixture Sub-category]=L379),0))</f>
        <v>#N/A</v>
      </c>
      <c r="BD379" s="264" t="str">
        <f t="shared" si="156"/>
        <v>Sector is blank</v>
      </c>
      <c r="BE379" s="269" t="str">
        <f>IF(ISBLANK(SectorField),"Sector is blank",IF(AM379="Row Not Used","",IF(OR(R379="No Controls",ISBLANK(R379)),"",INDEX(ControlsBPARefNoTable[Reference Number],MATCH(SectorField,ControlsBPARefNoTable[Sector],0)))))</f>
        <v>Sector is blank</v>
      </c>
      <c r="BF379" s="530" t="str">
        <f t="shared" si="157"/>
        <v/>
      </c>
      <c r="BG379" s="132" t="str">
        <f t="shared" si="158"/>
        <v/>
      </c>
      <c r="BH379" s="531" t="str">
        <f t="shared" si="159"/>
        <v/>
      </c>
      <c r="BI379" s="532"/>
      <c r="BJ379" s="538" t="str">
        <f t="shared" si="165"/>
        <v/>
      </c>
      <c r="BK379" s="539" t="str">
        <f t="shared" si="166"/>
        <v/>
      </c>
      <c r="BL379" s="547" t="str">
        <f t="shared" si="167"/>
        <v/>
      </c>
    </row>
    <row r="380" spans="1:64" x14ac:dyDescent="0.3">
      <c r="A380" s="133">
        <v>373</v>
      </c>
      <c r="B380" s="294"/>
      <c r="C380" s="313"/>
      <c r="D380" s="292"/>
      <c r="E380" s="284"/>
      <c r="F380" s="284"/>
      <c r="G380" s="295"/>
      <c r="H380" s="296"/>
      <c r="I380" s="297"/>
      <c r="J380" s="292"/>
      <c r="K380" s="284"/>
      <c r="L380" s="284"/>
      <c r="M380" s="295"/>
      <c r="N380" s="296"/>
      <c r="O380" s="296"/>
      <c r="P380" s="284"/>
      <c r="Q380" s="298"/>
      <c r="R380" s="292"/>
      <c r="S380" s="299"/>
      <c r="T380" s="300"/>
      <c r="U380" s="317" t="str">
        <f t="shared" si="141"/>
        <v/>
      </c>
      <c r="V380" s="301"/>
      <c r="W380" s="137" t="str">
        <f t="shared" si="142"/>
        <v/>
      </c>
      <c r="X380" s="589" t="str">
        <f t="shared" si="160"/>
        <v/>
      </c>
      <c r="Y380" s="581"/>
      <c r="Z380" s="251" t="str">
        <f t="shared" si="143"/>
        <v/>
      </c>
      <c r="AA380" s="138" t="str">
        <f t="shared" si="168"/>
        <v/>
      </c>
      <c r="AB380" s="243" t="str">
        <f t="shared" si="161"/>
        <v/>
      </c>
      <c r="AC380" s="141" t="str">
        <f t="shared" si="144"/>
        <v/>
      </c>
      <c r="AD380" s="138" t="str">
        <f t="shared" si="162"/>
        <v/>
      </c>
      <c r="AE380" s="243" t="str">
        <f t="shared" si="145"/>
        <v/>
      </c>
      <c r="AF380" s="342" t="str">
        <f>IF(AM380="Row Not Used","",INDEX(SpaceTable[Annual Hours],(MATCH(B380,SpaceTable[Space Name Concatenated Helper],0))))</f>
        <v/>
      </c>
      <c r="AG380" s="205" t="str">
        <f t="shared" si="146"/>
        <v/>
      </c>
      <c r="AH380" s="234" t="str">
        <f t="shared" si="147"/>
        <v/>
      </c>
      <c r="AI380" s="205" t="str">
        <f t="shared" si="148"/>
        <v/>
      </c>
      <c r="AJ380" s="234" t="str">
        <f t="shared" si="149"/>
        <v/>
      </c>
      <c r="AK380" s="144" t="str">
        <f>IF(AM380="Row Not Used","",INDEX(SpaceTable[Row],(MATCH(B380,SpaceTable[Space Name Concatenated Helper],0))))</f>
        <v/>
      </c>
      <c r="AL380" s="238" t="str">
        <f>IF(AM380="Row Not Used","",INDEX(SpaceTable[HVAC Factor],(MATCH(B380,SpaceTable[Space Name Concatenated Helper],0))))</f>
        <v/>
      </c>
      <c r="AM380" s="520" t="str">
        <f t="shared" si="150"/>
        <v>Row Not Used</v>
      </c>
      <c r="AN380" s="512" t="e" cm="1">
        <f t="array" ref="AN380">INDEX(BallastFactorTable[Ballast Factor],MATCH(1,(BallastFactorTable[Fixture Class]=D380)*(BallastFactorTable[Fixture Category]=E380)*(BallastFactorTable[Fixture Sub-category]=F380),0))</f>
        <v>#N/A</v>
      </c>
      <c r="AO380" s="143" t="str">
        <f t="shared" si="163"/>
        <v/>
      </c>
      <c r="AP380" s="501" t="e" cm="1">
        <f t="array" ref="AP380">INDEX(BallastFactorTable[Wattage Range Name],MATCH(1,(BallastFactorTable[Fixture Class]=D380)*(BallastFactorTable[Fixture Category]=E380)*(BallastFactorTable[Fixture Sub-category]=F380),0))</f>
        <v>#N/A</v>
      </c>
      <c r="AQ380" s="515" t="str">
        <f t="shared" ca="1" si="151"/>
        <v>Okay</v>
      </c>
      <c r="AR380" s="512">
        <f t="shared" si="152"/>
        <v>0</v>
      </c>
      <c r="AS380" s="511" t="str">
        <f>IF(OR(Measures!AM380="Row Not Used",Measures!C380="Controls Only",Measures!C380="Decommissioning"),"",_xlfn.CONCAT(P380," ",Q380))</f>
        <v/>
      </c>
      <c r="AT380" s="264" t="str">
        <f t="shared" si="153"/>
        <v>None</v>
      </c>
      <c r="AU380" s="229">
        <f>IF(OR(AM380="Row Not Used",AM380="Controls Only"),0,INDEX(IncentiveRateTable[Incentive Rate],MATCH(AT380,IncentiveRateTable[Incentive Name],0)))</f>
        <v>0</v>
      </c>
      <c r="AV380" s="133" t="str">
        <f>IF(OR(AM380="Row Not Used",AM380="Controls Only"),"None",INDEX(IncentiveRateTable[Incentive Unit],MATCH(AT380,IncentiveRateTable[Incentive Name],0)))</f>
        <v>None</v>
      </c>
      <c r="AW380" s="578">
        <f t="shared" si="164"/>
        <v>0</v>
      </c>
      <c r="AX380" s="264" t="str">
        <f t="shared" si="154"/>
        <v>None</v>
      </c>
      <c r="AY380" s="229">
        <f>IF(OR(AM380="Row Not Used",AM380="Fixtures Only",AM380="Decommissioning"),0,INDEX(IncentiveRateTable[Incentive Rate],MATCH(AX380,IncentiveRateTable[Incentive Name],0)))</f>
        <v>0</v>
      </c>
      <c r="AZ380" s="133" t="str">
        <f>IF(OR(AM380="Row Not Used",AM380="Fixtures Only",AM380="Decommissioning"),"None",INDEX(IncentiveRateTable[Incentive Unit],MATCH(AX380,IncentiveRateTable[Incentive Name],0)))</f>
        <v>None</v>
      </c>
      <c r="BA380" s="465">
        <f t="shared" si="155"/>
        <v>0</v>
      </c>
      <c r="BB380" s="264" t="e" cm="1">
        <f t="array" ref="BB380">INDEX(BallastFactorTable[Commercial BPA Reference Number],MATCH(1,(BallastFactorTable[Fixture Class]=J380)*(BallastFactorTable[Fixture Category]=K380)*(BallastFactorTable[Fixture Sub-category]=L380),0))</f>
        <v>#N/A</v>
      </c>
      <c r="BC380" s="133" t="e" cm="1">
        <f t="array" ref="BC380">INDEX(BallastFactorTable[Industrial BPA Reference Number],MATCH(1,(BallastFactorTable[Fixture Class]=J380)*(BallastFactorTable[Fixture Category]=K380)*(BallastFactorTable[Fixture Sub-category]=L380),0))</f>
        <v>#N/A</v>
      </c>
      <c r="BD380" s="264" t="str">
        <f t="shared" si="156"/>
        <v>Sector is blank</v>
      </c>
      <c r="BE380" s="269" t="str">
        <f>IF(ISBLANK(SectorField),"Sector is blank",IF(AM380="Row Not Used","",IF(OR(R380="No Controls",ISBLANK(R380)),"",INDEX(ControlsBPARefNoTable[Reference Number],MATCH(SectorField,ControlsBPARefNoTable[Sector],0)))))</f>
        <v>Sector is blank</v>
      </c>
      <c r="BF380" s="530" t="str">
        <f t="shared" si="157"/>
        <v/>
      </c>
      <c r="BG380" s="132" t="str">
        <f t="shared" si="158"/>
        <v/>
      </c>
      <c r="BH380" s="531" t="str">
        <f t="shared" si="159"/>
        <v/>
      </c>
      <c r="BI380" s="532"/>
      <c r="BJ380" s="538" t="str">
        <f t="shared" si="165"/>
        <v/>
      </c>
      <c r="BK380" s="539" t="str">
        <f t="shared" si="166"/>
        <v/>
      </c>
      <c r="BL380" s="547" t="str">
        <f t="shared" si="167"/>
        <v/>
      </c>
    </row>
    <row r="381" spans="1:64" x14ac:dyDescent="0.3">
      <c r="A381" s="133">
        <v>374</v>
      </c>
      <c r="B381" s="294"/>
      <c r="C381" s="313"/>
      <c r="D381" s="292"/>
      <c r="E381" s="284"/>
      <c r="F381" s="284"/>
      <c r="G381" s="295"/>
      <c r="H381" s="296"/>
      <c r="I381" s="297"/>
      <c r="J381" s="292"/>
      <c r="K381" s="284"/>
      <c r="L381" s="284"/>
      <c r="M381" s="295"/>
      <c r="N381" s="296"/>
      <c r="O381" s="296"/>
      <c r="P381" s="284"/>
      <c r="Q381" s="298"/>
      <c r="R381" s="292"/>
      <c r="S381" s="299"/>
      <c r="T381" s="300"/>
      <c r="U381" s="317" t="str">
        <f t="shared" si="141"/>
        <v/>
      </c>
      <c r="V381" s="301"/>
      <c r="W381" s="136" t="str">
        <f t="shared" si="142"/>
        <v/>
      </c>
      <c r="X381" s="588" t="str">
        <f t="shared" si="160"/>
        <v/>
      </c>
      <c r="Y381" s="580"/>
      <c r="Z381" s="251" t="str">
        <f t="shared" si="143"/>
        <v/>
      </c>
      <c r="AA381" s="138" t="str">
        <f t="shared" si="168"/>
        <v/>
      </c>
      <c r="AB381" s="243" t="str">
        <f t="shared" si="161"/>
        <v/>
      </c>
      <c r="AC381" s="141" t="str">
        <f t="shared" si="144"/>
        <v/>
      </c>
      <c r="AD381" s="138" t="str">
        <f t="shared" si="162"/>
        <v/>
      </c>
      <c r="AE381" s="243" t="str">
        <f t="shared" si="145"/>
        <v/>
      </c>
      <c r="AF381" s="342" t="str">
        <f>IF(AM381="Row Not Used","",INDEX(SpaceTable[Annual Hours],(MATCH(B381,SpaceTable[Space Name Concatenated Helper],0))))</f>
        <v/>
      </c>
      <c r="AG381" s="205" t="str">
        <f t="shared" si="146"/>
        <v/>
      </c>
      <c r="AH381" s="234" t="str">
        <f t="shared" si="147"/>
        <v/>
      </c>
      <c r="AI381" s="205" t="str">
        <f t="shared" si="148"/>
        <v/>
      </c>
      <c r="AJ381" s="234" t="str">
        <f t="shared" si="149"/>
        <v/>
      </c>
      <c r="AK381" s="144" t="str">
        <f>IF(AM381="Row Not Used","",INDEX(SpaceTable[Row],(MATCH(B381,SpaceTable[Space Name Concatenated Helper],0))))</f>
        <v/>
      </c>
      <c r="AL381" s="238" t="str">
        <f>IF(AM381="Row Not Used","",INDEX(SpaceTable[HVAC Factor],(MATCH(B381,SpaceTable[Space Name Concatenated Helper],0))))</f>
        <v/>
      </c>
      <c r="AM381" s="520" t="str">
        <f t="shared" si="150"/>
        <v>Row Not Used</v>
      </c>
      <c r="AN381" s="512" t="e" cm="1">
        <f t="array" ref="AN381">INDEX(BallastFactorTable[Ballast Factor],MATCH(1,(BallastFactorTable[Fixture Class]=D381)*(BallastFactorTable[Fixture Category]=E381)*(BallastFactorTable[Fixture Sub-category]=F381),0))</f>
        <v>#N/A</v>
      </c>
      <c r="AO381" s="143" t="str">
        <f t="shared" si="163"/>
        <v/>
      </c>
      <c r="AP381" s="501" t="e" cm="1">
        <f t="array" ref="AP381">INDEX(BallastFactorTable[Wattage Range Name],MATCH(1,(BallastFactorTable[Fixture Class]=D381)*(BallastFactorTable[Fixture Category]=E381)*(BallastFactorTable[Fixture Sub-category]=F381),0))</f>
        <v>#N/A</v>
      </c>
      <c r="AQ381" s="515" t="str">
        <f t="shared" ca="1" si="151"/>
        <v>Okay</v>
      </c>
      <c r="AR381" s="512">
        <f t="shared" si="152"/>
        <v>0</v>
      </c>
      <c r="AS381" s="511" t="str">
        <f>IF(OR(Measures!AM381="Row Not Used",Measures!C381="Controls Only",Measures!C381="Decommissioning"),"",_xlfn.CONCAT(P381," ",Q381))</f>
        <v/>
      </c>
      <c r="AT381" s="264" t="str">
        <f t="shared" si="153"/>
        <v>None</v>
      </c>
      <c r="AU381" s="229">
        <f>IF(OR(AM381="Row Not Used",AM381="Controls Only"),0,INDEX(IncentiveRateTable[Incentive Rate],MATCH(AT381,IncentiveRateTable[Incentive Name],0)))</f>
        <v>0</v>
      </c>
      <c r="AV381" s="133" t="str">
        <f>IF(OR(AM381="Row Not Used",AM381="Controls Only"),"None",INDEX(IncentiveRateTable[Incentive Unit],MATCH(AT381,IncentiveRateTable[Incentive Name],0)))</f>
        <v>None</v>
      </c>
      <c r="AW381" s="578">
        <f t="shared" si="164"/>
        <v>0</v>
      </c>
      <c r="AX381" s="264" t="str">
        <f t="shared" si="154"/>
        <v>None</v>
      </c>
      <c r="AY381" s="229">
        <f>IF(OR(AM381="Row Not Used",AM381="Fixtures Only",AM381="Decommissioning"),0,INDEX(IncentiveRateTable[Incentive Rate],MATCH(AX381,IncentiveRateTable[Incentive Name],0)))</f>
        <v>0</v>
      </c>
      <c r="AZ381" s="133" t="str">
        <f>IF(OR(AM381="Row Not Used",AM381="Fixtures Only",AM381="Decommissioning"),"None",INDEX(IncentiveRateTable[Incentive Unit],MATCH(AX381,IncentiveRateTable[Incentive Name],0)))</f>
        <v>None</v>
      </c>
      <c r="BA381" s="465">
        <f t="shared" si="155"/>
        <v>0</v>
      </c>
      <c r="BB381" s="264" t="e" cm="1">
        <f t="array" ref="BB381">INDEX(BallastFactorTable[Commercial BPA Reference Number],MATCH(1,(BallastFactorTable[Fixture Class]=J381)*(BallastFactorTable[Fixture Category]=K381)*(BallastFactorTable[Fixture Sub-category]=L381),0))</f>
        <v>#N/A</v>
      </c>
      <c r="BC381" s="133" t="e" cm="1">
        <f t="array" ref="BC381">INDEX(BallastFactorTable[Industrial BPA Reference Number],MATCH(1,(BallastFactorTable[Fixture Class]=J381)*(BallastFactorTable[Fixture Category]=K381)*(BallastFactorTable[Fixture Sub-category]=L381),0))</f>
        <v>#N/A</v>
      </c>
      <c r="BD381" s="264" t="str">
        <f t="shared" si="156"/>
        <v>Sector is blank</v>
      </c>
      <c r="BE381" s="269" t="str">
        <f>IF(ISBLANK(SectorField),"Sector is blank",IF(AM381="Row Not Used","",IF(OR(R381="No Controls",ISBLANK(R381)),"",INDEX(ControlsBPARefNoTable[Reference Number],MATCH(SectorField,ControlsBPARefNoTable[Sector],0)))))</f>
        <v>Sector is blank</v>
      </c>
      <c r="BF381" s="530" t="str">
        <f t="shared" si="157"/>
        <v/>
      </c>
      <c r="BG381" s="132" t="str">
        <f t="shared" si="158"/>
        <v/>
      </c>
      <c r="BH381" s="531" t="str">
        <f t="shared" si="159"/>
        <v/>
      </c>
      <c r="BI381" s="532"/>
      <c r="BJ381" s="538" t="str">
        <f t="shared" si="165"/>
        <v/>
      </c>
      <c r="BK381" s="539" t="str">
        <f t="shared" si="166"/>
        <v/>
      </c>
      <c r="BL381" s="547" t="str">
        <f t="shared" si="167"/>
        <v/>
      </c>
    </row>
    <row r="382" spans="1:64" x14ac:dyDescent="0.3">
      <c r="A382" s="133">
        <v>375</v>
      </c>
      <c r="B382" s="294"/>
      <c r="C382" s="313"/>
      <c r="D382" s="292"/>
      <c r="E382" s="284"/>
      <c r="F382" s="284"/>
      <c r="G382" s="295"/>
      <c r="H382" s="296"/>
      <c r="I382" s="297"/>
      <c r="J382" s="292"/>
      <c r="K382" s="284"/>
      <c r="L382" s="284"/>
      <c r="M382" s="295"/>
      <c r="N382" s="296"/>
      <c r="O382" s="296"/>
      <c r="P382" s="284"/>
      <c r="Q382" s="298"/>
      <c r="R382" s="292"/>
      <c r="S382" s="299"/>
      <c r="T382" s="300"/>
      <c r="U382" s="317" t="str">
        <f t="shared" si="141"/>
        <v/>
      </c>
      <c r="V382" s="301"/>
      <c r="W382" s="137" t="str">
        <f t="shared" si="142"/>
        <v/>
      </c>
      <c r="X382" s="589" t="str">
        <f t="shared" si="160"/>
        <v/>
      </c>
      <c r="Y382" s="581"/>
      <c r="Z382" s="251" t="str">
        <f t="shared" si="143"/>
        <v/>
      </c>
      <c r="AA382" s="138" t="str">
        <f t="shared" si="168"/>
        <v/>
      </c>
      <c r="AB382" s="243" t="str">
        <f t="shared" si="161"/>
        <v/>
      </c>
      <c r="AC382" s="141" t="str">
        <f t="shared" si="144"/>
        <v/>
      </c>
      <c r="AD382" s="138" t="str">
        <f t="shared" si="162"/>
        <v/>
      </c>
      <c r="AE382" s="243" t="str">
        <f t="shared" si="145"/>
        <v/>
      </c>
      <c r="AF382" s="342" t="str">
        <f>IF(AM382="Row Not Used","",INDEX(SpaceTable[Annual Hours],(MATCH(B382,SpaceTable[Space Name Concatenated Helper],0))))</f>
        <v/>
      </c>
      <c r="AG382" s="205" t="str">
        <f t="shared" si="146"/>
        <v/>
      </c>
      <c r="AH382" s="234" t="str">
        <f t="shared" si="147"/>
        <v/>
      </c>
      <c r="AI382" s="205" t="str">
        <f t="shared" si="148"/>
        <v/>
      </c>
      <c r="AJ382" s="234" t="str">
        <f t="shared" si="149"/>
        <v/>
      </c>
      <c r="AK382" s="144" t="str">
        <f>IF(AM382="Row Not Used","",INDEX(SpaceTable[Row],(MATCH(B382,SpaceTable[Space Name Concatenated Helper],0))))</f>
        <v/>
      </c>
      <c r="AL382" s="238" t="str">
        <f>IF(AM382="Row Not Used","",INDEX(SpaceTable[HVAC Factor],(MATCH(B382,SpaceTable[Space Name Concatenated Helper],0))))</f>
        <v/>
      </c>
      <c r="AM382" s="520" t="str">
        <f t="shared" si="150"/>
        <v>Row Not Used</v>
      </c>
      <c r="AN382" s="512" t="e" cm="1">
        <f t="array" ref="AN382">INDEX(BallastFactorTable[Ballast Factor],MATCH(1,(BallastFactorTable[Fixture Class]=D382)*(BallastFactorTable[Fixture Category]=E382)*(BallastFactorTable[Fixture Sub-category]=F382),0))</f>
        <v>#N/A</v>
      </c>
      <c r="AO382" s="143" t="str">
        <f t="shared" si="163"/>
        <v/>
      </c>
      <c r="AP382" s="501" t="e" cm="1">
        <f t="array" ref="AP382">INDEX(BallastFactorTable[Wattage Range Name],MATCH(1,(BallastFactorTable[Fixture Class]=D382)*(BallastFactorTable[Fixture Category]=E382)*(BallastFactorTable[Fixture Sub-category]=F382),0))</f>
        <v>#N/A</v>
      </c>
      <c r="AQ382" s="515" t="str">
        <f t="shared" ca="1" si="151"/>
        <v>Okay</v>
      </c>
      <c r="AR382" s="512">
        <f t="shared" si="152"/>
        <v>0</v>
      </c>
      <c r="AS382" s="511" t="str">
        <f>IF(OR(Measures!AM382="Row Not Used",Measures!C382="Controls Only",Measures!C382="Decommissioning"),"",_xlfn.CONCAT(P382," ",Q382))</f>
        <v/>
      </c>
      <c r="AT382" s="264" t="str">
        <f t="shared" si="153"/>
        <v>None</v>
      </c>
      <c r="AU382" s="229">
        <f>IF(OR(AM382="Row Not Used",AM382="Controls Only"),0,INDEX(IncentiveRateTable[Incentive Rate],MATCH(AT382,IncentiveRateTable[Incentive Name],0)))</f>
        <v>0</v>
      </c>
      <c r="AV382" s="133" t="str">
        <f>IF(OR(AM382="Row Not Used",AM382="Controls Only"),"None",INDEX(IncentiveRateTable[Incentive Unit],MATCH(AT382,IncentiveRateTable[Incentive Name],0)))</f>
        <v>None</v>
      </c>
      <c r="AW382" s="578">
        <f t="shared" si="164"/>
        <v>0</v>
      </c>
      <c r="AX382" s="264" t="str">
        <f t="shared" si="154"/>
        <v>None</v>
      </c>
      <c r="AY382" s="229">
        <f>IF(OR(AM382="Row Not Used",AM382="Fixtures Only",AM382="Decommissioning"),0,INDEX(IncentiveRateTable[Incentive Rate],MATCH(AX382,IncentiveRateTable[Incentive Name],0)))</f>
        <v>0</v>
      </c>
      <c r="AZ382" s="133" t="str">
        <f>IF(OR(AM382="Row Not Used",AM382="Fixtures Only",AM382="Decommissioning"),"None",INDEX(IncentiveRateTable[Incentive Unit],MATCH(AX382,IncentiveRateTable[Incentive Name],0)))</f>
        <v>None</v>
      </c>
      <c r="BA382" s="465">
        <f t="shared" si="155"/>
        <v>0</v>
      </c>
      <c r="BB382" s="264" t="e" cm="1">
        <f t="array" ref="BB382">INDEX(BallastFactorTable[Commercial BPA Reference Number],MATCH(1,(BallastFactorTable[Fixture Class]=J382)*(BallastFactorTable[Fixture Category]=K382)*(BallastFactorTable[Fixture Sub-category]=L382),0))</f>
        <v>#N/A</v>
      </c>
      <c r="BC382" s="133" t="e" cm="1">
        <f t="array" ref="BC382">INDEX(BallastFactorTable[Industrial BPA Reference Number],MATCH(1,(BallastFactorTable[Fixture Class]=J382)*(BallastFactorTable[Fixture Category]=K382)*(BallastFactorTable[Fixture Sub-category]=L382),0))</f>
        <v>#N/A</v>
      </c>
      <c r="BD382" s="264" t="str">
        <f t="shared" si="156"/>
        <v>Sector is blank</v>
      </c>
      <c r="BE382" s="269" t="str">
        <f>IF(ISBLANK(SectorField),"Sector is blank",IF(AM382="Row Not Used","",IF(OR(R382="No Controls",ISBLANK(R382)),"",INDEX(ControlsBPARefNoTable[Reference Number],MATCH(SectorField,ControlsBPARefNoTable[Sector],0)))))</f>
        <v>Sector is blank</v>
      </c>
      <c r="BF382" s="530" t="str">
        <f t="shared" si="157"/>
        <v/>
      </c>
      <c r="BG382" s="132" t="str">
        <f t="shared" si="158"/>
        <v/>
      </c>
      <c r="BH382" s="531" t="str">
        <f t="shared" si="159"/>
        <v/>
      </c>
      <c r="BI382" s="532"/>
      <c r="BJ382" s="538" t="str">
        <f t="shared" si="165"/>
        <v/>
      </c>
      <c r="BK382" s="539" t="str">
        <f t="shared" si="166"/>
        <v/>
      </c>
      <c r="BL382" s="547" t="str">
        <f t="shared" si="167"/>
        <v/>
      </c>
    </row>
    <row r="383" spans="1:64" x14ac:dyDescent="0.3">
      <c r="A383" s="133">
        <v>376</v>
      </c>
      <c r="B383" s="294"/>
      <c r="C383" s="313"/>
      <c r="D383" s="292"/>
      <c r="E383" s="284"/>
      <c r="F383" s="284"/>
      <c r="G383" s="295"/>
      <c r="H383" s="296"/>
      <c r="I383" s="297"/>
      <c r="J383" s="292"/>
      <c r="K383" s="284"/>
      <c r="L383" s="284"/>
      <c r="M383" s="295"/>
      <c r="N383" s="296"/>
      <c r="O383" s="296"/>
      <c r="P383" s="284"/>
      <c r="Q383" s="298"/>
      <c r="R383" s="292"/>
      <c r="S383" s="299"/>
      <c r="T383" s="300"/>
      <c r="U383" s="317" t="str">
        <f t="shared" si="141"/>
        <v/>
      </c>
      <c r="V383" s="301"/>
      <c r="W383" s="136" t="str">
        <f t="shared" si="142"/>
        <v/>
      </c>
      <c r="X383" s="588" t="str">
        <f t="shared" si="160"/>
        <v/>
      </c>
      <c r="Y383" s="580"/>
      <c r="Z383" s="251" t="str">
        <f t="shared" si="143"/>
        <v/>
      </c>
      <c r="AA383" s="138" t="str">
        <f t="shared" si="168"/>
        <v/>
      </c>
      <c r="AB383" s="243" t="str">
        <f t="shared" si="161"/>
        <v/>
      </c>
      <c r="AC383" s="141" t="str">
        <f t="shared" si="144"/>
        <v/>
      </c>
      <c r="AD383" s="138" t="str">
        <f t="shared" si="162"/>
        <v/>
      </c>
      <c r="AE383" s="243" t="str">
        <f t="shared" si="145"/>
        <v/>
      </c>
      <c r="AF383" s="342" t="str">
        <f>IF(AM383="Row Not Used","",INDEX(SpaceTable[Annual Hours],(MATCH(B383,SpaceTable[Space Name Concatenated Helper],0))))</f>
        <v/>
      </c>
      <c r="AG383" s="205" t="str">
        <f t="shared" si="146"/>
        <v/>
      </c>
      <c r="AH383" s="234" t="str">
        <f t="shared" si="147"/>
        <v/>
      </c>
      <c r="AI383" s="205" t="str">
        <f t="shared" si="148"/>
        <v/>
      </c>
      <c r="AJ383" s="234" t="str">
        <f t="shared" si="149"/>
        <v/>
      </c>
      <c r="AK383" s="144" t="str">
        <f>IF(AM383="Row Not Used","",INDEX(SpaceTable[Row],(MATCH(B383,SpaceTable[Space Name Concatenated Helper],0))))</f>
        <v/>
      </c>
      <c r="AL383" s="238" t="str">
        <f>IF(AM383="Row Not Used","",INDEX(SpaceTable[HVAC Factor],(MATCH(B383,SpaceTable[Space Name Concatenated Helper],0))))</f>
        <v/>
      </c>
      <c r="AM383" s="520" t="str">
        <f t="shared" si="150"/>
        <v>Row Not Used</v>
      </c>
      <c r="AN383" s="512" t="e" cm="1">
        <f t="array" ref="AN383">INDEX(BallastFactorTable[Ballast Factor],MATCH(1,(BallastFactorTable[Fixture Class]=D383)*(BallastFactorTable[Fixture Category]=E383)*(BallastFactorTable[Fixture Sub-category]=F383),0))</f>
        <v>#N/A</v>
      </c>
      <c r="AO383" s="143" t="str">
        <f t="shared" si="163"/>
        <v/>
      </c>
      <c r="AP383" s="501" t="e" cm="1">
        <f t="array" ref="AP383">INDEX(BallastFactorTable[Wattage Range Name],MATCH(1,(BallastFactorTable[Fixture Class]=D383)*(BallastFactorTable[Fixture Category]=E383)*(BallastFactorTable[Fixture Sub-category]=F383),0))</f>
        <v>#N/A</v>
      </c>
      <c r="AQ383" s="515" t="str">
        <f t="shared" ca="1" si="151"/>
        <v>Okay</v>
      </c>
      <c r="AR383" s="512">
        <f t="shared" si="152"/>
        <v>0</v>
      </c>
      <c r="AS383" s="511" t="str">
        <f>IF(OR(Measures!AM383="Row Not Used",Measures!C383="Controls Only",Measures!C383="Decommissioning"),"",_xlfn.CONCAT(P383," ",Q383))</f>
        <v/>
      </c>
      <c r="AT383" s="264" t="str">
        <f t="shared" si="153"/>
        <v>None</v>
      </c>
      <c r="AU383" s="229">
        <f>IF(OR(AM383="Row Not Used",AM383="Controls Only"),0,INDEX(IncentiveRateTable[Incentive Rate],MATCH(AT383,IncentiveRateTable[Incentive Name],0)))</f>
        <v>0</v>
      </c>
      <c r="AV383" s="133" t="str">
        <f>IF(OR(AM383="Row Not Used",AM383="Controls Only"),"None",INDEX(IncentiveRateTable[Incentive Unit],MATCH(AT383,IncentiveRateTable[Incentive Name],0)))</f>
        <v>None</v>
      </c>
      <c r="AW383" s="578">
        <f t="shared" si="164"/>
        <v>0</v>
      </c>
      <c r="AX383" s="264" t="str">
        <f t="shared" si="154"/>
        <v>None</v>
      </c>
      <c r="AY383" s="229">
        <f>IF(OR(AM383="Row Not Used",AM383="Fixtures Only",AM383="Decommissioning"),0,INDEX(IncentiveRateTable[Incentive Rate],MATCH(AX383,IncentiveRateTable[Incentive Name],0)))</f>
        <v>0</v>
      </c>
      <c r="AZ383" s="133" t="str">
        <f>IF(OR(AM383="Row Not Used",AM383="Fixtures Only",AM383="Decommissioning"),"None",INDEX(IncentiveRateTable[Incentive Unit],MATCH(AX383,IncentiveRateTable[Incentive Name],0)))</f>
        <v>None</v>
      </c>
      <c r="BA383" s="465">
        <f t="shared" si="155"/>
        <v>0</v>
      </c>
      <c r="BB383" s="264" t="e" cm="1">
        <f t="array" ref="BB383">INDEX(BallastFactorTable[Commercial BPA Reference Number],MATCH(1,(BallastFactorTable[Fixture Class]=J383)*(BallastFactorTable[Fixture Category]=K383)*(BallastFactorTable[Fixture Sub-category]=L383),0))</f>
        <v>#N/A</v>
      </c>
      <c r="BC383" s="133" t="e" cm="1">
        <f t="array" ref="BC383">INDEX(BallastFactorTable[Industrial BPA Reference Number],MATCH(1,(BallastFactorTable[Fixture Class]=J383)*(BallastFactorTable[Fixture Category]=K383)*(BallastFactorTable[Fixture Sub-category]=L383),0))</f>
        <v>#N/A</v>
      </c>
      <c r="BD383" s="264" t="str">
        <f t="shared" si="156"/>
        <v>Sector is blank</v>
      </c>
      <c r="BE383" s="269" t="str">
        <f>IF(ISBLANK(SectorField),"Sector is blank",IF(AM383="Row Not Used","",IF(OR(R383="No Controls",ISBLANK(R383)),"",INDEX(ControlsBPARefNoTable[Reference Number],MATCH(SectorField,ControlsBPARefNoTable[Sector],0)))))</f>
        <v>Sector is blank</v>
      </c>
      <c r="BF383" s="530" t="str">
        <f t="shared" si="157"/>
        <v/>
      </c>
      <c r="BG383" s="132" t="str">
        <f t="shared" si="158"/>
        <v/>
      </c>
      <c r="BH383" s="531" t="str">
        <f t="shared" si="159"/>
        <v/>
      </c>
      <c r="BI383" s="532"/>
      <c r="BJ383" s="538" t="str">
        <f t="shared" si="165"/>
        <v/>
      </c>
      <c r="BK383" s="539" t="str">
        <f t="shared" si="166"/>
        <v/>
      </c>
      <c r="BL383" s="547" t="str">
        <f t="shared" si="167"/>
        <v/>
      </c>
    </row>
    <row r="384" spans="1:64" x14ac:dyDescent="0.3">
      <c r="A384" s="133">
        <v>377</v>
      </c>
      <c r="B384" s="294"/>
      <c r="C384" s="313"/>
      <c r="D384" s="292"/>
      <c r="E384" s="284"/>
      <c r="F384" s="284"/>
      <c r="G384" s="295"/>
      <c r="H384" s="296"/>
      <c r="I384" s="297"/>
      <c r="J384" s="292"/>
      <c r="K384" s="284"/>
      <c r="L384" s="284"/>
      <c r="M384" s="295"/>
      <c r="N384" s="296"/>
      <c r="O384" s="296"/>
      <c r="P384" s="284"/>
      <c r="Q384" s="298"/>
      <c r="R384" s="292"/>
      <c r="S384" s="299"/>
      <c r="T384" s="300"/>
      <c r="U384" s="317" t="str">
        <f t="shared" si="141"/>
        <v/>
      </c>
      <c r="V384" s="301"/>
      <c r="W384" s="137" t="str">
        <f t="shared" si="142"/>
        <v/>
      </c>
      <c r="X384" s="589" t="str">
        <f t="shared" si="160"/>
        <v/>
      </c>
      <c r="Y384" s="581"/>
      <c r="Z384" s="251" t="str">
        <f t="shared" si="143"/>
        <v/>
      </c>
      <c r="AA384" s="138" t="str">
        <f t="shared" si="168"/>
        <v/>
      </c>
      <c r="AB384" s="243" t="str">
        <f t="shared" si="161"/>
        <v/>
      </c>
      <c r="AC384" s="141" t="str">
        <f t="shared" si="144"/>
        <v/>
      </c>
      <c r="AD384" s="138" t="str">
        <f t="shared" si="162"/>
        <v/>
      </c>
      <c r="AE384" s="243" t="str">
        <f t="shared" si="145"/>
        <v/>
      </c>
      <c r="AF384" s="342" t="str">
        <f>IF(AM384="Row Not Used","",INDEX(SpaceTable[Annual Hours],(MATCH(B384,SpaceTable[Space Name Concatenated Helper],0))))</f>
        <v/>
      </c>
      <c r="AG384" s="205" t="str">
        <f t="shared" si="146"/>
        <v/>
      </c>
      <c r="AH384" s="234" t="str">
        <f t="shared" si="147"/>
        <v/>
      </c>
      <c r="AI384" s="205" t="str">
        <f t="shared" si="148"/>
        <v/>
      </c>
      <c r="AJ384" s="234" t="str">
        <f t="shared" si="149"/>
        <v/>
      </c>
      <c r="AK384" s="144" t="str">
        <f>IF(AM384="Row Not Used","",INDEX(SpaceTable[Row],(MATCH(B384,SpaceTable[Space Name Concatenated Helper],0))))</f>
        <v/>
      </c>
      <c r="AL384" s="238" t="str">
        <f>IF(AM384="Row Not Used","",INDEX(SpaceTable[HVAC Factor],(MATCH(B384,SpaceTable[Space Name Concatenated Helper],0))))</f>
        <v/>
      </c>
      <c r="AM384" s="520" t="str">
        <f t="shared" si="150"/>
        <v>Row Not Used</v>
      </c>
      <c r="AN384" s="512" t="e" cm="1">
        <f t="array" ref="AN384">INDEX(BallastFactorTable[Ballast Factor],MATCH(1,(BallastFactorTable[Fixture Class]=D384)*(BallastFactorTable[Fixture Category]=E384)*(BallastFactorTable[Fixture Sub-category]=F384),0))</f>
        <v>#N/A</v>
      </c>
      <c r="AO384" s="143" t="str">
        <f t="shared" si="163"/>
        <v/>
      </c>
      <c r="AP384" s="501" t="e" cm="1">
        <f t="array" ref="AP384">INDEX(BallastFactorTable[Wattage Range Name],MATCH(1,(BallastFactorTable[Fixture Class]=D384)*(BallastFactorTable[Fixture Category]=E384)*(BallastFactorTable[Fixture Sub-category]=F384),0))</f>
        <v>#N/A</v>
      </c>
      <c r="AQ384" s="515" t="str">
        <f t="shared" ca="1" si="151"/>
        <v>Okay</v>
      </c>
      <c r="AR384" s="512">
        <f t="shared" si="152"/>
        <v>0</v>
      </c>
      <c r="AS384" s="511" t="str">
        <f>IF(OR(Measures!AM384="Row Not Used",Measures!C384="Controls Only",Measures!C384="Decommissioning"),"",_xlfn.CONCAT(P384," ",Q384))</f>
        <v/>
      </c>
      <c r="AT384" s="264" t="str">
        <f t="shared" si="153"/>
        <v>None</v>
      </c>
      <c r="AU384" s="229">
        <f>IF(OR(AM384="Row Not Used",AM384="Controls Only"),0,INDEX(IncentiveRateTable[Incentive Rate],MATCH(AT384,IncentiveRateTable[Incentive Name],0)))</f>
        <v>0</v>
      </c>
      <c r="AV384" s="133" t="str">
        <f>IF(OR(AM384="Row Not Used",AM384="Controls Only"),"None",INDEX(IncentiveRateTable[Incentive Unit],MATCH(AT384,IncentiveRateTable[Incentive Name],0)))</f>
        <v>None</v>
      </c>
      <c r="AW384" s="578">
        <f t="shared" si="164"/>
        <v>0</v>
      </c>
      <c r="AX384" s="264" t="str">
        <f t="shared" si="154"/>
        <v>None</v>
      </c>
      <c r="AY384" s="229">
        <f>IF(OR(AM384="Row Not Used",AM384="Fixtures Only",AM384="Decommissioning"),0,INDEX(IncentiveRateTable[Incentive Rate],MATCH(AX384,IncentiveRateTable[Incentive Name],0)))</f>
        <v>0</v>
      </c>
      <c r="AZ384" s="133" t="str">
        <f>IF(OR(AM384="Row Not Used",AM384="Fixtures Only",AM384="Decommissioning"),"None",INDEX(IncentiveRateTable[Incentive Unit],MATCH(AX384,IncentiveRateTable[Incentive Name],0)))</f>
        <v>None</v>
      </c>
      <c r="BA384" s="465">
        <f t="shared" si="155"/>
        <v>0</v>
      </c>
      <c r="BB384" s="264" t="e" cm="1">
        <f t="array" ref="BB384">INDEX(BallastFactorTable[Commercial BPA Reference Number],MATCH(1,(BallastFactorTable[Fixture Class]=J384)*(BallastFactorTable[Fixture Category]=K384)*(BallastFactorTable[Fixture Sub-category]=L384),0))</f>
        <v>#N/A</v>
      </c>
      <c r="BC384" s="133" t="e" cm="1">
        <f t="array" ref="BC384">INDEX(BallastFactorTable[Industrial BPA Reference Number],MATCH(1,(BallastFactorTable[Fixture Class]=J384)*(BallastFactorTable[Fixture Category]=K384)*(BallastFactorTable[Fixture Sub-category]=L384),0))</f>
        <v>#N/A</v>
      </c>
      <c r="BD384" s="264" t="str">
        <f t="shared" si="156"/>
        <v>Sector is blank</v>
      </c>
      <c r="BE384" s="269" t="str">
        <f>IF(ISBLANK(SectorField),"Sector is blank",IF(AM384="Row Not Used","",IF(OR(R384="No Controls",ISBLANK(R384)),"",INDEX(ControlsBPARefNoTable[Reference Number],MATCH(SectorField,ControlsBPARefNoTable[Sector],0)))))</f>
        <v>Sector is blank</v>
      </c>
      <c r="BF384" s="530" t="str">
        <f t="shared" si="157"/>
        <v/>
      </c>
      <c r="BG384" s="132" t="str">
        <f t="shared" si="158"/>
        <v/>
      </c>
      <c r="BH384" s="531" t="str">
        <f t="shared" si="159"/>
        <v/>
      </c>
      <c r="BI384" s="532"/>
      <c r="BJ384" s="538" t="str">
        <f t="shared" si="165"/>
        <v/>
      </c>
      <c r="BK384" s="539" t="str">
        <f t="shared" si="166"/>
        <v/>
      </c>
      <c r="BL384" s="547" t="str">
        <f t="shared" si="167"/>
        <v/>
      </c>
    </row>
    <row r="385" spans="1:64" x14ac:dyDescent="0.3">
      <c r="A385" s="133">
        <v>378</v>
      </c>
      <c r="B385" s="294"/>
      <c r="C385" s="313"/>
      <c r="D385" s="292"/>
      <c r="E385" s="284"/>
      <c r="F385" s="284"/>
      <c r="G385" s="295"/>
      <c r="H385" s="296"/>
      <c r="I385" s="297"/>
      <c r="J385" s="292"/>
      <c r="K385" s="284"/>
      <c r="L385" s="284"/>
      <c r="M385" s="295"/>
      <c r="N385" s="296"/>
      <c r="O385" s="296"/>
      <c r="P385" s="284"/>
      <c r="Q385" s="298"/>
      <c r="R385" s="292"/>
      <c r="S385" s="299"/>
      <c r="T385" s="300"/>
      <c r="U385" s="317" t="str">
        <f t="shared" si="141"/>
        <v/>
      </c>
      <c r="V385" s="301"/>
      <c r="W385" s="136" t="str">
        <f t="shared" si="142"/>
        <v/>
      </c>
      <c r="X385" s="588" t="str">
        <f t="shared" si="160"/>
        <v/>
      </c>
      <c r="Y385" s="580"/>
      <c r="Z385" s="251" t="str">
        <f t="shared" si="143"/>
        <v/>
      </c>
      <c r="AA385" s="138" t="str">
        <f t="shared" si="168"/>
        <v/>
      </c>
      <c r="AB385" s="243" t="str">
        <f t="shared" si="161"/>
        <v/>
      </c>
      <c r="AC385" s="141" t="str">
        <f t="shared" si="144"/>
        <v/>
      </c>
      <c r="AD385" s="138" t="str">
        <f t="shared" si="162"/>
        <v/>
      </c>
      <c r="AE385" s="243" t="str">
        <f t="shared" si="145"/>
        <v/>
      </c>
      <c r="AF385" s="342" t="str">
        <f>IF(AM385="Row Not Used","",INDEX(SpaceTable[Annual Hours],(MATCH(B385,SpaceTable[Space Name Concatenated Helper],0))))</f>
        <v/>
      </c>
      <c r="AG385" s="205" t="str">
        <f t="shared" si="146"/>
        <v/>
      </c>
      <c r="AH385" s="234" t="str">
        <f t="shared" si="147"/>
        <v/>
      </c>
      <c r="AI385" s="205" t="str">
        <f t="shared" si="148"/>
        <v/>
      </c>
      <c r="AJ385" s="234" t="str">
        <f t="shared" si="149"/>
        <v/>
      </c>
      <c r="AK385" s="144" t="str">
        <f>IF(AM385="Row Not Used","",INDEX(SpaceTable[Row],(MATCH(B385,SpaceTable[Space Name Concatenated Helper],0))))</f>
        <v/>
      </c>
      <c r="AL385" s="238" t="str">
        <f>IF(AM385="Row Not Used","",INDEX(SpaceTable[HVAC Factor],(MATCH(B385,SpaceTable[Space Name Concatenated Helper],0))))</f>
        <v/>
      </c>
      <c r="AM385" s="520" t="str">
        <f t="shared" si="150"/>
        <v>Row Not Used</v>
      </c>
      <c r="AN385" s="512" t="e" cm="1">
        <f t="array" ref="AN385">INDEX(BallastFactorTable[Ballast Factor],MATCH(1,(BallastFactorTable[Fixture Class]=D385)*(BallastFactorTable[Fixture Category]=E385)*(BallastFactorTable[Fixture Sub-category]=F385),0))</f>
        <v>#N/A</v>
      </c>
      <c r="AO385" s="143" t="str">
        <f t="shared" si="163"/>
        <v/>
      </c>
      <c r="AP385" s="501" t="e" cm="1">
        <f t="array" ref="AP385">INDEX(BallastFactorTable[Wattage Range Name],MATCH(1,(BallastFactorTable[Fixture Class]=D385)*(BallastFactorTable[Fixture Category]=E385)*(BallastFactorTable[Fixture Sub-category]=F385),0))</f>
        <v>#N/A</v>
      </c>
      <c r="AQ385" s="515" t="str">
        <f t="shared" ca="1" si="151"/>
        <v>Okay</v>
      </c>
      <c r="AR385" s="512">
        <f t="shared" si="152"/>
        <v>0</v>
      </c>
      <c r="AS385" s="511" t="str">
        <f>IF(OR(Measures!AM385="Row Not Used",Measures!C385="Controls Only",Measures!C385="Decommissioning"),"",_xlfn.CONCAT(P385," ",Q385))</f>
        <v/>
      </c>
      <c r="AT385" s="264" t="str">
        <f t="shared" si="153"/>
        <v>None</v>
      </c>
      <c r="AU385" s="229">
        <f>IF(OR(AM385="Row Not Used",AM385="Controls Only"),0,INDEX(IncentiveRateTable[Incentive Rate],MATCH(AT385,IncentiveRateTable[Incentive Name],0)))</f>
        <v>0</v>
      </c>
      <c r="AV385" s="133" t="str">
        <f>IF(OR(AM385="Row Not Used",AM385="Controls Only"),"None",INDEX(IncentiveRateTable[Incentive Unit],MATCH(AT385,IncentiveRateTable[Incentive Name],0)))</f>
        <v>None</v>
      </c>
      <c r="AW385" s="578">
        <f t="shared" si="164"/>
        <v>0</v>
      </c>
      <c r="AX385" s="264" t="str">
        <f t="shared" si="154"/>
        <v>None</v>
      </c>
      <c r="AY385" s="229">
        <f>IF(OR(AM385="Row Not Used",AM385="Fixtures Only",AM385="Decommissioning"),0,INDEX(IncentiveRateTable[Incentive Rate],MATCH(AX385,IncentiveRateTable[Incentive Name],0)))</f>
        <v>0</v>
      </c>
      <c r="AZ385" s="133" t="str">
        <f>IF(OR(AM385="Row Not Used",AM385="Fixtures Only",AM385="Decommissioning"),"None",INDEX(IncentiveRateTable[Incentive Unit],MATCH(AX385,IncentiveRateTable[Incentive Name],0)))</f>
        <v>None</v>
      </c>
      <c r="BA385" s="465">
        <f t="shared" si="155"/>
        <v>0</v>
      </c>
      <c r="BB385" s="264" t="e" cm="1">
        <f t="array" ref="BB385">INDEX(BallastFactorTable[Commercial BPA Reference Number],MATCH(1,(BallastFactorTable[Fixture Class]=J385)*(BallastFactorTable[Fixture Category]=K385)*(BallastFactorTable[Fixture Sub-category]=L385),0))</f>
        <v>#N/A</v>
      </c>
      <c r="BC385" s="133" t="e" cm="1">
        <f t="array" ref="BC385">INDEX(BallastFactorTable[Industrial BPA Reference Number],MATCH(1,(BallastFactorTable[Fixture Class]=J385)*(BallastFactorTable[Fixture Category]=K385)*(BallastFactorTable[Fixture Sub-category]=L385),0))</f>
        <v>#N/A</v>
      </c>
      <c r="BD385" s="264" t="str">
        <f t="shared" si="156"/>
        <v>Sector is blank</v>
      </c>
      <c r="BE385" s="269" t="str">
        <f>IF(ISBLANK(SectorField),"Sector is blank",IF(AM385="Row Not Used","",IF(OR(R385="No Controls",ISBLANK(R385)),"",INDEX(ControlsBPARefNoTable[Reference Number],MATCH(SectorField,ControlsBPARefNoTable[Sector],0)))))</f>
        <v>Sector is blank</v>
      </c>
      <c r="BF385" s="530" t="str">
        <f t="shared" si="157"/>
        <v/>
      </c>
      <c r="BG385" s="132" t="str">
        <f t="shared" si="158"/>
        <v/>
      </c>
      <c r="BH385" s="531" t="str">
        <f t="shared" si="159"/>
        <v/>
      </c>
      <c r="BI385" s="532"/>
      <c r="BJ385" s="538" t="str">
        <f t="shared" si="165"/>
        <v/>
      </c>
      <c r="BK385" s="539" t="str">
        <f t="shared" si="166"/>
        <v/>
      </c>
      <c r="BL385" s="547" t="str">
        <f t="shared" si="167"/>
        <v/>
      </c>
    </row>
    <row r="386" spans="1:64" x14ac:dyDescent="0.3">
      <c r="A386" s="133">
        <v>379</v>
      </c>
      <c r="B386" s="294"/>
      <c r="C386" s="313"/>
      <c r="D386" s="292"/>
      <c r="E386" s="284"/>
      <c r="F386" s="284"/>
      <c r="G386" s="295"/>
      <c r="H386" s="296"/>
      <c r="I386" s="297"/>
      <c r="J386" s="292"/>
      <c r="K386" s="284"/>
      <c r="L386" s="284"/>
      <c r="M386" s="295"/>
      <c r="N386" s="296"/>
      <c r="O386" s="296"/>
      <c r="P386" s="284"/>
      <c r="Q386" s="298"/>
      <c r="R386" s="292"/>
      <c r="S386" s="299"/>
      <c r="T386" s="300"/>
      <c r="U386" s="317" t="str">
        <f t="shared" si="141"/>
        <v/>
      </c>
      <c r="V386" s="301"/>
      <c r="W386" s="137" t="str">
        <f t="shared" si="142"/>
        <v/>
      </c>
      <c r="X386" s="589" t="str">
        <f t="shared" si="160"/>
        <v/>
      </c>
      <c r="Y386" s="581"/>
      <c r="Z386" s="251" t="str">
        <f t="shared" si="143"/>
        <v/>
      </c>
      <c r="AA386" s="138" t="str">
        <f t="shared" si="168"/>
        <v/>
      </c>
      <c r="AB386" s="243" t="str">
        <f t="shared" si="161"/>
        <v/>
      </c>
      <c r="AC386" s="141" t="str">
        <f t="shared" si="144"/>
        <v/>
      </c>
      <c r="AD386" s="138" t="str">
        <f t="shared" si="162"/>
        <v/>
      </c>
      <c r="AE386" s="243" t="str">
        <f t="shared" si="145"/>
        <v/>
      </c>
      <c r="AF386" s="342" t="str">
        <f>IF(AM386="Row Not Used","",INDEX(SpaceTable[Annual Hours],(MATCH(B386,SpaceTable[Space Name Concatenated Helper],0))))</f>
        <v/>
      </c>
      <c r="AG386" s="205" t="str">
        <f t="shared" si="146"/>
        <v/>
      </c>
      <c r="AH386" s="234" t="str">
        <f t="shared" si="147"/>
        <v/>
      </c>
      <c r="AI386" s="205" t="str">
        <f t="shared" si="148"/>
        <v/>
      </c>
      <c r="AJ386" s="234" t="str">
        <f t="shared" si="149"/>
        <v/>
      </c>
      <c r="AK386" s="144" t="str">
        <f>IF(AM386="Row Not Used","",INDEX(SpaceTable[Row],(MATCH(B386,SpaceTable[Space Name Concatenated Helper],0))))</f>
        <v/>
      </c>
      <c r="AL386" s="238" t="str">
        <f>IF(AM386="Row Not Used","",INDEX(SpaceTable[HVAC Factor],(MATCH(B386,SpaceTable[Space Name Concatenated Helper],0))))</f>
        <v/>
      </c>
      <c r="AM386" s="520" t="str">
        <f t="shared" si="150"/>
        <v>Row Not Used</v>
      </c>
      <c r="AN386" s="512" t="e" cm="1">
        <f t="array" ref="AN386">INDEX(BallastFactorTable[Ballast Factor],MATCH(1,(BallastFactorTable[Fixture Class]=D386)*(BallastFactorTable[Fixture Category]=E386)*(BallastFactorTable[Fixture Sub-category]=F386),0))</f>
        <v>#N/A</v>
      </c>
      <c r="AO386" s="143" t="str">
        <f t="shared" si="163"/>
        <v/>
      </c>
      <c r="AP386" s="501" t="e" cm="1">
        <f t="array" ref="AP386">INDEX(BallastFactorTable[Wattage Range Name],MATCH(1,(BallastFactorTable[Fixture Class]=D386)*(BallastFactorTable[Fixture Category]=E386)*(BallastFactorTable[Fixture Sub-category]=F386),0))</f>
        <v>#N/A</v>
      </c>
      <c r="AQ386" s="515" t="str">
        <f t="shared" ca="1" si="151"/>
        <v>Okay</v>
      </c>
      <c r="AR386" s="512">
        <f t="shared" si="152"/>
        <v>0</v>
      </c>
      <c r="AS386" s="511" t="str">
        <f>IF(OR(Measures!AM386="Row Not Used",Measures!C386="Controls Only",Measures!C386="Decommissioning"),"",_xlfn.CONCAT(P386," ",Q386))</f>
        <v/>
      </c>
      <c r="AT386" s="264" t="str">
        <f t="shared" si="153"/>
        <v>None</v>
      </c>
      <c r="AU386" s="229">
        <f>IF(OR(AM386="Row Not Used",AM386="Controls Only"),0,INDEX(IncentiveRateTable[Incentive Rate],MATCH(AT386,IncentiveRateTable[Incentive Name],0)))</f>
        <v>0</v>
      </c>
      <c r="AV386" s="133" t="str">
        <f>IF(OR(AM386="Row Not Used",AM386="Controls Only"),"None",INDEX(IncentiveRateTable[Incentive Unit],MATCH(AT386,IncentiveRateTable[Incentive Name],0)))</f>
        <v>None</v>
      </c>
      <c r="AW386" s="578">
        <f t="shared" si="164"/>
        <v>0</v>
      </c>
      <c r="AX386" s="264" t="str">
        <f t="shared" si="154"/>
        <v>None</v>
      </c>
      <c r="AY386" s="229">
        <f>IF(OR(AM386="Row Not Used",AM386="Fixtures Only",AM386="Decommissioning"),0,INDEX(IncentiveRateTable[Incentive Rate],MATCH(AX386,IncentiveRateTable[Incentive Name],0)))</f>
        <v>0</v>
      </c>
      <c r="AZ386" s="133" t="str">
        <f>IF(OR(AM386="Row Not Used",AM386="Fixtures Only",AM386="Decommissioning"),"None",INDEX(IncentiveRateTable[Incentive Unit],MATCH(AX386,IncentiveRateTable[Incentive Name],0)))</f>
        <v>None</v>
      </c>
      <c r="BA386" s="465">
        <f t="shared" si="155"/>
        <v>0</v>
      </c>
      <c r="BB386" s="264" t="e" cm="1">
        <f t="array" ref="BB386">INDEX(BallastFactorTable[Commercial BPA Reference Number],MATCH(1,(BallastFactorTable[Fixture Class]=J386)*(BallastFactorTable[Fixture Category]=K386)*(BallastFactorTable[Fixture Sub-category]=L386),0))</f>
        <v>#N/A</v>
      </c>
      <c r="BC386" s="133" t="e" cm="1">
        <f t="array" ref="BC386">INDEX(BallastFactorTable[Industrial BPA Reference Number],MATCH(1,(BallastFactorTable[Fixture Class]=J386)*(BallastFactorTable[Fixture Category]=K386)*(BallastFactorTable[Fixture Sub-category]=L386),0))</f>
        <v>#N/A</v>
      </c>
      <c r="BD386" s="264" t="str">
        <f t="shared" si="156"/>
        <v>Sector is blank</v>
      </c>
      <c r="BE386" s="269" t="str">
        <f>IF(ISBLANK(SectorField),"Sector is blank",IF(AM386="Row Not Used","",IF(OR(R386="No Controls",ISBLANK(R386)),"",INDEX(ControlsBPARefNoTable[Reference Number],MATCH(SectorField,ControlsBPARefNoTable[Sector],0)))))</f>
        <v>Sector is blank</v>
      </c>
      <c r="BF386" s="530" t="str">
        <f t="shared" si="157"/>
        <v/>
      </c>
      <c r="BG386" s="132" t="str">
        <f t="shared" si="158"/>
        <v/>
      </c>
      <c r="BH386" s="531" t="str">
        <f t="shared" si="159"/>
        <v/>
      </c>
      <c r="BI386" s="532"/>
      <c r="BJ386" s="538" t="str">
        <f t="shared" si="165"/>
        <v/>
      </c>
      <c r="BK386" s="539" t="str">
        <f t="shared" si="166"/>
        <v/>
      </c>
      <c r="BL386" s="547" t="str">
        <f t="shared" si="167"/>
        <v/>
      </c>
    </row>
    <row r="387" spans="1:64" x14ac:dyDescent="0.3">
      <c r="A387" s="133">
        <v>380</v>
      </c>
      <c r="B387" s="294"/>
      <c r="C387" s="313"/>
      <c r="D387" s="292"/>
      <c r="E387" s="284"/>
      <c r="F387" s="284"/>
      <c r="G387" s="295"/>
      <c r="H387" s="296"/>
      <c r="I387" s="297"/>
      <c r="J387" s="292"/>
      <c r="K387" s="284"/>
      <c r="L387" s="284"/>
      <c r="M387" s="295"/>
      <c r="N387" s="296"/>
      <c r="O387" s="296"/>
      <c r="P387" s="284"/>
      <c r="Q387" s="298"/>
      <c r="R387" s="292"/>
      <c r="S387" s="299"/>
      <c r="T387" s="300"/>
      <c r="U387" s="317" t="str">
        <f t="shared" si="141"/>
        <v/>
      </c>
      <c r="V387" s="301"/>
      <c r="W387" s="136" t="str">
        <f t="shared" si="142"/>
        <v/>
      </c>
      <c r="X387" s="588" t="str">
        <f t="shared" si="160"/>
        <v/>
      </c>
      <c r="Y387" s="580"/>
      <c r="Z387" s="251" t="str">
        <f t="shared" si="143"/>
        <v/>
      </c>
      <c r="AA387" s="138" t="str">
        <f t="shared" si="168"/>
        <v/>
      </c>
      <c r="AB387" s="243" t="str">
        <f t="shared" si="161"/>
        <v/>
      </c>
      <c r="AC387" s="141" t="str">
        <f t="shared" si="144"/>
        <v/>
      </c>
      <c r="AD387" s="138" t="str">
        <f t="shared" si="162"/>
        <v/>
      </c>
      <c r="AE387" s="243" t="str">
        <f t="shared" si="145"/>
        <v/>
      </c>
      <c r="AF387" s="342" t="str">
        <f>IF(AM387="Row Not Used","",INDEX(SpaceTable[Annual Hours],(MATCH(B387,SpaceTable[Space Name Concatenated Helper],0))))</f>
        <v/>
      </c>
      <c r="AG387" s="205" t="str">
        <f t="shared" si="146"/>
        <v/>
      </c>
      <c r="AH387" s="234" t="str">
        <f t="shared" si="147"/>
        <v/>
      </c>
      <c r="AI387" s="205" t="str">
        <f t="shared" si="148"/>
        <v/>
      </c>
      <c r="AJ387" s="234" t="str">
        <f t="shared" si="149"/>
        <v/>
      </c>
      <c r="AK387" s="144" t="str">
        <f>IF(AM387="Row Not Used","",INDEX(SpaceTable[Row],(MATCH(B387,SpaceTable[Space Name Concatenated Helper],0))))</f>
        <v/>
      </c>
      <c r="AL387" s="238" t="str">
        <f>IF(AM387="Row Not Used","",INDEX(SpaceTable[HVAC Factor],(MATCH(B387,SpaceTable[Space Name Concatenated Helper],0))))</f>
        <v/>
      </c>
      <c r="AM387" s="520" t="str">
        <f t="shared" si="150"/>
        <v>Row Not Used</v>
      </c>
      <c r="AN387" s="512" t="e" cm="1">
        <f t="array" ref="AN387">INDEX(BallastFactorTable[Ballast Factor],MATCH(1,(BallastFactorTable[Fixture Class]=D387)*(BallastFactorTable[Fixture Category]=E387)*(BallastFactorTable[Fixture Sub-category]=F387),0))</f>
        <v>#N/A</v>
      </c>
      <c r="AO387" s="143" t="str">
        <f t="shared" si="163"/>
        <v/>
      </c>
      <c r="AP387" s="501" t="e" cm="1">
        <f t="array" ref="AP387">INDEX(BallastFactorTable[Wattage Range Name],MATCH(1,(BallastFactorTable[Fixture Class]=D387)*(BallastFactorTable[Fixture Category]=E387)*(BallastFactorTable[Fixture Sub-category]=F387),0))</f>
        <v>#N/A</v>
      </c>
      <c r="AQ387" s="515" t="str">
        <f t="shared" ca="1" si="151"/>
        <v>Okay</v>
      </c>
      <c r="AR387" s="512">
        <f t="shared" si="152"/>
        <v>0</v>
      </c>
      <c r="AS387" s="511" t="str">
        <f>IF(OR(Measures!AM387="Row Not Used",Measures!C387="Controls Only",Measures!C387="Decommissioning"),"",_xlfn.CONCAT(P387," ",Q387))</f>
        <v/>
      </c>
      <c r="AT387" s="264" t="str">
        <f t="shared" si="153"/>
        <v>None</v>
      </c>
      <c r="AU387" s="229">
        <f>IF(OR(AM387="Row Not Used",AM387="Controls Only"),0,INDEX(IncentiveRateTable[Incentive Rate],MATCH(AT387,IncentiveRateTable[Incentive Name],0)))</f>
        <v>0</v>
      </c>
      <c r="AV387" s="133" t="str">
        <f>IF(OR(AM387="Row Not Used",AM387="Controls Only"),"None",INDEX(IncentiveRateTable[Incentive Unit],MATCH(AT387,IncentiveRateTable[Incentive Name],0)))</f>
        <v>None</v>
      </c>
      <c r="AW387" s="578">
        <f t="shared" si="164"/>
        <v>0</v>
      </c>
      <c r="AX387" s="264" t="str">
        <f t="shared" si="154"/>
        <v>None</v>
      </c>
      <c r="AY387" s="229">
        <f>IF(OR(AM387="Row Not Used",AM387="Fixtures Only",AM387="Decommissioning"),0,INDEX(IncentiveRateTable[Incentive Rate],MATCH(AX387,IncentiveRateTable[Incentive Name],0)))</f>
        <v>0</v>
      </c>
      <c r="AZ387" s="133" t="str">
        <f>IF(OR(AM387="Row Not Used",AM387="Fixtures Only",AM387="Decommissioning"),"None",INDEX(IncentiveRateTable[Incentive Unit],MATCH(AX387,IncentiveRateTable[Incentive Name],0)))</f>
        <v>None</v>
      </c>
      <c r="BA387" s="465">
        <f t="shared" si="155"/>
        <v>0</v>
      </c>
      <c r="BB387" s="264" t="e" cm="1">
        <f t="array" ref="BB387">INDEX(BallastFactorTable[Commercial BPA Reference Number],MATCH(1,(BallastFactorTable[Fixture Class]=J387)*(BallastFactorTable[Fixture Category]=K387)*(BallastFactorTable[Fixture Sub-category]=L387),0))</f>
        <v>#N/A</v>
      </c>
      <c r="BC387" s="133" t="e" cm="1">
        <f t="array" ref="BC387">INDEX(BallastFactorTable[Industrial BPA Reference Number],MATCH(1,(BallastFactorTable[Fixture Class]=J387)*(BallastFactorTable[Fixture Category]=K387)*(BallastFactorTable[Fixture Sub-category]=L387),0))</f>
        <v>#N/A</v>
      </c>
      <c r="BD387" s="264" t="str">
        <f t="shared" si="156"/>
        <v>Sector is blank</v>
      </c>
      <c r="BE387" s="269" t="str">
        <f>IF(ISBLANK(SectorField),"Sector is blank",IF(AM387="Row Not Used","",IF(OR(R387="No Controls",ISBLANK(R387)),"",INDEX(ControlsBPARefNoTable[Reference Number],MATCH(SectorField,ControlsBPARefNoTable[Sector],0)))))</f>
        <v>Sector is blank</v>
      </c>
      <c r="BF387" s="530" t="str">
        <f t="shared" si="157"/>
        <v/>
      </c>
      <c r="BG387" s="132" t="str">
        <f t="shared" si="158"/>
        <v/>
      </c>
      <c r="BH387" s="531" t="str">
        <f t="shared" si="159"/>
        <v/>
      </c>
      <c r="BI387" s="532"/>
      <c r="BJ387" s="538" t="str">
        <f t="shared" si="165"/>
        <v/>
      </c>
      <c r="BK387" s="539" t="str">
        <f t="shared" si="166"/>
        <v/>
      </c>
      <c r="BL387" s="547" t="str">
        <f t="shared" si="167"/>
        <v/>
      </c>
    </row>
    <row r="388" spans="1:64" x14ac:dyDescent="0.3">
      <c r="A388" s="133">
        <v>381</v>
      </c>
      <c r="B388" s="294"/>
      <c r="C388" s="313"/>
      <c r="D388" s="292"/>
      <c r="E388" s="284"/>
      <c r="F388" s="284"/>
      <c r="G388" s="295"/>
      <c r="H388" s="296"/>
      <c r="I388" s="297"/>
      <c r="J388" s="292"/>
      <c r="K388" s="284"/>
      <c r="L388" s="284"/>
      <c r="M388" s="295"/>
      <c r="N388" s="296"/>
      <c r="O388" s="296"/>
      <c r="P388" s="284"/>
      <c r="Q388" s="298"/>
      <c r="R388" s="292"/>
      <c r="S388" s="299"/>
      <c r="T388" s="300"/>
      <c r="U388" s="317" t="str">
        <f t="shared" si="141"/>
        <v/>
      </c>
      <c r="V388" s="301"/>
      <c r="W388" s="137" t="str">
        <f t="shared" si="142"/>
        <v/>
      </c>
      <c r="X388" s="589" t="str">
        <f t="shared" si="160"/>
        <v/>
      </c>
      <c r="Y388" s="581"/>
      <c r="Z388" s="251" t="str">
        <f t="shared" si="143"/>
        <v/>
      </c>
      <c r="AA388" s="138" t="str">
        <f t="shared" si="168"/>
        <v/>
      </c>
      <c r="AB388" s="243" t="str">
        <f t="shared" si="161"/>
        <v/>
      </c>
      <c r="AC388" s="141" t="str">
        <f t="shared" si="144"/>
        <v/>
      </c>
      <c r="AD388" s="138" t="str">
        <f t="shared" si="162"/>
        <v/>
      </c>
      <c r="AE388" s="243" t="str">
        <f t="shared" si="145"/>
        <v/>
      </c>
      <c r="AF388" s="342" t="str">
        <f>IF(AM388="Row Not Used","",INDEX(SpaceTable[Annual Hours],(MATCH(B388,SpaceTable[Space Name Concatenated Helper],0))))</f>
        <v/>
      </c>
      <c r="AG388" s="205" t="str">
        <f t="shared" si="146"/>
        <v/>
      </c>
      <c r="AH388" s="234" t="str">
        <f t="shared" si="147"/>
        <v/>
      </c>
      <c r="AI388" s="205" t="str">
        <f t="shared" si="148"/>
        <v/>
      </c>
      <c r="AJ388" s="234" t="str">
        <f t="shared" si="149"/>
        <v/>
      </c>
      <c r="AK388" s="144" t="str">
        <f>IF(AM388="Row Not Used","",INDEX(SpaceTable[Row],(MATCH(B388,SpaceTable[Space Name Concatenated Helper],0))))</f>
        <v/>
      </c>
      <c r="AL388" s="238" t="str">
        <f>IF(AM388="Row Not Used","",INDEX(SpaceTable[HVAC Factor],(MATCH(B388,SpaceTable[Space Name Concatenated Helper],0))))</f>
        <v/>
      </c>
      <c r="AM388" s="520" t="str">
        <f t="shared" si="150"/>
        <v>Row Not Used</v>
      </c>
      <c r="AN388" s="512" t="e" cm="1">
        <f t="array" ref="AN388">INDEX(BallastFactorTable[Ballast Factor],MATCH(1,(BallastFactorTable[Fixture Class]=D388)*(BallastFactorTable[Fixture Category]=E388)*(BallastFactorTable[Fixture Sub-category]=F388),0))</f>
        <v>#N/A</v>
      </c>
      <c r="AO388" s="143" t="str">
        <f t="shared" si="163"/>
        <v/>
      </c>
      <c r="AP388" s="501" t="e" cm="1">
        <f t="array" ref="AP388">INDEX(BallastFactorTable[Wattage Range Name],MATCH(1,(BallastFactorTable[Fixture Class]=D388)*(BallastFactorTable[Fixture Category]=E388)*(BallastFactorTable[Fixture Sub-category]=F388),0))</f>
        <v>#N/A</v>
      </c>
      <c r="AQ388" s="515" t="str">
        <f t="shared" ca="1" si="151"/>
        <v>Okay</v>
      </c>
      <c r="AR388" s="512">
        <f t="shared" si="152"/>
        <v>0</v>
      </c>
      <c r="AS388" s="511" t="str">
        <f>IF(OR(Measures!AM388="Row Not Used",Measures!C388="Controls Only",Measures!C388="Decommissioning"),"",_xlfn.CONCAT(P388," ",Q388))</f>
        <v/>
      </c>
      <c r="AT388" s="264" t="str">
        <f t="shared" si="153"/>
        <v>None</v>
      </c>
      <c r="AU388" s="229">
        <f>IF(OR(AM388="Row Not Used",AM388="Controls Only"),0,INDEX(IncentiveRateTable[Incentive Rate],MATCH(AT388,IncentiveRateTable[Incentive Name],0)))</f>
        <v>0</v>
      </c>
      <c r="AV388" s="133" t="str">
        <f>IF(OR(AM388="Row Not Used",AM388="Controls Only"),"None",INDEX(IncentiveRateTable[Incentive Unit],MATCH(AT388,IncentiveRateTable[Incentive Name],0)))</f>
        <v>None</v>
      </c>
      <c r="AW388" s="578">
        <f t="shared" si="164"/>
        <v>0</v>
      </c>
      <c r="AX388" s="264" t="str">
        <f t="shared" si="154"/>
        <v>None</v>
      </c>
      <c r="AY388" s="229">
        <f>IF(OR(AM388="Row Not Used",AM388="Fixtures Only",AM388="Decommissioning"),0,INDEX(IncentiveRateTable[Incentive Rate],MATCH(AX388,IncentiveRateTable[Incentive Name],0)))</f>
        <v>0</v>
      </c>
      <c r="AZ388" s="133" t="str">
        <f>IF(OR(AM388="Row Not Used",AM388="Fixtures Only",AM388="Decommissioning"),"None",INDEX(IncentiveRateTable[Incentive Unit],MATCH(AX388,IncentiveRateTable[Incentive Name],0)))</f>
        <v>None</v>
      </c>
      <c r="BA388" s="465">
        <f t="shared" si="155"/>
        <v>0</v>
      </c>
      <c r="BB388" s="264" t="e" cm="1">
        <f t="array" ref="BB388">INDEX(BallastFactorTable[Commercial BPA Reference Number],MATCH(1,(BallastFactorTable[Fixture Class]=J388)*(BallastFactorTable[Fixture Category]=K388)*(BallastFactorTable[Fixture Sub-category]=L388),0))</f>
        <v>#N/A</v>
      </c>
      <c r="BC388" s="133" t="e" cm="1">
        <f t="array" ref="BC388">INDEX(BallastFactorTable[Industrial BPA Reference Number],MATCH(1,(BallastFactorTable[Fixture Class]=J388)*(BallastFactorTable[Fixture Category]=K388)*(BallastFactorTable[Fixture Sub-category]=L388),0))</f>
        <v>#N/A</v>
      </c>
      <c r="BD388" s="264" t="str">
        <f t="shared" si="156"/>
        <v>Sector is blank</v>
      </c>
      <c r="BE388" s="269" t="str">
        <f>IF(ISBLANK(SectorField),"Sector is blank",IF(AM388="Row Not Used","",IF(OR(R388="No Controls",ISBLANK(R388)),"",INDEX(ControlsBPARefNoTable[Reference Number],MATCH(SectorField,ControlsBPARefNoTable[Sector],0)))))</f>
        <v>Sector is blank</v>
      </c>
      <c r="BF388" s="530" t="str">
        <f t="shared" si="157"/>
        <v/>
      </c>
      <c r="BG388" s="132" t="str">
        <f t="shared" si="158"/>
        <v/>
      </c>
      <c r="BH388" s="531" t="str">
        <f t="shared" si="159"/>
        <v/>
      </c>
      <c r="BI388" s="532"/>
      <c r="BJ388" s="538" t="str">
        <f t="shared" si="165"/>
        <v/>
      </c>
      <c r="BK388" s="539" t="str">
        <f t="shared" si="166"/>
        <v/>
      </c>
      <c r="BL388" s="547" t="str">
        <f t="shared" si="167"/>
        <v/>
      </c>
    </row>
    <row r="389" spans="1:64" x14ac:dyDescent="0.3">
      <c r="A389" s="133">
        <v>382</v>
      </c>
      <c r="B389" s="294"/>
      <c r="C389" s="313"/>
      <c r="D389" s="292"/>
      <c r="E389" s="284"/>
      <c r="F389" s="284"/>
      <c r="G389" s="295"/>
      <c r="H389" s="296"/>
      <c r="I389" s="297"/>
      <c r="J389" s="292"/>
      <c r="K389" s="284"/>
      <c r="L389" s="284"/>
      <c r="M389" s="295"/>
      <c r="N389" s="296"/>
      <c r="O389" s="296"/>
      <c r="P389" s="284"/>
      <c r="Q389" s="298"/>
      <c r="R389" s="292"/>
      <c r="S389" s="299"/>
      <c r="T389" s="300"/>
      <c r="U389" s="317" t="str">
        <f t="shared" si="141"/>
        <v/>
      </c>
      <c r="V389" s="301"/>
      <c r="W389" s="136" t="str">
        <f t="shared" si="142"/>
        <v/>
      </c>
      <c r="X389" s="588" t="str">
        <f t="shared" si="160"/>
        <v/>
      </c>
      <c r="Y389" s="580"/>
      <c r="Z389" s="251" t="str">
        <f t="shared" si="143"/>
        <v/>
      </c>
      <c r="AA389" s="138" t="str">
        <f t="shared" si="168"/>
        <v/>
      </c>
      <c r="AB389" s="243" t="str">
        <f t="shared" si="161"/>
        <v/>
      </c>
      <c r="AC389" s="141" t="str">
        <f t="shared" si="144"/>
        <v/>
      </c>
      <c r="AD389" s="138" t="str">
        <f t="shared" si="162"/>
        <v/>
      </c>
      <c r="AE389" s="243" t="str">
        <f t="shared" si="145"/>
        <v/>
      </c>
      <c r="AF389" s="342" t="str">
        <f>IF(AM389="Row Not Used","",INDEX(SpaceTable[Annual Hours],(MATCH(B389,SpaceTable[Space Name Concatenated Helper],0))))</f>
        <v/>
      </c>
      <c r="AG389" s="205" t="str">
        <f t="shared" si="146"/>
        <v/>
      </c>
      <c r="AH389" s="234" t="str">
        <f t="shared" si="147"/>
        <v/>
      </c>
      <c r="AI389" s="205" t="str">
        <f t="shared" si="148"/>
        <v/>
      </c>
      <c r="AJ389" s="234" t="str">
        <f t="shared" si="149"/>
        <v/>
      </c>
      <c r="AK389" s="144" t="str">
        <f>IF(AM389="Row Not Used","",INDEX(SpaceTable[Row],(MATCH(B389,SpaceTable[Space Name Concatenated Helper],0))))</f>
        <v/>
      </c>
      <c r="AL389" s="238" t="str">
        <f>IF(AM389="Row Not Used","",INDEX(SpaceTable[HVAC Factor],(MATCH(B389,SpaceTable[Space Name Concatenated Helper],0))))</f>
        <v/>
      </c>
      <c r="AM389" s="520" t="str">
        <f t="shared" si="150"/>
        <v>Row Not Used</v>
      </c>
      <c r="AN389" s="512" t="e" cm="1">
        <f t="array" ref="AN389">INDEX(BallastFactorTable[Ballast Factor],MATCH(1,(BallastFactorTable[Fixture Class]=D389)*(BallastFactorTable[Fixture Category]=E389)*(BallastFactorTable[Fixture Sub-category]=F389),0))</f>
        <v>#N/A</v>
      </c>
      <c r="AO389" s="143" t="str">
        <f t="shared" si="163"/>
        <v/>
      </c>
      <c r="AP389" s="501" t="e" cm="1">
        <f t="array" ref="AP389">INDEX(BallastFactorTable[Wattage Range Name],MATCH(1,(BallastFactorTable[Fixture Class]=D389)*(BallastFactorTable[Fixture Category]=E389)*(BallastFactorTable[Fixture Sub-category]=F389),0))</f>
        <v>#N/A</v>
      </c>
      <c r="AQ389" s="515" t="str">
        <f t="shared" ca="1" si="151"/>
        <v>Okay</v>
      </c>
      <c r="AR389" s="512">
        <f t="shared" si="152"/>
        <v>0</v>
      </c>
      <c r="AS389" s="511" t="str">
        <f>IF(OR(Measures!AM389="Row Not Used",Measures!C389="Controls Only",Measures!C389="Decommissioning"),"",_xlfn.CONCAT(P389," ",Q389))</f>
        <v/>
      </c>
      <c r="AT389" s="264" t="str">
        <f t="shared" si="153"/>
        <v>None</v>
      </c>
      <c r="AU389" s="229">
        <f>IF(OR(AM389="Row Not Used",AM389="Controls Only"),0,INDEX(IncentiveRateTable[Incentive Rate],MATCH(AT389,IncentiveRateTable[Incentive Name],0)))</f>
        <v>0</v>
      </c>
      <c r="AV389" s="133" t="str">
        <f>IF(OR(AM389="Row Not Used",AM389="Controls Only"),"None",INDEX(IncentiveRateTable[Incentive Unit],MATCH(AT389,IncentiveRateTable[Incentive Name],0)))</f>
        <v>None</v>
      </c>
      <c r="AW389" s="578">
        <f t="shared" si="164"/>
        <v>0</v>
      </c>
      <c r="AX389" s="264" t="str">
        <f t="shared" si="154"/>
        <v>None</v>
      </c>
      <c r="AY389" s="229">
        <f>IF(OR(AM389="Row Not Used",AM389="Fixtures Only",AM389="Decommissioning"),0,INDEX(IncentiveRateTable[Incentive Rate],MATCH(AX389,IncentiveRateTable[Incentive Name],0)))</f>
        <v>0</v>
      </c>
      <c r="AZ389" s="133" t="str">
        <f>IF(OR(AM389="Row Not Used",AM389="Fixtures Only",AM389="Decommissioning"),"None",INDEX(IncentiveRateTable[Incentive Unit],MATCH(AX389,IncentiveRateTable[Incentive Name],0)))</f>
        <v>None</v>
      </c>
      <c r="BA389" s="465">
        <f t="shared" si="155"/>
        <v>0</v>
      </c>
      <c r="BB389" s="264" t="e" cm="1">
        <f t="array" ref="BB389">INDEX(BallastFactorTable[Commercial BPA Reference Number],MATCH(1,(BallastFactorTable[Fixture Class]=J389)*(BallastFactorTable[Fixture Category]=K389)*(BallastFactorTable[Fixture Sub-category]=L389),0))</f>
        <v>#N/A</v>
      </c>
      <c r="BC389" s="133" t="e" cm="1">
        <f t="array" ref="BC389">INDEX(BallastFactorTable[Industrial BPA Reference Number],MATCH(1,(BallastFactorTable[Fixture Class]=J389)*(BallastFactorTable[Fixture Category]=K389)*(BallastFactorTable[Fixture Sub-category]=L389),0))</f>
        <v>#N/A</v>
      </c>
      <c r="BD389" s="264" t="str">
        <f t="shared" si="156"/>
        <v>Sector is blank</v>
      </c>
      <c r="BE389" s="269" t="str">
        <f>IF(ISBLANK(SectorField),"Sector is blank",IF(AM389="Row Not Used","",IF(OR(R389="No Controls",ISBLANK(R389)),"",INDEX(ControlsBPARefNoTable[Reference Number],MATCH(SectorField,ControlsBPARefNoTable[Sector],0)))))</f>
        <v>Sector is blank</v>
      </c>
      <c r="BF389" s="530" t="str">
        <f t="shared" si="157"/>
        <v/>
      </c>
      <c r="BG389" s="132" t="str">
        <f t="shared" si="158"/>
        <v/>
      </c>
      <c r="BH389" s="531" t="str">
        <f t="shared" si="159"/>
        <v/>
      </c>
      <c r="BI389" s="532"/>
      <c r="BJ389" s="538" t="str">
        <f t="shared" si="165"/>
        <v/>
      </c>
      <c r="BK389" s="539" t="str">
        <f t="shared" si="166"/>
        <v/>
      </c>
      <c r="BL389" s="547" t="str">
        <f t="shared" si="167"/>
        <v/>
      </c>
    </row>
    <row r="390" spans="1:64" x14ac:dyDescent="0.3">
      <c r="A390" s="133">
        <v>383</v>
      </c>
      <c r="B390" s="294"/>
      <c r="C390" s="313"/>
      <c r="D390" s="292"/>
      <c r="E390" s="284"/>
      <c r="F390" s="284"/>
      <c r="G390" s="295"/>
      <c r="H390" s="296"/>
      <c r="I390" s="297"/>
      <c r="J390" s="292"/>
      <c r="K390" s="284"/>
      <c r="L390" s="284"/>
      <c r="M390" s="295"/>
      <c r="N390" s="296"/>
      <c r="O390" s="296"/>
      <c r="P390" s="284"/>
      <c r="Q390" s="298"/>
      <c r="R390" s="292"/>
      <c r="S390" s="299"/>
      <c r="T390" s="300"/>
      <c r="U390" s="317" t="str">
        <f t="shared" si="141"/>
        <v/>
      </c>
      <c r="V390" s="301"/>
      <c r="W390" s="137" t="str">
        <f t="shared" si="142"/>
        <v/>
      </c>
      <c r="X390" s="589" t="str">
        <f t="shared" si="160"/>
        <v/>
      </c>
      <c r="Y390" s="581"/>
      <c r="Z390" s="251" t="str">
        <f t="shared" si="143"/>
        <v/>
      </c>
      <c r="AA390" s="138" t="str">
        <f t="shared" si="168"/>
        <v/>
      </c>
      <c r="AB390" s="243" t="str">
        <f t="shared" si="161"/>
        <v/>
      </c>
      <c r="AC390" s="141" t="str">
        <f t="shared" si="144"/>
        <v/>
      </c>
      <c r="AD390" s="138" t="str">
        <f t="shared" si="162"/>
        <v/>
      </c>
      <c r="AE390" s="243" t="str">
        <f t="shared" si="145"/>
        <v/>
      </c>
      <c r="AF390" s="342" t="str">
        <f>IF(AM390="Row Not Used","",INDEX(SpaceTable[Annual Hours],(MATCH(B390,SpaceTable[Space Name Concatenated Helper],0))))</f>
        <v/>
      </c>
      <c r="AG390" s="205" t="str">
        <f t="shared" si="146"/>
        <v/>
      </c>
      <c r="AH390" s="234" t="str">
        <f t="shared" si="147"/>
        <v/>
      </c>
      <c r="AI390" s="205" t="str">
        <f t="shared" si="148"/>
        <v/>
      </c>
      <c r="AJ390" s="234" t="str">
        <f t="shared" si="149"/>
        <v/>
      </c>
      <c r="AK390" s="144" t="str">
        <f>IF(AM390="Row Not Used","",INDEX(SpaceTable[Row],(MATCH(B390,SpaceTable[Space Name Concatenated Helper],0))))</f>
        <v/>
      </c>
      <c r="AL390" s="238" t="str">
        <f>IF(AM390="Row Not Used","",INDEX(SpaceTable[HVAC Factor],(MATCH(B390,SpaceTable[Space Name Concatenated Helper],0))))</f>
        <v/>
      </c>
      <c r="AM390" s="520" t="str">
        <f t="shared" si="150"/>
        <v>Row Not Used</v>
      </c>
      <c r="AN390" s="512" t="e" cm="1">
        <f t="array" ref="AN390">INDEX(BallastFactorTable[Ballast Factor],MATCH(1,(BallastFactorTable[Fixture Class]=D390)*(BallastFactorTable[Fixture Category]=E390)*(BallastFactorTable[Fixture Sub-category]=F390),0))</f>
        <v>#N/A</v>
      </c>
      <c r="AO390" s="143" t="str">
        <f t="shared" si="163"/>
        <v/>
      </c>
      <c r="AP390" s="501" t="e" cm="1">
        <f t="array" ref="AP390">INDEX(BallastFactorTable[Wattage Range Name],MATCH(1,(BallastFactorTable[Fixture Class]=D390)*(BallastFactorTable[Fixture Category]=E390)*(BallastFactorTable[Fixture Sub-category]=F390),0))</f>
        <v>#N/A</v>
      </c>
      <c r="AQ390" s="515" t="str">
        <f t="shared" ca="1" si="151"/>
        <v>Okay</v>
      </c>
      <c r="AR390" s="512">
        <f t="shared" si="152"/>
        <v>0</v>
      </c>
      <c r="AS390" s="511" t="str">
        <f>IF(OR(Measures!AM390="Row Not Used",Measures!C390="Controls Only",Measures!C390="Decommissioning"),"",_xlfn.CONCAT(P390," ",Q390))</f>
        <v/>
      </c>
      <c r="AT390" s="264" t="str">
        <f t="shared" si="153"/>
        <v>None</v>
      </c>
      <c r="AU390" s="229">
        <f>IF(OR(AM390="Row Not Used",AM390="Controls Only"),0,INDEX(IncentiveRateTable[Incentive Rate],MATCH(AT390,IncentiveRateTable[Incentive Name],0)))</f>
        <v>0</v>
      </c>
      <c r="AV390" s="133" t="str">
        <f>IF(OR(AM390="Row Not Used",AM390="Controls Only"),"None",INDEX(IncentiveRateTable[Incentive Unit],MATCH(AT390,IncentiveRateTable[Incentive Name],0)))</f>
        <v>None</v>
      </c>
      <c r="AW390" s="578">
        <f t="shared" si="164"/>
        <v>0</v>
      </c>
      <c r="AX390" s="264" t="str">
        <f t="shared" si="154"/>
        <v>None</v>
      </c>
      <c r="AY390" s="229">
        <f>IF(OR(AM390="Row Not Used",AM390="Fixtures Only",AM390="Decommissioning"),0,INDEX(IncentiveRateTable[Incentive Rate],MATCH(AX390,IncentiveRateTable[Incentive Name],0)))</f>
        <v>0</v>
      </c>
      <c r="AZ390" s="133" t="str">
        <f>IF(OR(AM390="Row Not Used",AM390="Fixtures Only",AM390="Decommissioning"),"None",INDEX(IncentiveRateTable[Incentive Unit],MATCH(AX390,IncentiveRateTable[Incentive Name],0)))</f>
        <v>None</v>
      </c>
      <c r="BA390" s="465">
        <f t="shared" si="155"/>
        <v>0</v>
      </c>
      <c r="BB390" s="264" t="e" cm="1">
        <f t="array" ref="BB390">INDEX(BallastFactorTable[Commercial BPA Reference Number],MATCH(1,(BallastFactorTable[Fixture Class]=J390)*(BallastFactorTable[Fixture Category]=K390)*(BallastFactorTable[Fixture Sub-category]=L390),0))</f>
        <v>#N/A</v>
      </c>
      <c r="BC390" s="133" t="e" cm="1">
        <f t="array" ref="BC390">INDEX(BallastFactorTable[Industrial BPA Reference Number],MATCH(1,(BallastFactorTable[Fixture Class]=J390)*(BallastFactorTable[Fixture Category]=K390)*(BallastFactorTable[Fixture Sub-category]=L390),0))</f>
        <v>#N/A</v>
      </c>
      <c r="BD390" s="264" t="str">
        <f t="shared" si="156"/>
        <v>Sector is blank</v>
      </c>
      <c r="BE390" s="269" t="str">
        <f>IF(ISBLANK(SectorField),"Sector is blank",IF(AM390="Row Not Used","",IF(OR(R390="No Controls",ISBLANK(R390)),"",INDEX(ControlsBPARefNoTable[Reference Number],MATCH(SectorField,ControlsBPARefNoTable[Sector],0)))))</f>
        <v>Sector is blank</v>
      </c>
      <c r="BF390" s="530" t="str">
        <f t="shared" si="157"/>
        <v/>
      </c>
      <c r="BG390" s="132" t="str">
        <f t="shared" si="158"/>
        <v/>
      </c>
      <c r="BH390" s="531" t="str">
        <f t="shared" si="159"/>
        <v/>
      </c>
      <c r="BI390" s="532"/>
      <c r="BJ390" s="538" t="str">
        <f t="shared" si="165"/>
        <v/>
      </c>
      <c r="BK390" s="539" t="str">
        <f t="shared" si="166"/>
        <v/>
      </c>
      <c r="BL390" s="547" t="str">
        <f t="shared" si="167"/>
        <v/>
      </c>
    </row>
    <row r="391" spans="1:64" x14ac:dyDescent="0.3">
      <c r="A391" s="133">
        <v>384</v>
      </c>
      <c r="B391" s="294"/>
      <c r="C391" s="313"/>
      <c r="D391" s="292"/>
      <c r="E391" s="284"/>
      <c r="F391" s="284"/>
      <c r="G391" s="295"/>
      <c r="H391" s="296"/>
      <c r="I391" s="297"/>
      <c r="J391" s="292"/>
      <c r="K391" s="284"/>
      <c r="L391" s="284"/>
      <c r="M391" s="295"/>
      <c r="N391" s="296"/>
      <c r="O391" s="296"/>
      <c r="P391" s="284"/>
      <c r="Q391" s="298"/>
      <c r="R391" s="292"/>
      <c r="S391" s="299"/>
      <c r="T391" s="300"/>
      <c r="U391" s="317" t="str">
        <f t="shared" si="141"/>
        <v/>
      </c>
      <c r="V391" s="301"/>
      <c r="W391" s="136" t="str">
        <f t="shared" si="142"/>
        <v/>
      </c>
      <c r="X391" s="588" t="str">
        <f t="shared" si="160"/>
        <v/>
      </c>
      <c r="Y391" s="580"/>
      <c r="Z391" s="251" t="str">
        <f t="shared" si="143"/>
        <v/>
      </c>
      <c r="AA391" s="138" t="str">
        <f t="shared" si="168"/>
        <v/>
      </c>
      <c r="AB391" s="243" t="str">
        <f t="shared" si="161"/>
        <v/>
      </c>
      <c r="AC391" s="141" t="str">
        <f t="shared" si="144"/>
        <v/>
      </c>
      <c r="AD391" s="138" t="str">
        <f t="shared" si="162"/>
        <v/>
      </c>
      <c r="AE391" s="243" t="str">
        <f t="shared" si="145"/>
        <v/>
      </c>
      <c r="AF391" s="342" t="str">
        <f>IF(AM391="Row Not Used","",INDEX(SpaceTable[Annual Hours],(MATCH(B391,SpaceTable[Space Name Concatenated Helper],0))))</f>
        <v/>
      </c>
      <c r="AG391" s="205" t="str">
        <f t="shared" si="146"/>
        <v/>
      </c>
      <c r="AH391" s="234" t="str">
        <f t="shared" si="147"/>
        <v/>
      </c>
      <c r="AI391" s="205" t="str">
        <f t="shared" si="148"/>
        <v/>
      </c>
      <c r="AJ391" s="234" t="str">
        <f t="shared" si="149"/>
        <v/>
      </c>
      <c r="AK391" s="144" t="str">
        <f>IF(AM391="Row Not Used","",INDEX(SpaceTable[Row],(MATCH(B391,SpaceTable[Space Name Concatenated Helper],0))))</f>
        <v/>
      </c>
      <c r="AL391" s="238" t="str">
        <f>IF(AM391="Row Not Used","",INDEX(SpaceTable[HVAC Factor],(MATCH(B391,SpaceTable[Space Name Concatenated Helper],0))))</f>
        <v/>
      </c>
      <c r="AM391" s="520" t="str">
        <f t="shared" si="150"/>
        <v>Row Not Used</v>
      </c>
      <c r="AN391" s="512" t="e" cm="1">
        <f t="array" ref="AN391">INDEX(BallastFactorTable[Ballast Factor],MATCH(1,(BallastFactorTable[Fixture Class]=D391)*(BallastFactorTable[Fixture Category]=E391)*(BallastFactorTable[Fixture Sub-category]=F391),0))</f>
        <v>#N/A</v>
      </c>
      <c r="AO391" s="143" t="str">
        <f t="shared" si="163"/>
        <v/>
      </c>
      <c r="AP391" s="501" t="e" cm="1">
        <f t="array" ref="AP391">INDEX(BallastFactorTable[Wattage Range Name],MATCH(1,(BallastFactorTable[Fixture Class]=D391)*(BallastFactorTable[Fixture Category]=E391)*(BallastFactorTable[Fixture Sub-category]=F391),0))</f>
        <v>#N/A</v>
      </c>
      <c r="AQ391" s="515" t="str">
        <f t="shared" ca="1" si="151"/>
        <v>Okay</v>
      </c>
      <c r="AR391" s="512">
        <f t="shared" si="152"/>
        <v>0</v>
      </c>
      <c r="AS391" s="511" t="str">
        <f>IF(OR(Measures!AM391="Row Not Used",Measures!C391="Controls Only",Measures!C391="Decommissioning"),"",_xlfn.CONCAT(P391," ",Q391))</f>
        <v/>
      </c>
      <c r="AT391" s="264" t="str">
        <f t="shared" si="153"/>
        <v>None</v>
      </c>
      <c r="AU391" s="229">
        <f>IF(OR(AM391="Row Not Used",AM391="Controls Only"),0,INDEX(IncentiveRateTable[Incentive Rate],MATCH(AT391,IncentiveRateTable[Incentive Name],0)))</f>
        <v>0</v>
      </c>
      <c r="AV391" s="133" t="str">
        <f>IF(OR(AM391="Row Not Used",AM391="Controls Only"),"None",INDEX(IncentiveRateTable[Incentive Unit],MATCH(AT391,IncentiveRateTable[Incentive Name],0)))</f>
        <v>None</v>
      </c>
      <c r="AW391" s="578">
        <f t="shared" si="164"/>
        <v>0</v>
      </c>
      <c r="AX391" s="264" t="str">
        <f t="shared" si="154"/>
        <v>None</v>
      </c>
      <c r="AY391" s="229">
        <f>IF(OR(AM391="Row Not Used",AM391="Fixtures Only",AM391="Decommissioning"),0,INDEX(IncentiveRateTable[Incentive Rate],MATCH(AX391,IncentiveRateTable[Incentive Name],0)))</f>
        <v>0</v>
      </c>
      <c r="AZ391" s="133" t="str">
        <f>IF(OR(AM391="Row Not Used",AM391="Fixtures Only",AM391="Decommissioning"),"None",INDEX(IncentiveRateTable[Incentive Unit],MATCH(AX391,IncentiveRateTable[Incentive Name],0)))</f>
        <v>None</v>
      </c>
      <c r="BA391" s="465">
        <f t="shared" si="155"/>
        <v>0</v>
      </c>
      <c r="BB391" s="264" t="e" cm="1">
        <f t="array" ref="BB391">INDEX(BallastFactorTable[Commercial BPA Reference Number],MATCH(1,(BallastFactorTable[Fixture Class]=J391)*(BallastFactorTable[Fixture Category]=K391)*(BallastFactorTable[Fixture Sub-category]=L391),0))</f>
        <v>#N/A</v>
      </c>
      <c r="BC391" s="133" t="e" cm="1">
        <f t="array" ref="BC391">INDEX(BallastFactorTable[Industrial BPA Reference Number],MATCH(1,(BallastFactorTable[Fixture Class]=J391)*(BallastFactorTable[Fixture Category]=K391)*(BallastFactorTable[Fixture Sub-category]=L391),0))</f>
        <v>#N/A</v>
      </c>
      <c r="BD391" s="264" t="str">
        <f t="shared" si="156"/>
        <v>Sector is blank</v>
      </c>
      <c r="BE391" s="269" t="str">
        <f>IF(ISBLANK(SectorField),"Sector is blank",IF(AM391="Row Not Used","",IF(OR(R391="No Controls",ISBLANK(R391)),"",INDEX(ControlsBPARefNoTable[Reference Number],MATCH(SectorField,ControlsBPARefNoTable[Sector],0)))))</f>
        <v>Sector is blank</v>
      </c>
      <c r="BF391" s="530" t="str">
        <f t="shared" si="157"/>
        <v/>
      </c>
      <c r="BG391" s="132" t="str">
        <f t="shared" si="158"/>
        <v/>
      </c>
      <c r="BH391" s="531" t="str">
        <f t="shared" si="159"/>
        <v/>
      </c>
      <c r="BI391" s="532"/>
      <c r="BJ391" s="538" t="str">
        <f t="shared" si="165"/>
        <v/>
      </c>
      <c r="BK391" s="539" t="str">
        <f t="shared" si="166"/>
        <v/>
      </c>
      <c r="BL391" s="547" t="str">
        <f t="shared" si="167"/>
        <v/>
      </c>
    </row>
    <row r="392" spans="1:64" x14ac:dyDescent="0.3">
      <c r="A392" s="133">
        <v>385</v>
      </c>
      <c r="B392" s="294"/>
      <c r="C392" s="313"/>
      <c r="D392" s="292"/>
      <c r="E392" s="284"/>
      <c r="F392" s="284"/>
      <c r="G392" s="295"/>
      <c r="H392" s="296"/>
      <c r="I392" s="297"/>
      <c r="J392" s="292"/>
      <c r="K392" s="284"/>
      <c r="L392" s="284"/>
      <c r="M392" s="295"/>
      <c r="N392" s="296"/>
      <c r="O392" s="296"/>
      <c r="P392" s="284"/>
      <c r="Q392" s="298"/>
      <c r="R392" s="292"/>
      <c r="S392" s="299"/>
      <c r="T392" s="300"/>
      <c r="U392" s="317" t="str">
        <f t="shared" ref="U392:U455" si="169">IF(OR(ISBLANK(R392),R392="No Controls"),"",IF(R392="Networked Controls",CtrlPctHrsReductionNetworked,CtrlPctHrsReductionNonNetworked))</f>
        <v/>
      </c>
      <c r="V392" s="301"/>
      <c r="W392" s="137" t="str">
        <f t="shared" ref="W392:W455" si="170">IF(AM392="Row Not Used","",IF(OR(AM392="Fixtures Only",AM392="decommissioning"),Z392,IF(AM392="Controls Only",AC392,Z392+AC392)))</f>
        <v/>
      </c>
      <c r="X392" s="589" t="str">
        <f t="shared" si="160"/>
        <v/>
      </c>
      <c r="Y392" s="581"/>
      <c r="Z392" s="251" t="str">
        <f t="shared" ref="Z392:Z455" si="171">IF(OR(AM392="Row Not Used",AM392="Controls Only"),"",IF(AM392="Decommissioning",AH392,AH392-AJ392))</f>
        <v/>
      </c>
      <c r="AA392" s="138" t="str">
        <f t="shared" si="168"/>
        <v/>
      </c>
      <c r="AB392" s="243" t="str">
        <f t="shared" si="161"/>
        <v/>
      </c>
      <c r="AC392" s="141" t="str">
        <f t="shared" ref="AC392:AC455" si="172">IF(OR(AM392="Row Not Used",AM392="Fixtures Only",AM392="Decommissioning"),"",BA392)</f>
        <v/>
      </c>
      <c r="AD392" s="138" t="str">
        <f t="shared" si="162"/>
        <v/>
      </c>
      <c r="AE392" s="243" t="str">
        <f t="shared" ref="AE392:AE455" si="173">IF(AZ392="None","",IF(AC392&lt;0,0,ROUND(AY392*AC392,2)))</f>
        <v/>
      </c>
      <c r="AF392" s="342" t="str">
        <f>IF(AM392="Row Not Used","",INDEX(SpaceTable[Annual Hours],(MATCH(B392,SpaceTable[Space Name Concatenated Helper],0))))</f>
        <v/>
      </c>
      <c r="AG392" s="205" t="str">
        <f t="shared" ref="AG392:AG455" si="174">IF(AM392="Row Not Used","",G392*H392*AO392)</f>
        <v/>
      </c>
      <c r="AH392" s="234" t="str">
        <f t="shared" ref="AH392:AH455" si="175">IF(AM392="Row Not Used","",(AG392*I392*AF392*AL392)/kWhConversion)</f>
        <v/>
      </c>
      <c r="AI392" s="205" t="str">
        <f t="shared" ref="AI392:AI455" si="176">IF(OR(AM392="Row Not Used",AM392="Controls Only",AM392="Decommissioning"),"",M392*N392)</f>
        <v/>
      </c>
      <c r="AJ392" s="234" t="str">
        <f t="shared" ref="AJ392:AJ455" si="177">IF(OR(AM392="Row Not Used",AM392="Controls Only",AM392="Decommissioning"),"",(AI392*O392*AF392*AL392)/kWhConversion)</f>
        <v/>
      </c>
      <c r="AK392" s="144" t="str">
        <f>IF(AM392="Row Not Used","",INDEX(SpaceTable[Row],(MATCH(B392,SpaceTable[Space Name Concatenated Helper],0))))</f>
        <v/>
      </c>
      <c r="AL392" s="238" t="str">
        <f>IF(AM392="Row Not Used","",INDEX(SpaceTable[HVAC Factor],(MATCH(B392,SpaceTable[Space Name Concatenated Helper],0))))</f>
        <v/>
      </c>
      <c r="AM392" s="520" t="str">
        <f t="shared" ref="AM392:AM455" si="178">IF(OR(ISBLANK(C392),ISBLANK(B392)),"Row Not Used",IF(C392="Controls Only","Controls Only",IF(C392="Decommissioning","Decommissioning",IF(AND(C392="Fixtures",OR(R392="No Controls",ISBLANK(R392))),"Fixtures Only","Fixtures with Controls"))))</f>
        <v>Row Not Used</v>
      </c>
      <c r="AN392" s="512" t="e" cm="1">
        <f t="array" ref="AN392">INDEX(BallastFactorTable[Ballast Factor],MATCH(1,(BallastFactorTable[Fixture Class]=D392)*(BallastFactorTable[Fixture Category]=E392)*(BallastFactorTable[Fixture Sub-category]=F392),0))</f>
        <v>#N/A</v>
      </c>
      <c r="AO392" s="143" t="str">
        <f t="shared" si="163"/>
        <v/>
      </c>
      <c r="AP392" s="501" t="e" cm="1">
        <f t="array" ref="AP392">INDEX(BallastFactorTable[Wattage Range Name],MATCH(1,(BallastFactorTable[Fixture Class]=D392)*(BallastFactorTable[Fixture Category]=E392)*(BallastFactorTable[Fixture Sub-category]=F392),0))</f>
        <v>#N/A</v>
      </c>
      <c r="AQ392" s="515" t="str">
        <f t="shared" ref="AQ392:AQ455" ca="1" si="179">IF(G392="Type in the wattage.","Invalid",IF(OR(AM392="Row Not Used",D392="LED",ISBLANK(G392)),"Okay",IFERROR(_xlfn.XMATCH(G392,INDIRECT(AP392),0),"Invalid")))</f>
        <v>Okay</v>
      </c>
      <c r="AR392" s="512">
        <f t="shared" ref="AR392:AR455" si="180">IF(AM392="Row Not Used",0,IF(AM392="Decommissioning",I392,IF(AT392="LED Tube",N392*O392,O392)))</f>
        <v>0</v>
      </c>
      <c r="AS392" s="511" t="str">
        <f>IF(OR(Measures!AM392="Row Not Used",Measures!C392="Controls Only",Measures!C392="Decommissioning"),"",_xlfn.CONCAT(P392," ",Q392))</f>
        <v/>
      </c>
      <c r="AT392" s="264" t="str">
        <f t="shared" ref="AT392:AT455" si="181">IF(OR(AM392="Row Not Used",AM392="Controls Only"),"None",IF(K392="Tube","LED Tube",IF(K392="Exit Sign","LED Exit Sign",IF(RateClassField="Small General (B)","Standard B",IF(RateClassField="General (G)","Standard G",IF(RateClassField="High Voltage (HVG)","Standard HVG","Error"))))))</f>
        <v>None</v>
      </c>
      <c r="AU392" s="229">
        <f>IF(OR(AM392="Row Not Used",AM392="Controls Only"),0,INDEX(IncentiveRateTable[Incentive Rate],MATCH(AT392,IncentiveRateTable[Incentive Name],0)))</f>
        <v>0</v>
      </c>
      <c r="AV392" s="133" t="str">
        <f>IF(OR(AM392="Row Not Used",AM392="Controls Only"),"None",INDEX(IncentiveRateTable[Incentive Unit],MATCH(AT392,IncentiveRateTable[Incentive Name],0)))</f>
        <v>None</v>
      </c>
      <c r="AW392" s="578">
        <f t="shared" si="164"/>
        <v>0</v>
      </c>
      <c r="AX392" s="264" t="str">
        <f t="shared" ref="AX392:AX455" si="182">IF(OR(AM392="Row Not Used",AM392="Fixtures Only",AM392="Decommissioning"),"None",IF(RateClassField="Small General (B)","Standard B",IF(RateClassField="General (G)","Standard G",IF(RateClassField="High Voltage (HVG)","Standard HVG","Error"))))</f>
        <v>None</v>
      </c>
      <c r="AY392" s="229">
        <f>IF(OR(AM392="Row Not Used",AM392="Fixtures Only",AM392="Decommissioning"),0,INDEX(IncentiveRateTable[Incentive Rate],MATCH(AX392,IncentiveRateTable[Incentive Name],0)))</f>
        <v>0</v>
      </c>
      <c r="AZ392" s="133" t="str">
        <f>IF(OR(AM392="Row Not Used",AM392="Fixtures Only",AM392="Decommissioning"),"None",INDEX(IncentiveRateTable[Incentive Unit],MATCH(AX392,IncentiveRateTable[Incentive Name],0)))</f>
        <v>None</v>
      </c>
      <c r="BA392" s="465">
        <f t="shared" ref="BA392:BA455" si="183">IF(OR(AM392="Row Not Used",AM392="Decommissioning",AM392="Fixtures Only"),0,IF(AM392="Controls Only",IF(R392="Multi-function",AH392*U392*T392,AH392*U392),IF(R392="Multi-function",AJ392*U392*T392,AJ392*U392)))</f>
        <v>0</v>
      </c>
      <c r="BB392" s="264" t="e" cm="1">
        <f t="array" ref="BB392">INDEX(BallastFactorTable[Commercial BPA Reference Number],MATCH(1,(BallastFactorTable[Fixture Class]=J392)*(BallastFactorTable[Fixture Category]=K392)*(BallastFactorTable[Fixture Sub-category]=L392),0))</f>
        <v>#N/A</v>
      </c>
      <c r="BC392" s="133" t="e" cm="1">
        <f t="array" ref="BC392">INDEX(BallastFactorTable[Industrial BPA Reference Number],MATCH(1,(BallastFactorTable[Fixture Class]=J392)*(BallastFactorTable[Fixture Category]=K392)*(BallastFactorTable[Fixture Sub-category]=L392),0))</f>
        <v>#N/A</v>
      </c>
      <c r="BD392" s="264" t="str">
        <f t="shared" ref="BD392:BD455" si="184">IF(ISBLANK(SectorField),"Sector is blank",IF(OR(AM392="Row Not Used",AM392="Controls Only"),"",IF(AM392="Decommissioning","Not Reported to BPA",IF(SectorField="Commercial",BB392,IF(SectorField="Industrial",BC392,"Unknown")))))</f>
        <v>Sector is blank</v>
      </c>
      <c r="BE392" s="269" t="str">
        <f>IF(ISBLANK(SectorField),"Sector is blank",IF(AM392="Row Not Used","",IF(OR(R392="No Controls",ISBLANK(R392)),"",INDEX(ControlsBPARefNoTable[Reference Number],MATCH(SectorField,ControlsBPARefNoTable[Sector],0)))))</f>
        <v>Sector is blank</v>
      </c>
      <c r="BF392" s="530" t="str">
        <f t="shared" ref="BF392:BF455" si="185">IF(AM392="Row Not Used","",COUNTA(D392:I392)=$BF$6)</f>
        <v/>
      </c>
      <c r="BG392" s="132" t="str">
        <f t="shared" ref="BG392:BG455" si="186">IF(AM392="Row Not Used","",IF(OR(AM392="Controls Only",AM392="Decommissioning"),TRUE,COUNTA(J392:Q392)=$BG$6))</f>
        <v/>
      </c>
      <c r="BH392" s="531" t="str">
        <f t="shared" ref="BH392:BH455" si="187">IF(AM392="Row Not Used","",IF(OR(AM392="Fixtures Only",AM392="Decommissioning"),TRUE,IF(R392="Multi-function",COUNTA(R392:T392)=$BH$6,COUNTA(R392:T392)=$BH$6-1)))</f>
        <v/>
      </c>
      <c r="BI392" s="532"/>
      <c r="BJ392" s="538" t="str">
        <f t="shared" si="165"/>
        <v/>
      </c>
      <c r="BK392" s="539" t="str">
        <f t="shared" si="166"/>
        <v/>
      </c>
      <c r="BL392" s="547" t="str">
        <f t="shared" si="167"/>
        <v/>
      </c>
    </row>
    <row r="393" spans="1:64" x14ac:dyDescent="0.3">
      <c r="A393" s="133">
        <v>386</v>
      </c>
      <c r="B393" s="294"/>
      <c r="C393" s="313"/>
      <c r="D393" s="292"/>
      <c r="E393" s="284"/>
      <c r="F393" s="284"/>
      <c r="G393" s="295"/>
      <c r="H393" s="296"/>
      <c r="I393" s="297"/>
      <c r="J393" s="292"/>
      <c r="K393" s="284"/>
      <c r="L393" s="284"/>
      <c r="M393" s="295"/>
      <c r="N393" s="296"/>
      <c r="O393" s="296"/>
      <c r="P393" s="284"/>
      <c r="Q393" s="298"/>
      <c r="R393" s="292"/>
      <c r="S393" s="299"/>
      <c r="T393" s="300"/>
      <c r="U393" s="317" t="str">
        <f t="shared" si="169"/>
        <v/>
      </c>
      <c r="V393" s="301"/>
      <c r="W393" s="136" t="str">
        <f t="shared" si="170"/>
        <v/>
      </c>
      <c r="X393" s="588" t="str">
        <f t="shared" ref="X393:X456" si="188">IF(AM393="Row Not Used","",IFERROR(ROUND(W393/AH393,2),0))</f>
        <v/>
      </c>
      <c r="Y393" s="580"/>
      <c r="Z393" s="251" t="str">
        <f t="shared" si="171"/>
        <v/>
      </c>
      <c r="AA393" s="138" t="str">
        <f t="shared" si="168"/>
        <v/>
      </c>
      <c r="AB393" s="243" t="str">
        <f t="shared" ref="AB393:AB456" si="189">IF(AV393="None","",AW393)</f>
        <v/>
      </c>
      <c r="AC393" s="141" t="str">
        <f t="shared" si="172"/>
        <v/>
      </c>
      <c r="AD393" s="138" t="str">
        <f t="shared" ref="AD393:AD456" si="190">IF(OR(AM393="Row Not Used",AM393="Fixtures Only",AM393="Decommissioning"),"",IFERROR(ROUND(AC393/AH393,2),0))</f>
        <v/>
      </c>
      <c r="AE393" s="243" t="str">
        <f t="shared" si="173"/>
        <v/>
      </c>
      <c r="AF393" s="342" t="str">
        <f>IF(AM393="Row Not Used","",INDEX(SpaceTable[Annual Hours],(MATCH(B393,SpaceTable[Space Name Concatenated Helper],0))))</f>
        <v/>
      </c>
      <c r="AG393" s="205" t="str">
        <f t="shared" si="174"/>
        <v/>
      </c>
      <c r="AH393" s="234" t="str">
        <f t="shared" si="175"/>
        <v/>
      </c>
      <c r="AI393" s="205" t="str">
        <f t="shared" si="176"/>
        <v/>
      </c>
      <c r="AJ393" s="234" t="str">
        <f t="shared" si="177"/>
        <v/>
      </c>
      <c r="AK393" s="144" t="str">
        <f>IF(AM393="Row Not Used","",INDEX(SpaceTable[Row],(MATCH(B393,SpaceTable[Space Name Concatenated Helper],0))))</f>
        <v/>
      </c>
      <c r="AL393" s="238" t="str">
        <f>IF(AM393="Row Not Used","",INDEX(SpaceTable[HVAC Factor],(MATCH(B393,SpaceTable[Space Name Concatenated Helper],0))))</f>
        <v/>
      </c>
      <c r="AM393" s="520" t="str">
        <f t="shared" si="178"/>
        <v>Row Not Used</v>
      </c>
      <c r="AN393" s="512" t="e" cm="1">
        <f t="array" ref="AN393">INDEX(BallastFactorTable[Ballast Factor],MATCH(1,(BallastFactorTable[Fixture Class]=D393)*(BallastFactorTable[Fixture Category]=E393)*(BallastFactorTable[Fixture Sub-category]=F393),0))</f>
        <v>#N/A</v>
      </c>
      <c r="AO393" s="143" t="str">
        <f t="shared" ref="AO393:AO456" si="191">IF(AM393="Row Not Used","",IFERROR(AN393,0))</f>
        <v/>
      </c>
      <c r="AP393" s="501" t="e" cm="1">
        <f t="array" ref="AP393">INDEX(BallastFactorTable[Wattage Range Name],MATCH(1,(BallastFactorTable[Fixture Class]=D393)*(BallastFactorTable[Fixture Category]=E393)*(BallastFactorTable[Fixture Sub-category]=F393),0))</f>
        <v>#N/A</v>
      </c>
      <c r="AQ393" s="515" t="str">
        <f t="shared" ca="1" si="179"/>
        <v>Okay</v>
      </c>
      <c r="AR393" s="512">
        <f t="shared" si="180"/>
        <v>0</v>
      </c>
      <c r="AS393" s="511" t="str">
        <f>IF(OR(Measures!AM393="Row Not Used",Measures!C393="Controls Only",Measures!C393="Decommissioning"),"",_xlfn.CONCAT(P393," ",Q393))</f>
        <v/>
      </c>
      <c r="AT393" s="264" t="str">
        <f t="shared" si="181"/>
        <v>None</v>
      </c>
      <c r="AU393" s="229">
        <f>IF(OR(AM393="Row Not Used",AM393="Controls Only"),0,INDEX(IncentiveRateTable[Incentive Rate],MATCH(AT393,IncentiveRateTable[Incentive Name],0)))</f>
        <v>0</v>
      </c>
      <c r="AV393" s="133" t="str">
        <f>IF(OR(AM393="Row Not Used",AM393="Controls Only"),"None",INDEX(IncentiveRateTable[Incentive Unit],MATCH(AT393,IncentiveRateTable[Incentive Name],0)))</f>
        <v>None</v>
      </c>
      <c r="AW393" s="578">
        <f t="shared" ref="AW393:AW456" si="192">IF(AV393="None",0,IF(AND(OR(AV393="Per Tube",AV393="Per Fixture"),Z393=0),0,IF(AV393="Per kWh Saved",ROUND(AU393*Z393,2),IF(AND(AV393="Per Tube",Z393&lt;0),-ROUND(AU393*N393*O393,2),IF(AV393="Per Tube",ROUND(AU393*N393*O393,2),IF(AND(AV393="Per Fixture",Z393&lt;0),-ROUND(AU393*O393,2),IF(AV393="Per Fixture",ROUND(AU393*O393,2),0)))))))</f>
        <v>0</v>
      </c>
      <c r="AX393" s="264" t="str">
        <f t="shared" si="182"/>
        <v>None</v>
      </c>
      <c r="AY393" s="229">
        <f>IF(OR(AM393="Row Not Used",AM393="Fixtures Only",AM393="Decommissioning"),0,INDEX(IncentiveRateTable[Incentive Rate],MATCH(AX393,IncentiveRateTable[Incentive Name],0)))</f>
        <v>0</v>
      </c>
      <c r="AZ393" s="133" t="str">
        <f>IF(OR(AM393="Row Not Used",AM393="Fixtures Only",AM393="Decommissioning"),"None",INDEX(IncentiveRateTable[Incentive Unit],MATCH(AX393,IncentiveRateTable[Incentive Name],0)))</f>
        <v>None</v>
      </c>
      <c r="BA393" s="465">
        <f t="shared" si="183"/>
        <v>0</v>
      </c>
      <c r="BB393" s="264" t="e" cm="1">
        <f t="array" ref="BB393">INDEX(BallastFactorTable[Commercial BPA Reference Number],MATCH(1,(BallastFactorTable[Fixture Class]=J393)*(BallastFactorTable[Fixture Category]=K393)*(BallastFactorTable[Fixture Sub-category]=L393),0))</f>
        <v>#N/A</v>
      </c>
      <c r="BC393" s="133" t="e" cm="1">
        <f t="array" ref="BC393">INDEX(BallastFactorTable[Industrial BPA Reference Number],MATCH(1,(BallastFactorTable[Fixture Class]=J393)*(BallastFactorTable[Fixture Category]=K393)*(BallastFactorTable[Fixture Sub-category]=L393),0))</f>
        <v>#N/A</v>
      </c>
      <c r="BD393" s="264" t="str">
        <f t="shared" si="184"/>
        <v>Sector is blank</v>
      </c>
      <c r="BE393" s="269" t="str">
        <f>IF(ISBLANK(SectorField),"Sector is blank",IF(AM393="Row Not Used","",IF(OR(R393="No Controls",ISBLANK(R393)),"",INDEX(ControlsBPARefNoTable[Reference Number],MATCH(SectorField,ControlsBPARefNoTable[Sector],0)))))</f>
        <v>Sector is blank</v>
      </c>
      <c r="BF393" s="530" t="str">
        <f t="shared" si="185"/>
        <v/>
      </c>
      <c r="BG393" s="132" t="str">
        <f t="shared" si="186"/>
        <v/>
      </c>
      <c r="BH393" s="531" t="str">
        <f t="shared" si="187"/>
        <v/>
      </c>
      <c r="BI393" s="532"/>
      <c r="BJ393" s="538" t="str">
        <f t="shared" ref="BJ393:BJ456" si="193">IF(LEN(BF393)=0,"",IF(BF393=FALSE,"Missing info","Okay"))</f>
        <v/>
      </c>
      <c r="BK393" s="539" t="str">
        <f t="shared" ref="BK393:BK456" si="194">IF(LEN(BG393)=0,"",IF(BG393=FALSE,"Missing info","Okay"))</f>
        <v/>
      </c>
      <c r="BL393" s="547" t="str">
        <f t="shared" ref="BL393:BL456" si="195">IF(LEN(BH393)=0,"",IF(BH393=FALSE,"Missing info","Okay"))</f>
        <v/>
      </c>
    </row>
    <row r="394" spans="1:64" x14ac:dyDescent="0.3">
      <c r="A394" s="133">
        <v>387</v>
      </c>
      <c r="B394" s="294"/>
      <c r="C394" s="313"/>
      <c r="D394" s="292"/>
      <c r="E394" s="284"/>
      <c r="F394" s="284"/>
      <c r="G394" s="295"/>
      <c r="H394" s="296"/>
      <c r="I394" s="297"/>
      <c r="J394" s="292"/>
      <c r="K394" s="284"/>
      <c r="L394" s="284"/>
      <c r="M394" s="295"/>
      <c r="N394" s="296"/>
      <c r="O394" s="296"/>
      <c r="P394" s="284"/>
      <c r="Q394" s="298"/>
      <c r="R394" s="292"/>
      <c r="S394" s="299"/>
      <c r="T394" s="300"/>
      <c r="U394" s="317" t="str">
        <f t="shared" si="169"/>
        <v/>
      </c>
      <c r="V394" s="301"/>
      <c r="W394" s="137" t="str">
        <f t="shared" si="170"/>
        <v/>
      </c>
      <c r="X394" s="589" t="str">
        <f t="shared" si="188"/>
        <v/>
      </c>
      <c r="Y394" s="581"/>
      <c r="Z394" s="251" t="str">
        <f t="shared" si="171"/>
        <v/>
      </c>
      <c r="AA394" s="138" t="str">
        <f t="shared" ref="AA394:AA457" si="196">IF(OR(AM394="Row Not Used",AM394="Controls Only"),"",IFERROR(ROUND(Z394/AH394,2),0))</f>
        <v/>
      </c>
      <c r="AB394" s="243" t="str">
        <f t="shared" si="189"/>
        <v/>
      </c>
      <c r="AC394" s="141" t="str">
        <f t="shared" si="172"/>
        <v/>
      </c>
      <c r="AD394" s="138" t="str">
        <f t="shared" si="190"/>
        <v/>
      </c>
      <c r="AE394" s="243" t="str">
        <f t="shared" si="173"/>
        <v/>
      </c>
      <c r="AF394" s="342" t="str">
        <f>IF(AM394="Row Not Used","",INDEX(SpaceTable[Annual Hours],(MATCH(B394,SpaceTable[Space Name Concatenated Helper],0))))</f>
        <v/>
      </c>
      <c r="AG394" s="205" t="str">
        <f t="shared" si="174"/>
        <v/>
      </c>
      <c r="AH394" s="234" t="str">
        <f t="shared" si="175"/>
        <v/>
      </c>
      <c r="AI394" s="205" t="str">
        <f t="shared" si="176"/>
        <v/>
      </c>
      <c r="AJ394" s="234" t="str">
        <f t="shared" si="177"/>
        <v/>
      </c>
      <c r="AK394" s="144" t="str">
        <f>IF(AM394="Row Not Used","",INDEX(SpaceTable[Row],(MATCH(B394,SpaceTable[Space Name Concatenated Helper],0))))</f>
        <v/>
      </c>
      <c r="AL394" s="238" t="str">
        <f>IF(AM394="Row Not Used","",INDEX(SpaceTable[HVAC Factor],(MATCH(B394,SpaceTable[Space Name Concatenated Helper],0))))</f>
        <v/>
      </c>
      <c r="AM394" s="520" t="str">
        <f t="shared" si="178"/>
        <v>Row Not Used</v>
      </c>
      <c r="AN394" s="512" t="e" cm="1">
        <f t="array" ref="AN394">INDEX(BallastFactorTable[Ballast Factor],MATCH(1,(BallastFactorTable[Fixture Class]=D394)*(BallastFactorTable[Fixture Category]=E394)*(BallastFactorTable[Fixture Sub-category]=F394),0))</f>
        <v>#N/A</v>
      </c>
      <c r="AO394" s="143" t="str">
        <f t="shared" si="191"/>
        <v/>
      </c>
      <c r="AP394" s="501" t="e" cm="1">
        <f t="array" ref="AP394">INDEX(BallastFactorTable[Wattage Range Name],MATCH(1,(BallastFactorTable[Fixture Class]=D394)*(BallastFactorTable[Fixture Category]=E394)*(BallastFactorTable[Fixture Sub-category]=F394),0))</f>
        <v>#N/A</v>
      </c>
      <c r="AQ394" s="515" t="str">
        <f t="shared" ca="1" si="179"/>
        <v>Okay</v>
      </c>
      <c r="AR394" s="512">
        <f t="shared" si="180"/>
        <v>0</v>
      </c>
      <c r="AS394" s="511" t="str">
        <f>IF(OR(Measures!AM394="Row Not Used",Measures!C394="Controls Only",Measures!C394="Decommissioning"),"",_xlfn.CONCAT(P394," ",Q394))</f>
        <v/>
      </c>
      <c r="AT394" s="264" t="str">
        <f t="shared" si="181"/>
        <v>None</v>
      </c>
      <c r="AU394" s="229">
        <f>IF(OR(AM394="Row Not Used",AM394="Controls Only"),0,INDEX(IncentiveRateTable[Incentive Rate],MATCH(AT394,IncentiveRateTable[Incentive Name],0)))</f>
        <v>0</v>
      </c>
      <c r="AV394" s="133" t="str">
        <f>IF(OR(AM394="Row Not Used",AM394="Controls Only"),"None",INDEX(IncentiveRateTable[Incentive Unit],MATCH(AT394,IncentiveRateTable[Incentive Name],0)))</f>
        <v>None</v>
      </c>
      <c r="AW394" s="578">
        <f t="shared" si="192"/>
        <v>0</v>
      </c>
      <c r="AX394" s="264" t="str">
        <f t="shared" si="182"/>
        <v>None</v>
      </c>
      <c r="AY394" s="229">
        <f>IF(OR(AM394="Row Not Used",AM394="Fixtures Only",AM394="Decommissioning"),0,INDEX(IncentiveRateTable[Incentive Rate],MATCH(AX394,IncentiveRateTable[Incentive Name],0)))</f>
        <v>0</v>
      </c>
      <c r="AZ394" s="133" t="str">
        <f>IF(OR(AM394="Row Not Used",AM394="Fixtures Only",AM394="Decommissioning"),"None",INDEX(IncentiveRateTable[Incentive Unit],MATCH(AX394,IncentiveRateTable[Incentive Name],0)))</f>
        <v>None</v>
      </c>
      <c r="BA394" s="465">
        <f t="shared" si="183"/>
        <v>0</v>
      </c>
      <c r="BB394" s="264" t="e" cm="1">
        <f t="array" ref="BB394">INDEX(BallastFactorTable[Commercial BPA Reference Number],MATCH(1,(BallastFactorTable[Fixture Class]=J394)*(BallastFactorTable[Fixture Category]=K394)*(BallastFactorTable[Fixture Sub-category]=L394),0))</f>
        <v>#N/A</v>
      </c>
      <c r="BC394" s="133" t="e" cm="1">
        <f t="array" ref="BC394">INDEX(BallastFactorTable[Industrial BPA Reference Number],MATCH(1,(BallastFactorTable[Fixture Class]=J394)*(BallastFactorTable[Fixture Category]=K394)*(BallastFactorTable[Fixture Sub-category]=L394),0))</f>
        <v>#N/A</v>
      </c>
      <c r="BD394" s="264" t="str">
        <f t="shared" si="184"/>
        <v>Sector is blank</v>
      </c>
      <c r="BE394" s="269" t="str">
        <f>IF(ISBLANK(SectorField),"Sector is blank",IF(AM394="Row Not Used","",IF(OR(R394="No Controls",ISBLANK(R394)),"",INDEX(ControlsBPARefNoTable[Reference Number],MATCH(SectorField,ControlsBPARefNoTable[Sector],0)))))</f>
        <v>Sector is blank</v>
      </c>
      <c r="BF394" s="530" t="str">
        <f t="shared" si="185"/>
        <v/>
      </c>
      <c r="BG394" s="132" t="str">
        <f t="shared" si="186"/>
        <v/>
      </c>
      <c r="BH394" s="531" t="str">
        <f t="shared" si="187"/>
        <v/>
      </c>
      <c r="BI394" s="532"/>
      <c r="BJ394" s="538" t="str">
        <f t="shared" si="193"/>
        <v/>
      </c>
      <c r="BK394" s="539" t="str">
        <f t="shared" si="194"/>
        <v/>
      </c>
      <c r="BL394" s="547" t="str">
        <f t="shared" si="195"/>
        <v/>
      </c>
    </row>
    <row r="395" spans="1:64" x14ac:dyDescent="0.3">
      <c r="A395" s="133">
        <v>388</v>
      </c>
      <c r="B395" s="294"/>
      <c r="C395" s="313"/>
      <c r="D395" s="292"/>
      <c r="E395" s="284"/>
      <c r="F395" s="284"/>
      <c r="G395" s="295"/>
      <c r="H395" s="296"/>
      <c r="I395" s="297"/>
      <c r="J395" s="292"/>
      <c r="K395" s="284"/>
      <c r="L395" s="284"/>
      <c r="M395" s="295"/>
      <c r="N395" s="296"/>
      <c r="O395" s="296"/>
      <c r="P395" s="284"/>
      <c r="Q395" s="298"/>
      <c r="R395" s="292"/>
      <c r="S395" s="299"/>
      <c r="T395" s="300"/>
      <c r="U395" s="317" t="str">
        <f t="shared" si="169"/>
        <v/>
      </c>
      <c r="V395" s="301"/>
      <c r="W395" s="136" t="str">
        <f t="shared" si="170"/>
        <v/>
      </c>
      <c r="X395" s="588" t="str">
        <f t="shared" si="188"/>
        <v/>
      </c>
      <c r="Y395" s="580"/>
      <c r="Z395" s="251" t="str">
        <f t="shared" si="171"/>
        <v/>
      </c>
      <c r="AA395" s="138" t="str">
        <f t="shared" si="196"/>
        <v/>
      </c>
      <c r="AB395" s="243" t="str">
        <f t="shared" si="189"/>
        <v/>
      </c>
      <c r="AC395" s="141" t="str">
        <f t="shared" si="172"/>
        <v/>
      </c>
      <c r="AD395" s="138" t="str">
        <f t="shared" si="190"/>
        <v/>
      </c>
      <c r="AE395" s="243" t="str">
        <f t="shared" si="173"/>
        <v/>
      </c>
      <c r="AF395" s="342" t="str">
        <f>IF(AM395="Row Not Used","",INDEX(SpaceTable[Annual Hours],(MATCH(B395,SpaceTable[Space Name Concatenated Helper],0))))</f>
        <v/>
      </c>
      <c r="AG395" s="205" t="str">
        <f t="shared" si="174"/>
        <v/>
      </c>
      <c r="AH395" s="234" t="str">
        <f t="shared" si="175"/>
        <v/>
      </c>
      <c r="AI395" s="205" t="str">
        <f t="shared" si="176"/>
        <v/>
      </c>
      <c r="AJ395" s="234" t="str">
        <f t="shared" si="177"/>
        <v/>
      </c>
      <c r="AK395" s="144" t="str">
        <f>IF(AM395="Row Not Used","",INDEX(SpaceTable[Row],(MATCH(B395,SpaceTable[Space Name Concatenated Helper],0))))</f>
        <v/>
      </c>
      <c r="AL395" s="238" t="str">
        <f>IF(AM395="Row Not Used","",INDEX(SpaceTable[HVAC Factor],(MATCH(B395,SpaceTable[Space Name Concatenated Helper],0))))</f>
        <v/>
      </c>
      <c r="AM395" s="520" t="str">
        <f t="shared" si="178"/>
        <v>Row Not Used</v>
      </c>
      <c r="AN395" s="512" t="e" cm="1">
        <f t="array" ref="AN395">INDEX(BallastFactorTable[Ballast Factor],MATCH(1,(BallastFactorTable[Fixture Class]=D395)*(BallastFactorTable[Fixture Category]=E395)*(BallastFactorTable[Fixture Sub-category]=F395),0))</f>
        <v>#N/A</v>
      </c>
      <c r="AO395" s="143" t="str">
        <f t="shared" si="191"/>
        <v/>
      </c>
      <c r="AP395" s="501" t="e" cm="1">
        <f t="array" ref="AP395">INDEX(BallastFactorTable[Wattage Range Name],MATCH(1,(BallastFactorTable[Fixture Class]=D395)*(BallastFactorTable[Fixture Category]=E395)*(BallastFactorTable[Fixture Sub-category]=F395),0))</f>
        <v>#N/A</v>
      </c>
      <c r="AQ395" s="515" t="str">
        <f t="shared" ca="1" si="179"/>
        <v>Okay</v>
      </c>
      <c r="AR395" s="512">
        <f t="shared" si="180"/>
        <v>0</v>
      </c>
      <c r="AS395" s="511" t="str">
        <f>IF(OR(Measures!AM395="Row Not Used",Measures!C395="Controls Only",Measures!C395="Decommissioning"),"",_xlfn.CONCAT(P395," ",Q395))</f>
        <v/>
      </c>
      <c r="AT395" s="264" t="str">
        <f t="shared" si="181"/>
        <v>None</v>
      </c>
      <c r="AU395" s="229">
        <f>IF(OR(AM395="Row Not Used",AM395="Controls Only"),0,INDEX(IncentiveRateTable[Incentive Rate],MATCH(AT395,IncentiveRateTable[Incentive Name],0)))</f>
        <v>0</v>
      </c>
      <c r="AV395" s="133" t="str">
        <f>IF(OR(AM395="Row Not Used",AM395="Controls Only"),"None",INDEX(IncentiveRateTable[Incentive Unit],MATCH(AT395,IncentiveRateTable[Incentive Name],0)))</f>
        <v>None</v>
      </c>
      <c r="AW395" s="578">
        <f t="shared" si="192"/>
        <v>0</v>
      </c>
      <c r="AX395" s="264" t="str">
        <f t="shared" si="182"/>
        <v>None</v>
      </c>
      <c r="AY395" s="229">
        <f>IF(OR(AM395="Row Not Used",AM395="Fixtures Only",AM395="Decommissioning"),0,INDEX(IncentiveRateTable[Incentive Rate],MATCH(AX395,IncentiveRateTable[Incentive Name],0)))</f>
        <v>0</v>
      </c>
      <c r="AZ395" s="133" t="str">
        <f>IF(OR(AM395="Row Not Used",AM395="Fixtures Only",AM395="Decommissioning"),"None",INDEX(IncentiveRateTable[Incentive Unit],MATCH(AX395,IncentiveRateTable[Incentive Name],0)))</f>
        <v>None</v>
      </c>
      <c r="BA395" s="465">
        <f t="shared" si="183"/>
        <v>0</v>
      </c>
      <c r="BB395" s="264" t="e" cm="1">
        <f t="array" ref="BB395">INDEX(BallastFactorTable[Commercial BPA Reference Number],MATCH(1,(BallastFactorTable[Fixture Class]=J395)*(BallastFactorTable[Fixture Category]=K395)*(BallastFactorTable[Fixture Sub-category]=L395),0))</f>
        <v>#N/A</v>
      </c>
      <c r="BC395" s="133" t="e" cm="1">
        <f t="array" ref="BC395">INDEX(BallastFactorTable[Industrial BPA Reference Number],MATCH(1,(BallastFactorTable[Fixture Class]=J395)*(BallastFactorTable[Fixture Category]=K395)*(BallastFactorTable[Fixture Sub-category]=L395),0))</f>
        <v>#N/A</v>
      </c>
      <c r="BD395" s="264" t="str">
        <f t="shared" si="184"/>
        <v>Sector is blank</v>
      </c>
      <c r="BE395" s="269" t="str">
        <f>IF(ISBLANK(SectorField),"Sector is blank",IF(AM395="Row Not Used","",IF(OR(R395="No Controls",ISBLANK(R395)),"",INDEX(ControlsBPARefNoTable[Reference Number],MATCH(SectorField,ControlsBPARefNoTable[Sector],0)))))</f>
        <v>Sector is blank</v>
      </c>
      <c r="BF395" s="530" t="str">
        <f t="shared" si="185"/>
        <v/>
      </c>
      <c r="BG395" s="132" t="str">
        <f t="shared" si="186"/>
        <v/>
      </c>
      <c r="BH395" s="531" t="str">
        <f t="shared" si="187"/>
        <v/>
      </c>
      <c r="BI395" s="532"/>
      <c r="BJ395" s="538" t="str">
        <f t="shared" si="193"/>
        <v/>
      </c>
      <c r="BK395" s="539" t="str">
        <f t="shared" si="194"/>
        <v/>
      </c>
      <c r="BL395" s="547" t="str">
        <f t="shared" si="195"/>
        <v/>
      </c>
    </row>
    <row r="396" spans="1:64" x14ac:dyDescent="0.3">
      <c r="A396" s="133">
        <v>389</v>
      </c>
      <c r="B396" s="294"/>
      <c r="C396" s="313"/>
      <c r="D396" s="292"/>
      <c r="E396" s="284"/>
      <c r="F396" s="284"/>
      <c r="G396" s="295"/>
      <c r="H396" s="296"/>
      <c r="I396" s="297"/>
      <c r="J396" s="292"/>
      <c r="K396" s="284"/>
      <c r="L396" s="284"/>
      <c r="M396" s="295"/>
      <c r="N396" s="296"/>
      <c r="O396" s="296"/>
      <c r="P396" s="284"/>
      <c r="Q396" s="298"/>
      <c r="R396" s="292"/>
      <c r="S396" s="299"/>
      <c r="T396" s="300"/>
      <c r="U396" s="317" t="str">
        <f t="shared" si="169"/>
        <v/>
      </c>
      <c r="V396" s="301"/>
      <c r="W396" s="137" t="str">
        <f t="shared" si="170"/>
        <v/>
      </c>
      <c r="X396" s="589" t="str">
        <f t="shared" si="188"/>
        <v/>
      </c>
      <c r="Y396" s="581"/>
      <c r="Z396" s="251" t="str">
        <f t="shared" si="171"/>
        <v/>
      </c>
      <c r="AA396" s="138" t="str">
        <f t="shared" si="196"/>
        <v/>
      </c>
      <c r="AB396" s="243" t="str">
        <f t="shared" si="189"/>
        <v/>
      </c>
      <c r="AC396" s="141" t="str">
        <f t="shared" si="172"/>
        <v/>
      </c>
      <c r="AD396" s="138" t="str">
        <f t="shared" si="190"/>
        <v/>
      </c>
      <c r="AE396" s="243" t="str">
        <f t="shared" si="173"/>
        <v/>
      </c>
      <c r="AF396" s="342" t="str">
        <f>IF(AM396="Row Not Used","",INDEX(SpaceTable[Annual Hours],(MATCH(B396,SpaceTable[Space Name Concatenated Helper],0))))</f>
        <v/>
      </c>
      <c r="AG396" s="205" t="str">
        <f t="shared" si="174"/>
        <v/>
      </c>
      <c r="AH396" s="234" t="str">
        <f t="shared" si="175"/>
        <v/>
      </c>
      <c r="AI396" s="205" t="str">
        <f t="shared" si="176"/>
        <v/>
      </c>
      <c r="AJ396" s="234" t="str">
        <f t="shared" si="177"/>
        <v/>
      </c>
      <c r="AK396" s="144" t="str">
        <f>IF(AM396="Row Not Used","",INDEX(SpaceTable[Row],(MATCH(B396,SpaceTable[Space Name Concatenated Helper],0))))</f>
        <v/>
      </c>
      <c r="AL396" s="238" t="str">
        <f>IF(AM396="Row Not Used","",INDEX(SpaceTable[HVAC Factor],(MATCH(B396,SpaceTable[Space Name Concatenated Helper],0))))</f>
        <v/>
      </c>
      <c r="AM396" s="520" t="str">
        <f t="shared" si="178"/>
        <v>Row Not Used</v>
      </c>
      <c r="AN396" s="512" t="e" cm="1">
        <f t="array" ref="AN396">INDEX(BallastFactorTable[Ballast Factor],MATCH(1,(BallastFactorTable[Fixture Class]=D396)*(BallastFactorTable[Fixture Category]=E396)*(BallastFactorTable[Fixture Sub-category]=F396),0))</f>
        <v>#N/A</v>
      </c>
      <c r="AO396" s="143" t="str">
        <f t="shared" si="191"/>
        <v/>
      </c>
      <c r="AP396" s="501" t="e" cm="1">
        <f t="array" ref="AP396">INDEX(BallastFactorTable[Wattage Range Name],MATCH(1,(BallastFactorTable[Fixture Class]=D396)*(BallastFactorTable[Fixture Category]=E396)*(BallastFactorTable[Fixture Sub-category]=F396),0))</f>
        <v>#N/A</v>
      </c>
      <c r="AQ396" s="515" t="str">
        <f t="shared" ca="1" si="179"/>
        <v>Okay</v>
      </c>
      <c r="AR396" s="512">
        <f t="shared" si="180"/>
        <v>0</v>
      </c>
      <c r="AS396" s="511" t="str">
        <f>IF(OR(Measures!AM396="Row Not Used",Measures!C396="Controls Only",Measures!C396="Decommissioning"),"",_xlfn.CONCAT(P396," ",Q396))</f>
        <v/>
      </c>
      <c r="AT396" s="264" t="str">
        <f t="shared" si="181"/>
        <v>None</v>
      </c>
      <c r="AU396" s="229">
        <f>IF(OR(AM396="Row Not Used",AM396="Controls Only"),0,INDEX(IncentiveRateTable[Incentive Rate],MATCH(AT396,IncentiveRateTable[Incentive Name],0)))</f>
        <v>0</v>
      </c>
      <c r="AV396" s="133" t="str">
        <f>IF(OR(AM396="Row Not Used",AM396="Controls Only"),"None",INDEX(IncentiveRateTable[Incentive Unit],MATCH(AT396,IncentiveRateTable[Incentive Name],0)))</f>
        <v>None</v>
      </c>
      <c r="AW396" s="578">
        <f t="shared" si="192"/>
        <v>0</v>
      </c>
      <c r="AX396" s="264" t="str">
        <f t="shared" si="182"/>
        <v>None</v>
      </c>
      <c r="AY396" s="229">
        <f>IF(OR(AM396="Row Not Used",AM396="Fixtures Only",AM396="Decommissioning"),0,INDEX(IncentiveRateTable[Incentive Rate],MATCH(AX396,IncentiveRateTable[Incentive Name],0)))</f>
        <v>0</v>
      </c>
      <c r="AZ396" s="133" t="str">
        <f>IF(OR(AM396="Row Not Used",AM396="Fixtures Only",AM396="Decommissioning"),"None",INDEX(IncentiveRateTable[Incentive Unit],MATCH(AX396,IncentiveRateTable[Incentive Name],0)))</f>
        <v>None</v>
      </c>
      <c r="BA396" s="465">
        <f t="shared" si="183"/>
        <v>0</v>
      </c>
      <c r="BB396" s="264" t="e" cm="1">
        <f t="array" ref="BB396">INDEX(BallastFactorTable[Commercial BPA Reference Number],MATCH(1,(BallastFactorTable[Fixture Class]=J396)*(BallastFactorTable[Fixture Category]=K396)*(BallastFactorTable[Fixture Sub-category]=L396),0))</f>
        <v>#N/A</v>
      </c>
      <c r="BC396" s="133" t="e" cm="1">
        <f t="array" ref="BC396">INDEX(BallastFactorTable[Industrial BPA Reference Number],MATCH(1,(BallastFactorTable[Fixture Class]=J396)*(BallastFactorTable[Fixture Category]=K396)*(BallastFactorTable[Fixture Sub-category]=L396),0))</f>
        <v>#N/A</v>
      </c>
      <c r="BD396" s="264" t="str">
        <f t="shared" si="184"/>
        <v>Sector is blank</v>
      </c>
      <c r="BE396" s="269" t="str">
        <f>IF(ISBLANK(SectorField),"Sector is blank",IF(AM396="Row Not Used","",IF(OR(R396="No Controls",ISBLANK(R396)),"",INDEX(ControlsBPARefNoTable[Reference Number],MATCH(SectorField,ControlsBPARefNoTable[Sector],0)))))</f>
        <v>Sector is blank</v>
      </c>
      <c r="BF396" s="530" t="str">
        <f t="shared" si="185"/>
        <v/>
      </c>
      <c r="BG396" s="132" t="str">
        <f t="shared" si="186"/>
        <v/>
      </c>
      <c r="BH396" s="531" t="str">
        <f t="shared" si="187"/>
        <v/>
      </c>
      <c r="BI396" s="532"/>
      <c r="BJ396" s="538" t="str">
        <f t="shared" si="193"/>
        <v/>
      </c>
      <c r="BK396" s="539" t="str">
        <f t="shared" si="194"/>
        <v/>
      </c>
      <c r="BL396" s="547" t="str">
        <f t="shared" si="195"/>
        <v/>
      </c>
    </row>
    <row r="397" spans="1:64" x14ac:dyDescent="0.3">
      <c r="A397" s="133">
        <v>390</v>
      </c>
      <c r="B397" s="294"/>
      <c r="C397" s="313"/>
      <c r="D397" s="292"/>
      <c r="E397" s="284"/>
      <c r="F397" s="284"/>
      <c r="G397" s="295"/>
      <c r="H397" s="296"/>
      <c r="I397" s="297"/>
      <c r="J397" s="292"/>
      <c r="K397" s="284"/>
      <c r="L397" s="284"/>
      <c r="M397" s="295"/>
      <c r="N397" s="296"/>
      <c r="O397" s="296"/>
      <c r="P397" s="284"/>
      <c r="Q397" s="298"/>
      <c r="R397" s="292"/>
      <c r="S397" s="299"/>
      <c r="T397" s="300"/>
      <c r="U397" s="317" t="str">
        <f t="shared" si="169"/>
        <v/>
      </c>
      <c r="V397" s="301"/>
      <c r="W397" s="136" t="str">
        <f t="shared" si="170"/>
        <v/>
      </c>
      <c r="X397" s="588" t="str">
        <f t="shared" si="188"/>
        <v/>
      </c>
      <c r="Y397" s="580"/>
      <c r="Z397" s="251" t="str">
        <f t="shared" si="171"/>
        <v/>
      </c>
      <c r="AA397" s="138" t="str">
        <f t="shared" si="196"/>
        <v/>
      </c>
      <c r="AB397" s="243" t="str">
        <f t="shared" si="189"/>
        <v/>
      </c>
      <c r="AC397" s="141" t="str">
        <f t="shared" si="172"/>
        <v/>
      </c>
      <c r="AD397" s="138" t="str">
        <f t="shared" si="190"/>
        <v/>
      </c>
      <c r="AE397" s="243" t="str">
        <f t="shared" si="173"/>
        <v/>
      </c>
      <c r="AF397" s="342" t="str">
        <f>IF(AM397="Row Not Used","",INDEX(SpaceTable[Annual Hours],(MATCH(B397,SpaceTable[Space Name Concatenated Helper],0))))</f>
        <v/>
      </c>
      <c r="AG397" s="205" t="str">
        <f t="shared" si="174"/>
        <v/>
      </c>
      <c r="AH397" s="234" t="str">
        <f t="shared" si="175"/>
        <v/>
      </c>
      <c r="AI397" s="205" t="str">
        <f t="shared" si="176"/>
        <v/>
      </c>
      <c r="AJ397" s="234" t="str">
        <f t="shared" si="177"/>
        <v/>
      </c>
      <c r="AK397" s="144" t="str">
        <f>IF(AM397="Row Not Used","",INDEX(SpaceTable[Row],(MATCH(B397,SpaceTable[Space Name Concatenated Helper],0))))</f>
        <v/>
      </c>
      <c r="AL397" s="238" t="str">
        <f>IF(AM397="Row Not Used","",INDEX(SpaceTable[HVAC Factor],(MATCH(B397,SpaceTable[Space Name Concatenated Helper],0))))</f>
        <v/>
      </c>
      <c r="AM397" s="520" t="str">
        <f t="shared" si="178"/>
        <v>Row Not Used</v>
      </c>
      <c r="AN397" s="512" t="e" cm="1">
        <f t="array" ref="AN397">INDEX(BallastFactorTable[Ballast Factor],MATCH(1,(BallastFactorTable[Fixture Class]=D397)*(BallastFactorTable[Fixture Category]=E397)*(BallastFactorTable[Fixture Sub-category]=F397),0))</f>
        <v>#N/A</v>
      </c>
      <c r="AO397" s="143" t="str">
        <f t="shared" si="191"/>
        <v/>
      </c>
      <c r="AP397" s="501" t="e" cm="1">
        <f t="array" ref="AP397">INDEX(BallastFactorTable[Wattage Range Name],MATCH(1,(BallastFactorTable[Fixture Class]=D397)*(BallastFactorTable[Fixture Category]=E397)*(BallastFactorTable[Fixture Sub-category]=F397),0))</f>
        <v>#N/A</v>
      </c>
      <c r="AQ397" s="515" t="str">
        <f t="shared" ca="1" si="179"/>
        <v>Okay</v>
      </c>
      <c r="AR397" s="512">
        <f t="shared" si="180"/>
        <v>0</v>
      </c>
      <c r="AS397" s="511" t="str">
        <f>IF(OR(Measures!AM397="Row Not Used",Measures!C397="Controls Only",Measures!C397="Decommissioning"),"",_xlfn.CONCAT(P397," ",Q397))</f>
        <v/>
      </c>
      <c r="AT397" s="264" t="str">
        <f t="shared" si="181"/>
        <v>None</v>
      </c>
      <c r="AU397" s="229">
        <f>IF(OR(AM397="Row Not Used",AM397="Controls Only"),0,INDEX(IncentiveRateTable[Incentive Rate],MATCH(AT397,IncentiveRateTable[Incentive Name],0)))</f>
        <v>0</v>
      </c>
      <c r="AV397" s="133" t="str">
        <f>IF(OR(AM397="Row Not Used",AM397="Controls Only"),"None",INDEX(IncentiveRateTable[Incentive Unit],MATCH(AT397,IncentiveRateTable[Incentive Name],0)))</f>
        <v>None</v>
      </c>
      <c r="AW397" s="578">
        <f t="shared" si="192"/>
        <v>0</v>
      </c>
      <c r="AX397" s="264" t="str">
        <f t="shared" si="182"/>
        <v>None</v>
      </c>
      <c r="AY397" s="229">
        <f>IF(OR(AM397="Row Not Used",AM397="Fixtures Only",AM397="Decommissioning"),0,INDEX(IncentiveRateTable[Incentive Rate],MATCH(AX397,IncentiveRateTable[Incentive Name],0)))</f>
        <v>0</v>
      </c>
      <c r="AZ397" s="133" t="str">
        <f>IF(OR(AM397="Row Not Used",AM397="Fixtures Only",AM397="Decommissioning"),"None",INDEX(IncentiveRateTable[Incentive Unit],MATCH(AX397,IncentiveRateTable[Incentive Name],0)))</f>
        <v>None</v>
      </c>
      <c r="BA397" s="465">
        <f t="shared" si="183"/>
        <v>0</v>
      </c>
      <c r="BB397" s="264" t="e" cm="1">
        <f t="array" ref="BB397">INDEX(BallastFactorTable[Commercial BPA Reference Number],MATCH(1,(BallastFactorTable[Fixture Class]=J397)*(BallastFactorTable[Fixture Category]=K397)*(BallastFactorTable[Fixture Sub-category]=L397),0))</f>
        <v>#N/A</v>
      </c>
      <c r="BC397" s="133" t="e" cm="1">
        <f t="array" ref="BC397">INDEX(BallastFactorTable[Industrial BPA Reference Number],MATCH(1,(BallastFactorTable[Fixture Class]=J397)*(BallastFactorTable[Fixture Category]=K397)*(BallastFactorTable[Fixture Sub-category]=L397),0))</f>
        <v>#N/A</v>
      </c>
      <c r="BD397" s="264" t="str">
        <f t="shared" si="184"/>
        <v>Sector is blank</v>
      </c>
      <c r="BE397" s="269" t="str">
        <f>IF(ISBLANK(SectorField),"Sector is blank",IF(AM397="Row Not Used","",IF(OR(R397="No Controls",ISBLANK(R397)),"",INDEX(ControlsBPARefNoTable[Reference Number],MATCH(SectorField,ControlsBPARefNoTable[Sector],0)))))</f>
        <v>Sector is blank</v>
      </c>
      <c r="BF397" s="530" t="str">
        <f t="shared" si="185"/>
        <v/>
      </c>
      <c r="BG397" s="132" t="str">
        <f t="shared" si="186"/>
        <v/>
      </c>
      <c r="BH397" s="531" t="str">
        <f t="shared" si="187"/>
        <v/>
      </c>
      <c r="BI397" s="532"/>
      <c r="BJ397" s="538" t="str">
        <f t="shared" si="193"/>
        <v/>
      </c>
      <c r="BK397" s="539" t="str">
        <f t="shared" si="194"/>
        <v/>
      </c>
      <c r="BL397" s="547" t="str">
        <f t="shared" si="195"/>
        <v/>
      </c>
    </row>
    <row r="398" spans="1:64" x14ac:dyDescent="0.3">
      <c r="A398" s="133">
        <v>391</v>
      </c>
      <c r="B398" s="294"/>
      <c r="C398" s="313"/>
      <c r="D398" s="292"/>
      <c r="E398" s="284"/>
      <c r="F398" s="284"/>
      <c r="G398" s="295"/>
      <c r="H398" s="296"/>
      <c r="I398" s="297"/>
      <c r="J398" s="292"/>
      <c r="K398" s="284"/>
      <c r="L398" s="284"/>
      <c r="M398" s="295"/>
      <c r="N398" s="296"/>
      <c r="O398" s="296"/>
      <c r="P398" s="284"/>
      <c r="Q398" s="298"/>
      <c r="R398" s="292"/>
      <c r="S398" s="299"/>
      <c r="T398" s="300"/>
      <c r="U398" s="317" t="str">
        <f t="shared" si="169"/>
        <v/>
      </c>
      <c r="V398" s="301"/>
      <c r="W398" s="137" t="str">
        <f t="shared" si="170"/>
        <v/>
      </c>
      <c r="X398" s="589" t="str">
        <f t="shared" si="188"/>
        <v/>
      </c>
      <c r="Y398" s="581"/>
      <c r="Z398" s="251" t="str">
        <f t="shared" si="171"/>
        <v/>
      </c>
      <c r="AA398" s="138" t="str">
        <f t="shared" si="196"/>
        <v/>
      </c>
      <c r="AB398" s="243" t="str">
        <f t="shared" si="189"/>
        <v/>
      </c>
      <c r="AC398" s="141" t="str">
        <f t="shared" si="172"/>
        <v/>
      </c>
      <c r="AD398" s="138" t="str">
        <f t="shared" si="190"/>
        <v/>
      </c>
      <c r="AE398" s="243" t="str">
        <f t="shared" si="173"/>
        <v/>
      </c>
      <c r="AF398" s="342" t="str">
        <f>IF(AM398="Row Not Used","",INDEX(SpaceTable[Annual Hours],(MATCH(B398,SpaceTable[Space Name Concatenated Helper],0))))</f>
        <v/>
      </c>
      <c r="AG398" s="205" t="str">
        <f t="shared" si="174"/>
        <v/>
      </c>
      <c r="AH398" s="234" t="str">
        <f t="shared" si="175"/>
        <v/>
      </c>
      <c r="AI398" s="205" t="str">
        <f t="shared" si="176"/>
        <v/>
      </c>
      <c r="AJ398" s="234" t="str">
        <f t="shared" si="177"/>
        <v/>
      </c>
      <c r="AK398" s="144" t="str">
        <f>IF(AM398="Row Not Used","",INDEX(SpaceTable[Row],(MATCH(B398,SpaceTable[Space Name Concatenated Helper],0))))</f>
        <v/>
      </c>
      <c r="AL398" s="238" t="str">
        <f>IF(AM398="Row Not Used","",INDEX(SpaceTable[HVAC Factor],(MATCH(B398,SpaceTable[Space Name Concatenated Helper],0))))</f>
        <v/>
      </c>
      <c r="AM398" s="520" t="str">
        <f t="shared" si="178"/>
        <v>Row Not Used</v>
      </c>
      <c r="AN398" s="512" t="e" cm="1">
        <f t="array" ref="AN398">INDEX(BallastFactorTable[Ballast Factor],MATCH(1,(BallastFactorTable[Fixture Class]=D398)*(BallastFactorTable[Fixture Category]=E398)*(BallastFactorTable[Fixture Sub-category]=F398),0))</f>
        <v>#N/A</v>
      </c>
      <c r="AO398" s="143" t="str">
        <f t="shared" si="191"/>
        <v/>
      </c>
      <c r="AP398" s="501" t="e" cm="1">
        <f t="array" ref="AP398">INDEX(BallastFactorTable[Wattage Range Name],MATCH(1,(BallastFactorTable[Fixture Class]=D398)*(BallastFactorTable[Fixture Category]=E398)*(BallastFactorTable[Fixture Sub-category]=F398),0))</f>
        <v>#N/A</v>
      </c>
      <c r="AQ398" s="515" t="str">
        <f t="shared" ca="1" si="179"/>
        <v>Okay</v>
      </c>
      <c r="AR398" s="512">
        <f t="shared" si="180"/>
        <v>0</v>
      </c>
      <c r="AS398" s="511" t="str">
        <f>IF(OR(Measures!AM398="Row Not Used",Measures!C398="Controls Only",Measures!C398="Decommissioning"),"",_xlfn.CONCAT(P398," ",Q398))</f>
        <v/>
      </c>
      <c r="AT398" s="264" t="str">
        <f t="shared" si="181"/>
        <v>None</v>
      </c>
      <c r="AU398" s="229">
        <f>IF(OR(AM398="Row Not Used",AM398="Controls Only"),0,INDEX(IncentiveRateTable[Incentive Rate],MATCH(AT398,IncentiveRateTable[Incentive Name],0)))</f>
        <v>0</v>
      </c>
      <c r="AV398" s="133" t="str">
        <f>IF(OR(AM398="Row Not Used",AM398="Controls Only"),"None",INDEX(IncentiveRateTable[Incentive Unit],MATCH(AT398,IncentiveRateTable[Incentive Name],0)))</f>
        <v>None</v>
      </c>
      <c r="AW398" s="578">
        <f t="shared" si="192"/>
        <v>0</v>
      </c>
      <c r="AX398" s="264" t="str">
        <f t="shared" si="182"/>
        <v>None</v>
      </c>
      <c r="AY398" s="229">
        <f>IF(OR(AM398="Row Not Used",AM398="Fixtures Only",AM398="Decommissioning"),0,INDEX(IncentiveRateTable[Incentive Rate],MATCH(AX398,IncentiveRateTable[Incentive Name],0)))</f>
        <v>0</v>
      </c>
      <c r="AZ398" s="133" t="str">
        <f>IF(OR(AM398="Row Not Used",AM398="Fixtures Only",AM398="Decommissioning"),"None",INDEX(IncentiveRateTable[Incentive Unit],MATCH(AX398,IncentiveRateTable[Incentive Name],0)))</f>
        <v>None</v>
      </c>
      <c r="BA398" s="465">
        <f t="shared" si="183"/>
        <v>0</v>
      </c>
      <c r="BB398" s="264" t="e" cm="1">
        <f t="array" ref="BB398">INDEX(BallastFactorTable[Commercial BPA Reference Number],MATCH(1,(BallastFactorTable[Fixture Class]=J398)*(BallastFactorTable[Fixture Category]=K398)*(BallastFactorTable[Fixture Sub-category]=L398),0))</f>
        <v>#N/A</v>
      </c>
      <c r="BC398" s="133" t="e" cm="1">
        <f t="array" ref="BC398">INDEX(BallastFactorTable[Industrial BPA Reference Number],MATCH(1,(BallastFactorTable[Fixture Class]=J398)*(BallastFactorTable[Fixture Category]=K398)*(BallastFactorTable[Fixture Sub-category]=L398),0))</f>
        <v>#N/A</v>
      </c>
      <c r="BD398" s="264" t="str">
        <f t="shared" si="184"/>
        <v>Sector is blank</v>
      </c>
      <c r="BE398" s="269" t="str">
        <f>IF(ISBLANK(SectorField),"Sector is blank",IF(AM398="Row Not Used","",IF(OR(R398="No Controls",ISBLANK(R398)),"",INDEX(ControlsBPARefNoTable[Reference Number],MATCH(SectorField,ControlsBPARefNoTable[Sector],0)))))</f>
        <v>Sector is blank</v>
      </c>
      <c r="BF398" s="530" t="str">
        <f t="shared" si="185"/>
        <v/>
      </c>
      <c r="BG398" s="132" t="str">
        <f t="shared" si="186"/>
        <v/>
      </c>
      <c r="BH398" s="531" t="str">
        <f t="shared" si="187"/>
        <v/>
      </c>
      <c r="BI398" s="532"/>
      <c r="BJ398" s="538" t="str">
        <f t="shared" si="193"/>
        <v/>
      </c>
      <c r="BK398" s="539" t="str">
        <f t="shared" si="194"/>
        <v/>
      </c>
      <c r="BL398" s="547" t="str">
        <f t="shared" si="195"/>
        <v/>
      </c>
    </row>
    <row r="399" spans="1:64" x14ac:dyDescent="0.3">
      <c r="A399" s="133">
        <v>392</v>
      </c>
      <c r="B399" s="294"/>
      <c r="C399" s="313"/>
      <c r="D399" s="292"/>
      <c r="E399" s="284"/>
      <c r="F399" s="284"/>
      <c r="G399" s="295"/>
      <c r="H399" s="296"/>
      <c r="I399" s="297"/>
      <c r="J399" s="292"/>
      <c r="K399" s="284"/>
      <c r="L399" s="284"/>
      <c r="M399" s="295"/>
      <c r="N399" s="296"/>
      <c r="O399" s="296"/>
      <c r="P399" s="284"/>
      <c r="Q399" s="298"/>
      <c r="R399" s="292"/>
      <c r="S399" s="299"/>
      <c r="T399" s="300"/>
      <c r="U399" s="317" t="str">
        <f t="shared" si="169"/>
        <v/>
      </c>
      <c r="V399" s="301"/>
      <c r="W399" s="136" t="str">
        <f t="shared" si="170"/>
        <v/>
      </c>
      <c r="X399" s="588" t="str">
        <f t="shared" si="188"/>
        <v/>
      </c>
      <c r="Y399" s="580"/>
      <c r="Z399" s="251" t="str">
        <f t="shared" si="171"/>
        <v/>
      </c>
      <c r="AA399" s="138" t="str">
        <f t="shared" si="196"/>
        <v/>
      </c>
      <c r="AB399" s="243" t="str">
        <f t="shared" si="189"/>
        <v/>
      </c>
      <c r="AC399" s="141" t="str">
        <f t="shared" si="172"/>
        <v/>
      </c>
      <c r="AD399" s="138" t="str">
        <f t="shared" si="190"/>
        <v/>
      </c>
      <c r="AE399" s="243" t="str">
        <f t="shared" si="173"/>
        <v/>
      </c>
      <c r="AF399" s="342" t="str">
        <f>IF(AM399="Row Not Used","",INDEX(SpaceTable[Annual Hours],(MATCH(B399,SpaceTable[Space Name Concatenated Helper],0))))</f>
        <v/>
      </c>
      <c r="AG399" s="205" t="str">
        <f t="shared" si="174"/>
        <v/>
      </c>
      <c r="AH399" s="234" t="str">
        <f t="shared" si="175"/>
        <v/>
      </c>
      <c r="AI399" s="205" t="str">
        <f t="shared" si="176"/>
        <v/>
      </c>
      <c r="AJ399" s="234" t="str">
        <f t="shared" si="177"/>
        <v/>
      </c>
      <c r="AK399" s="144" t="str">
        <f>IF(AM399="Row Not Used","",INDEX(SpaceTable[Row],(MATCH(B399,SpaceTable[Space Name Concatenated Helper],0))))</f>
        <v/>
      </c>
      <c r="AL399" s="238" t="str">
        <f>IF(AM399="Row Not Used","",INDEX(SpaceTable[HVAC Factor],(MATCH(B399,SpaceTable[Space Name Concatenated Helper],0))))</f>
        <v/>
      </c>
      <c r="AM399" s="520" t="str">
        <f t="shared" si="178"/>
        <v>Row Not Used</v>
      </c>
      <c r="AN399" s="512" t="e" cm="1">
        <f t="array" ref="AN399">INDEX(BallastFactorTable[Ballast Factor],MATCH(1,(BallastFactorTable[Fixture Class]=D399)*(BallastFactorTable[Fixture Category]=E399)*(BallastFactorTable[Fixture Sub-category]=F399),0))</f>
        <v>#N/A</v>
      </c>
      <c r="AO399" s="143" t="str">
        <f t="shared" si="191"/>
        <v/>
      </c>
      <c r="AP399" s="501" t="e" cm="1">
        <f t="array" ref="AP399">INDEX(BallastFactorTable[Wattage Range Name],MATCH(1,(BallastFactorTable[Fixture Class]=D399)*(BallastFactorTable[Fixture Category]=E399)*(BallastFactorTable[Fixture Sub-category]=F399),0))</f>
        <v>#N/A</v>
      </c>
      <c r="AQ399" s="515" t="str">
        <f t="shared" ca="1" si="179"/>
        <v>Okay</v>
      </c>
      <c r="AR399" s="512">
        <f t="shared" si="180"/>
        <v>0</v>
      </c>
      <c r="AS399" s="511" t="str">
        <f>IF(OR(Measures!AM399="Row Not Used",Measures!C399="Controls Only",Measures!C399="Decommissioning"),"",_xlfn.CONCAT(P399," ",Q399))</f>
        <v/>
      </c>
      <c r="AT399" s="264" t="str">
        <f t="shared" si="181"/>
        <v>None</v>
      </c>
      <c r="AU399" s="229">
        <f>IF(OR(AM399="Row Not Used",AM399="Controls Only"),0,INDEX(IncentiveRateTable[Incentive Rate],MATCH(AT399,IncentiveRateTable[Incentive Name],0)))</f>
        <v>0</v>
      </c>
      <c r="AV399" s="133" t="str">
        <f>IF(OR(AM399="Row Not Used",AM399="Controls Only"),"None",INDEX(IncentiveRateTable[Incentive Unit],MATCH(AT399,IncentiveRateTable[Incentive Name],0)))</f>
        <v>None</v>
      </c>
      <c r="AW399" s="578">
        <f t="shared" si="192"/>
        <v>0</v>
      </c>
      <c r="AX399" s="264" t="str">
        <f t="shared" si="182"/>
        <v>None</v>
      </c>
      <c r="AY399" s="229">
        <f>IF(OR(AM399="Row Not Used",AM399="Fixtures Only",AM399="Decommissioning"),0,INDEX(IncentiveRateTable[Incentive Rate],MATCH(AX399,IncentiveRateTable[Incentive Name],0)))</f>
        <v>0</v>
      </c>
      <c r="AZ399" s="133" t="str">
        <f>IF(OR(AM399="Row Not Used",AM399="Fixtures Only",AM399="Decommissioning"),"None",INDEX(IncentiveRateTable[Incentive Unit],MATCH(AX399,IncentiveRateTable[Incentive Name],0)))</f>
        <v>None</v>
      </c>
      <c r="BA399" s="465">
        <f t="shared" si="183"/>
        <v>0</v>
      </c>
      <c r="BB399" s="264" t="e" cm="1">
        <f t="array" ref="BB399">INDEX(BallastFactorTable[Commercial BPA Reference Number],MATCH(1,(BallastFactorTable[Fixture Class]=J399)*(BallastFactorTable[Fixture Category]=K399)*(BallastFactorTable[Fixture Sub-category]=L399),0))</f>
        <v>#N/A</v>
      </c>
      <c r="BC399" s="133" t="e" cm="1">
        <f t="array" ref="BC399">INDEX(BallastFactorTable[Industrial BPA Reference Number],MATCH(1,(BallastFactorTable[Fixture Class]=J399)*(BallastFactorTable[Fixture Category]=K399)*(BallastFactorTable[Fixture Sub-category]=L399),0))</f>
        <v>#N/A</v>
      </c>
      <c r="BD399" s="264" t="str">
        <f t="shared" si="184"/>
        <v>Sector is blank</v>
      </c>
      <c r="BE399" s="269" t="str">
        <f>IF(ISBLANK(SectorField),"Sector is blank",IF(AM399="Row Not Used","",IF(OR(R399="No Controls",ISBLANK(R399)),"",INDEX(ControlsBPARefNoTable[Reference Number],MATCH(SectorField,ControlsBPARefNoTable[Sector],0)))))</f>
        <v>Sector is blank</v>
      </c>
      <c r="BF399" s="530" t="str">
        <f t="shared" si="185"/>
        <v/>
      </c>
      <c r="BG399" s="132" t="str">
        <f t="shared" si="186"/>
        <v/>
      </c>
      <c r="BH399" s="531" t="str">
        <f t="shared" si="187"/>
        <v/>
      </c>
      <c r="BI399" s="532"/>
      <c r="BJ399" s="538" t="str">
        <f t="shared" si="193"/>
        <v/>
      </c>
      <c r="BK399" s="539" t="str">
        <f t="shared" si="194"/>
        <v/>
      </c>
      <c r="BL399" s="547" t="str">
        <f t="shared" si="195"/>
        <v/>
      </c>
    </row>
    <row r="400" spans="1:64" x14ac:dyDescent="0.3">
      <c r="A400" s="133">
        <v>393</v>
      </c>
      <c r="B400" s="294"/>
      <c r="C400" s="313"/>
      <c r="D400" s="292"/>
      <c r="E400" s="284"/>
      <c r="F400" s="284"/>
      <c r="G400" s="295"/>
      <c r="H400" s="296"/>
      <c r="I400" s="297"/>
      <c r="J400" s="292"/>
      <c r="K400" s="284"/>
      <c r="L400" s="284"/>
      <c r="M400" s="295"/>
      <c r="N400" s="296"/>
      <c r="O400" s="296"/>
      <c r="P400" s="284"/>
      <c r="Q400" s="298"/>
      <c r="R400" s="292"/>
      <c r="S400" s="299"/>
      <c r="T400" s="300"/>
      <c r="U400" s="317" t="str">
        <f t="shared" si="169"/>
        <v/>
      </c>
      <c r="V400" s="301"/>
      <c r="W400" s="137" t="str">
        <f t="shared" si="170"/>
        <v/>
      </c>
      <c r="X400" s="589" t="str">
        <f t="shared" si="188"/>
        <v/>
      </c>
      <c r="Y400" s="581"/>
      <c r="Z400" s="251" t="str">
        <f t="shared" si="171"/>
        <v/>
      </c>
      <c r="AA400" s="138" t="str">
        <f t="shared" si="196"/>
        <v/>
      </c>
      <c r="AB400" s="243" t="str">
        <f t="shared" si="189"/>
        <v/>
      </c>
      <c r="AC400" s="141" t="str">
        <f t="shared" si="172"/>
        <v/>
      </c>
      <c r="AD400" s="138" t="str">
        <f t="shared" si="190"/>
        <v/>
      </c>
      <c r="AE400" s="243" t="str">
        <f t="shared" si="173"/>
        <v/>
      </c>
      <c r="AF400" s="342" t="str">
        <f>IF(AM400="Row Not Used","",INDEX(SpaceTable[Annual Hours],(MATCH(B400,SpaceTable[Space Name Concatenated Helper],0))))</f>
        <v/>
      </c>
      <c r="AG400" s="205" t="str">
        <f t="shared" si="174"/>
        <v/>
      </c>
      <c r="AH400" s="234" t="str">
        <f t="shared" si="175"/>
        <v/>
      </c>
      <c r="AI400" s="205" t="str">
        <f t="shared" si="176"/>
        <v/>
      </c>
      <c r="AJ400" s="234" t="str">
        <f t="shared" si="177"/>
        <v/>
      </c>
      <c r="AK400" s="144" t="str">
        <f>IF(AM400="Row Not Used","",INDEX(SpaceTable[Row],(MATCH(B400,SpaceTable[Space Name Concatenated Helper],0))))</f>
        <v/>
      </c>
      <c r="AL400" s="238" t="str">
        <f>IF(AM400="Row Not Used","",INDEX(SpaceTable[HVAC Factor],(MATCH(B400,SpaceTable[Space Name Concatenated Helper],0))))</f>
        <v/>
      </c>
      <c r="AM400" s="520" t="str">
        <f t="shared" si="178"/>
        <v>Row Not Used</v>
      </c>
      <c r="AN400" s="512" t="e" cm="1">
        <f t="array" ref="AN400">INDEX(BallastFactorTable[Ballast Factor],MATCH(1,(BallastFactorTable[Fixture Class]=D400)*(BallastFactorTable[Fixture Category]=E400)*(BallastFactorTable[Fixture Sub-category]=F400),0))</f>
        <v>#N/A</v>
      </c>
      <c r="AO400" s="143" t="str">
        <f t="shared" si="191"/>
        <v/>
      </c>
      <c r="AP400" s="501" t="e" cm="1">
        <f t="array" ref="AP400">INDEX(BallastFactorTable[Wattage Range Name],MATCH(1,(BallastFactorTable[Fixture Class]=D400)*(BallastFactorTable[Fixture Category]=E400)*(BallastFactorTable[Fixture Sub-category]=F400),0))</f>
        <v>#N/A</v>
      </c>
      <c r="AQ400" s="515" t="str">
        <f t="shared" ca="1" si="179"/>
        <v>Okay</v>
      </c>
      <c r="AR400" s="512">
        <f t="shared" si="180"/>
        <v>0</v>
      </c>
      <c r="AS400" s="511" t="str">
        <f>IF(OR(Measures!AM400="Row Not Used",Measures!C400="Controls Only",Measures!C400="Decommissioning"),"",_xlfn.CONCAT(P400," ",Q400))</f>
        <v/>
      </c>
      <c r="AT400" s="264" t="str">
        <f t="shared" si="181"/>
        <v>None</v>
      </c>
      <c r="AU400" s="229">
        <f>IF(OR(AM400="Row Not Used",AM400="Controls Only"),0,INDEX(IncentiveRateTable[Incentive Rate],MATCH(AT400,IncentiveRateTable[Incentive Name],0)))</f>
        <v>0</v>
      </c>
      <c r="AV400" s="133" t="str">
        <f>IF(OR(AM400="Row Not Used",AM400="Controls Only"),"None",INDEX(IncentiveRateTable[Incentive Unit],MATCH(AT400,IncentiveRateTable[Incentive Name],0)))</f>
        <v>None</v>
      </c>
      <c r="AW400" s="578">
        <f t="shared" si="192"/>
        <v>0</v>
      </c>
      <c r="AX400" s="264" t="str">
        <f t="shared" si="182"/>
        <v>None</v>
      </c>
      <c r="AY400" s="229">
        <f>IF(OR(AM400="Row Not Used",AM400="Fixtures Only",AM400="Decommissioning"),0,INDEX(IncentiveRateTable[Incentive Rate],MATCH(AX400,IncentiveRateTable[Incentive Name],0)))</f>
        <v>0</v>
      </c>
      <c r="AZ400" s="133" t="str">
        <f>IF(OR(AM400="Row Not Used",AM400="Fixtures Only",AM400="Decommissioning"),"None",INDEX(IncentiveRateTable[Incentive Unit],MATCH(AX400,IncentiveRateTable[Incentive Name],0)))</f>
        <v>None</v>
      </c>
      <c r="BA400" s="465">
        <f t="shared" si="183"/>
        <v>0</v>
      </c>
      <c r="BB400" s="264" t="e" cm="1">
        <f t="array" ref="BB400">INDEX(BallastFactorTable[Commercial BPA Reference Number],MATCH(1,(BallastFactorTable[Fixture Class]=J400)*(BallastFactorTable[Fixture Category]=K400)*(BallastFactorTable[Fixture Sub-category]=L400),0))</f>
        <v>#N/A</v>
      </c>
      <c r="BC400" s="133" t="e" cm="1">
        <f t="array" ref="BC400">INDEX(BallastFactorTable[Industrial BPA Reference Number],MATCH(1,(BallastFactorTable[Fixture Class]=J400)*(BallastFactorTable[Fixture Category]=K400)*(BallastFactorTable[Fixture Sub-category]=L400),0))</f>
        <v>#N/A</v>
      </c>
      <c r="BD400" s="264" t="str">
        <f t="shared" si="184"/>
        <v>Sector is blank</v>
      </c>
      <c r="BE400" s="269" t="str">
        <f>IF(ISBLANK(SectorField),"Sector is blank",IF(AM400="Row Not Used","",IF(OR(R400="No Controls",ISBLANK(R400)),"",INDEX(ControlsBPARefNoTable[Reference Number],MATCH(SectorField,ControlsBPARefNoTable[Sector],0)))))</f>
        <v>Sector is blank</v>
      </c>
      <c r="BF400" s="530" t="str">
        <f t="shared" si="185"/>
        <v/>
      </c>
      <c r="BG400" s="132" t="str">
        <f t="shared" si="186"/>
        <v/>
      </c>
      <c r="BH400" s="531" t="str">
        <f t="shared" si="187"/>
        <v/>
      </c>
      <c r="BI400" s="532"/>
      <c r="BJ400" s="538" t="str">
        <f t="shared" si="193"/>
        <v/>
      </c>
      <c r="BK400" s="539" t="str">
        <f t="shared" si="194"/>
        <v/>
      </c>
      <c r="BL400" s="547" t="str">
        <f t="shared" si="195"/>
        <v/>
      </c>
    </row>
    <row r="401" spans="1:64" x14ac:dyDescent="0.3">
      <c r="A401" s="133">
        <v>394</v>
      </c>
      <c r="B401" s="294"/>
      <c r="C401" s="313"/>
      <c r="D401" s="292"/>
      <c r="E401" s="284"/>
      <c r="F401" s="284"/>
      <c r="G401" s="295"/>
      <c r="H401" s="296"/>
      <c r="I401" s="297"/>
      <c r="J401" s="292"/>
      <c r="K401" s="284"/>
      <c r="L401" s="284"/>
      <c r="M401" s="295"/>
      <c r="N401" s="296"/>
      <c r="O401" s="296"/>
      <c r="P401" s="284"/>
      <c r="Q401" s="298"/>
      <c r="R401" s="292"/>
      <c r="S401" s="299"/>
      <c r="T401" s="300"/>
      <c r="U401" s="317" t="str">
        <f t="shared" si="169"/>
        <v/>
      </c>
      <c r="V401" s="301"/>
      <c r="W401" s="136" t="str">
        <f t="shared" si="170"/>
        <v/>
      </c>
      <c r="X401" s="588" t="str">
        <f t="shared" si="188"/>
        <v/>
      </c>
      <c r="Y401" s="580"/>
      <c r="Z401" s="251" t="str">
        <f t="shared" si="171"/>
        <v/>
      </c>
      <c r="AA401" s="138" t="str">
        <f t="shared" si="196"/>
        <v/>
      </c>
      <c r="AB401" s="243" t="str">
        <f t="shared" si="189"/>
        <v/>
      </c>
      <c r="AC401" s="141" t="str">
        <f t="shared" si="172"/>
        <v/>
      </c>
      <c r="AD401" s="138" t="str">
        <f t="shared" si="190"/>
        <v/>
      </c>
      <c r="AE401" s="243" t="str">
        <f t="shared" si="173"/>
        <v/>
      </c>
      <c r="AF401" s="342" t="str">
        <f>IF(AM401="Row Not Used","",INDEX(SpaceTable[Annual Hours],(MATCH(B401,SpaceTable[Space Name Concatenated Helper],0))))</f>
        <v/>
      </c>
      <c r="AG401" s="205" t="str">
        <f t="shared" si="174"/>
        <v/>
      </c>
      <c r="AH401" s="234" t="str">
        <f t="shared" si="175"/>
        <v/>
      </c>
      <c r="AI401" s="205" t="str">
        <f t="shared" si="176"/>
        <v/>
      </c>
      <c r="AJ401" s="234" t="str">
        <f t="shared" si="177"/>
        <v/>
      </c>
      <c r="AK401" s="144" t="str">
        <f>IF(AM401="Row Not Used","",INDEX(SpaceTable[Row],(MATCH(B401,SpaceTable[Space Name Concatenated Helper],0))))</f>
        <v/>
      </c>
      <c r="AL401" s="238" t="str">
        <f>IF(AM401="Row Not Used","",INDEX(SpaceTable[HVAC Factor],(MATCH(B401,SpaceTable[Space Name Concatenated Helper],0))))</f>
        <v/>
      </c>
      <c r="AM401" s="520" t="str">
        <f t="shared" si="178"/>
        <v>Row Not Used</v>
      </c>
      <c r="AN401" s="512" t="e" cm="1">
        <f t="array" ref="AN401">INDEX(BallastFactorTable[Ballast Factor],MATCH(1,(BallastFactorTable[Fixture Class]=D401)*(BallastFactorTable[Fixture Category]=E401)*(BallastFactorTable[Fixture Sub-category]=F401),0))</f>
        <v>#N/A</v>
      </c>
      <c r="AO401" s="143" t="str">
        <f t="shared" si="191"/>
        <v/>
      </c>
      <c r="AP401" s="501" t="e" cm="1">
        <f t="array" ref="AP401">INDEX(BallastFactorTable[Wattage Range Name],MATCH(1,(BallastFactorTable[Fixture Class]=D401)*(BallastFactorTable[Fixture Category]=E401)*(BallastFactorTable[Fixture Sub-category]=F401),0))</f>
        <v>#N/A</v>
      </c>
      <c r="AQ401" s="515" t="str">
        <f t="shared" ca="1" si="179"/>
        <v>Okay</v>
      </c>
      <c r="AR401" s="512">
        <f t="shared" si="180"/>
        <v>0</v>
      </c>
      <c r="AS401" s="511" t="str">
        <f>IF(OR(Measures!AM401="Row Not Used",Measures!C401="Controls Only",Measures!C401="Decommissioning"),"",_xlfn.CONCAT(P401," ",Q401))</f>
        <v/>
      </c>
      <c r="AT401" s="264" t="str">
        <f t="shared" si="181"/>
        <v>None</v>
      </c>
      <c r="AU401" s="229">
        <f>IF(OR(AM401="Row Not Used",AM401="Controls Only"),0,INDEX(IncentiveRateTable[Incentive Rate],MATCH(AT401,IncentiveRateTable[Incentive Name],0)))</f>
        <v>0</v>
      </c>
      <c r="AV401" s="133" t="str">
        <f>IF(OR(AM401="Row Not Used",AM401="Controls Only"),"None",INDEX(IncentiveRateTable[Incentive Unit],MATCH(AT401,IncentiveRateTable[Incentive Name],0)))</f>
        <v>None</v>
      </c>
      <c r="AW401" s="578">
        <f t="shared" si="192"/>
        <v>0</v>
      </c>
      <c r="AX401" s="264" t="str">
        <f t="shared" si="182"/>
        <v>None</v>
      </c>
      <c r="AY401" s="229">
        <f>IF(OR(AM401="Row Not Used",AM401="Fixtures Only",AM401="Decommissioning"),0,INDEX(IncentiveRateTable[Incentive Rate],MATCH(AX401,IncentiveRateTable[Incentive Name],0)))</f>
        <v>0</v>
      </c>
      <c r="AZ401" s="133" t="str">
        <f>IF(OR(AM401="Row Not Used",AM401="Fixtures Only",AM401="Decommissioning"),"None",INDEX(IncentiveRateTable[Incentive Unit],MATCH(AX401,IncentiveRateTable[Incentive Name],0)))</f>
        <v>None</v>
      </c>
      <c r="BA401" s="465">
        <f t="shared" si="183"/>
        <v>0</v>
      </c>
      <c r="BB401" s="264" t="e" cm="1">
        <f t="array" ref="BB401">INDEX(BallastFactorTable[Commercial BPA Reference Number],MATCH(1,(BallastFactorTable[Fixture Class]=J401)*(BallastFactorTable[Fixture Category]=K401)*(BallastFactorTable[Fixture Sub-category]=L401),0))</f>
        <v>#N/A</v>
      </c>
      <c r="BC401" s="133" t="e" cm="1">
        <f t="array" ref="BC401">INDEX(BallastFactorTable[Industrial BPA Reference Number],MATCH(1,(BallastFactorTable[Fixture Class]=J401)*(BallastFactorTable[Fixture Category]=K401)*(BallastFactorTable[Fixture Sub-category]=L401),0))</f>
        <v>#N/A</v>
      </c>
      <c r="BD401" s="264" t="str">
        <f t="shared" si="184"/>
        <v>Sector is blank</v>
      </c>
      <c r="BE401" s="269" t="str">
        <f>IF(ISBLANK(SectorField),"Sector is blank",IF(AM401="Row Not Used","",IF(OR(R401="No Controls",ISBLANK(R401)),"",INDEX(ControlsBPARefNoTable[Reference Number],MATCH(SectorField,ControlsBPARefNoTable[Sector],0)))))</f>
        <v>Sector is blank</v>
      </c>
      <c r="BF401" s="530" t="str">
        <f t="shared" si="185"/>
        <v/>
      </c>
      <c r="BG401" s="132" t="str">
        <f t="shared" si="186"/>
        <v/>
      </c>
      <c r="BH401" s="531" t="str">
        <f t="shared" si="187"/>
        <v/>
      </c>
      <c r="BI401" s="532"/>
      <c r="BJ401" s="538" t="str">
        <f t="shared" si="193"/>
        <v/>
      </c>
      <c r="BK401" s="539" t="str">
        <f t="shared" si="194"/>
        <v/>
      </c>
      <c r="BL401" s="547" t="str">
        <f t="shared" si="195"/>
        <v/>
      </c>
    </row>
    <row r="402" spans="1:64" x14ac:dyDescent="0.3">
      <c r="A402" s="133">
        <v>395</v>
      </c>
      <c r="B402" s="294"/>
      <c r="C402" s="313"/>
      <c r="D402" s="292"/>
      <c r="E402" s="284"/>
      <c r="F402" s="284"/>
      <c r="G402" s="295"/>
      <c r="H402" s="296"/>
      <c r="I402" s="297"/>
      <c r="J402" s="292"/>
      <c r="K402" s="284"/>
      <c r="L402" s="284"/>
      <c r="M402" s="295"/>
      <c r="N402" s="296"/>
      <c r="O402" s="296"/>
      <c r="P402" s="284"/>
      <c r="Q402" s="298"/>
      <c r="R402" s="292"/>
      <c r="S402" s="299"/>
      <c r="T402" s="300"/>
      <c r="U402" s="317" t="str">
        <f t="shared" si="169"/>
        <v/>
      </c>
      <c r="V402" s="301"/>
      <c r="W402" s="137" t="str">
        <f t="shared" si="170"/>
        <v/>
      </c>
      <c r="X402" s="589" t="str">
        <f t="shared" si="188"/>
        <v/>
      </c>
      <c r="Y402" s="581"/>
      <c r="Z402" s="251" t="str">
        <f t="shared" si="171"/>
        <v/>
      </c>
      <c r="AA402" s="138" t="str">
        <f t="shared" si="196"/>
        <v/>
      </c>
      <c r="AB402" s="243" t="str">
        <f t="shared" si="189"/>
        <v/>
      </c>
      <c r="AC402" s="141" t="str">
        <f t="shared" si="172"/>
        <v/>
      </c>
      <c r="AD402" s="138" t="str">
        <f t="shared" si="190"/>
        <v/>
      </c>
      <c r="AE402" s="243" t="str">
        <f t="shared" si="173"/>
        <v/>
      </c>
      <c r="AF402" s="342" t="str">
        <f>IF(AM402="Row Not Used","",INDEX(SpaceTable[Annual Hours],(MATCH(B402,SpaceTable[Space Name Concatenated Helper],0))))</f>
        <v/>
      </c>
      <c r="AG402" s="205" t="str">
        <f t="shared" si="174"/>
        <v/>
      </c>
      <c r="AH402" s="234" t="str">
        <f t="shared" si="175"/>
        <v/>
      </c>
      <c r="AI402" s="205" t="str">
        <f t="shared" si="176"/>
        <v/>
      </c>
      <c r="AJ402" s="234" t="str">
        <f t="shared" si="177"/>
        <v/>
      </c>
      <c r="AK402" s="144" t="str">
        <f>IF(AM402="Row Not Used","",INDEX(SpaceTable[Row],(MATCH(B402,SpaceTable[Space Name Concatenated Helper],0))))</f>
        <v/>
      </c>
      <c r="AL402" s="238" t="str">
        <f>IF(AM402="Row Not Used","",INDEX(SpaceTable[HVAC Factor],(MATCH(B402,SpaceTable[Space Name Concatenated Helper],0))))</f>
        <v/>
      </c>
      <c r="AM402" s="520" t="str">
        <f t="shared" si="178"/>
        <v>Row Not Used</v>
      </c>
      <c r="AN402" s="512" t="e" cm="1">
        <f t="array" ref="AN402">INDEX(BallastFactorTable[Ballast Factor],MATCH(1,(BallastFactorTable[Fixture Class]=D402)*(BallastFactorTable[Fixture Category]=E402)*(BallastFactorTable[Fixture Sub-category]=F402),0))</f>
        <v>#N/A</v>
      </c>
      <c r="AO402" s="143" t="str">
        <f t="shared" si="191"/>
        <v/>
      </c>
      <c r="AP402" s="501" t="e" cm="1">
        <f t="array" ref="AP402">INDEX(BallastFactorTable[Wattage Range Name],MATCH(1,(BallastFactorTable[Fixture Class]=D402)*(BallastFactorTable[Fixture Category]=E402)*(BallastFactorTable[Fixture Sub-category]=F402),0))</f>
        <v>#N/A</v>
      </c>
      <c r="AQ402" s="515" t="str">
        <f t="shared" ca="1" si="179"/>
        <v>Okay</v>
      </c>
      <c r="AR402" s="512">
        <f t="shared" si="180"/>
        <v>0</v>
      </c>
      <c r="AS402" s="511" t="str">
        <f>IF(OR(Measures!AM402="Row Not Used",Measures!C402="Controls Only",Measures!C402="Decommissioning"),"",_xlfn.CONCAT(P402," ",Q402))</f>
        <v/>
      </c>
      <c r="AT402" s="264" t="str">
        <f t="shared" si="181"/>
        <v>None</v>
      </c>
      <c r="AU402" s="229">
        <f>IF(OR(AM402="Row Not Used",AM402="Controls Only"),0,INDEX(IncentiveRateTable[Incentive Rate],MATCH(AT402,IncentiveRateTable[Incentive Name],0)))</f>
        <v>0</v>
      </c>
      <c r="AV402" s="133" t="str">
        <f>IF(OR(AM402="Row Not Used",AM402="Controls Only"),"None",INDEX(IncentiveRateTable[Incentive Unit],MATCH(AT402,IncentiveRateTable[Incentive Name],0)))</f>
        <v>None</v>
      </c>
      <c r="AW402" s="578">
        <f t="shared" si="192"/>
        <v>0</v>
      </c>
      <c r="AX402" s="264" t="str">
        <f t="shared" si="182"/>
        <v>None</v>
      </c>
      <c r="AY402" s="229">
        <f>IF(OR(AM402="Row Not Used",AM402="Fixtures Only",AM402="Decommissioning"),0,INDEX(IncentiveRateTable[Incentive Rate],MATCH(AX402,IncentiveRateTable[Incentive Name],0)))</f>
        <v>0</v>
      </c>
      <c r="AZ402" s="133" t="str">
        <f>IF(OR(AM402="Row Not Used",AM402="Fixtures Only",AM402="Decommissioning"),"None",INDEX(IncentiveRateTable[Incentive Unit],MATCH(AX402,IncentiveRateTable[Incentive Name],0)))</f>
        <v>None</v>
      </c>
      <c r="BA402" s="465">
        <f t="shared" si="183"/>
        <v>0</v>
      </c>
      <c r="BB402" s="264" t="e" cm="1">
        <f t="array" ref="BB402">INDEX(BallastFactorTable[Commercial BPA Reference Number],MATCH(1,(BallastFactorTable[Fixture Class]=J402)*(BallastFactorTable[Fixture Category]=K402)*(BallastFactorTable[Fixture Sub-category]=L402),0))</f>
        <v>#N/A</v>
      </c>
      <c r="BC402" s="133" t="e" cm="1">
        <f t="array" ref="BC402">INDEX(BallastFactorTable[Industrial BPA Reference Number],MATCH(1,(BallastFactorTable[Fixture Class]=J402)*(BallastFactorTable[Fixture Category]=K402)*(BallastFactorTable[Fixture Sub-category]=L402),0))</f>
        <v>#N/A</v>
      </c>
      <c r="BD402" s="264" t="str">
        <f t="shared" si="184"/>
        <v>Sector is blank</v>
      </c>
      <c r="BE402" s="269" t="str">
        <f>IF(ISBLANK(SectorField),"Sector is blank",IF(AM402="Row Not Used","",IF(OR(R402="No Controls",ISBLANK(R402)),"",INDEX(ControlsBPARefNoTable[Reference Number],MATCH(SectorField,ControlsBPARefNoTable[Sector],0)))))</f>
        <v>Sector is blank</v>
      </c>
      <c r="BF402" s="530" t="str">
        <f t="shared" si="185"/>
        <v/>
      </c>
      <c r="BG402" s="132" t="str">
        <f t="shared" si="186"/>
        <v/>
      </c>
      <c r="BH402" s="531" t="str">
        <f t="shared" si="187"/>
        <v/>
      </c>
      <c r="BI402" s="532"/>
      <c r="BJ402" s="538" t="str">
        <f t="shared" si="193"/>
        <v/>
      </c>
      <c r="BK402" s="539" t="str">
        <f t="shared" si="194"/>
        <v/>
      </c>
      <c r="BL402" s="547" t="str">
        <f t="shared" si="195"/>
        <v/>
      </c>
    </row>
    <row r="403" spans="1:64" x14ac:dyDescent="0.3">
      <c r="A403" s="133">
        <v>396</v>
      </c>
      <c r="B403" s="294"/>
      <c r="C403" s="313"/>
      <c r="D403" s="292"/>
      <c r="E403" s="284"/>
      <c r="F403" s="284"/>
      <c r="G403" s="295"/>
      <c r="H403" s="296"/>
      <c r="I403" s="297"/>
      <c r="J403" s="292"/>
      <c r="K403" s="284"/>
      <c r="L403" s="284"/>
      <c r="M403" s="295"/>
      <c r="N403" s="296"/>
      <c r="O403" s="296"/>
      <c r="P403" s="284"/>
      <c r="Q403" s="298"/>
      <c r="R403" s="292"/>
      <c r="S403" s="299"/>
      <c r="T403" s="300"/>
      <c r="U403" s="317" t="str">
        <f t="shared" si="169"/>
        <v/>
      </c>
      <c r="V403" s="301"/>
      <c r="W403" s="136" t="str">
        <f t="shared" si="170"/>
        <v/>
      </c>
      <c r="X403" s="588" t="str">
        <f t="shared" si="188"/>
        <v/>
      </c>
      <c r="Y403" s="580"/>
      <c r="Z403" s="251" t="str">
        <f t="shared" si="171"/>
        <v/>
      </c>
      <c r="AA403" s="138" t="str">
        <f t="shared" si="196"/>
        <v/>
      </c>
      <c r="AB403" s="243" t="str">
        <f t="shared" si="189"/>
        <v/>
      </c>
      <c r="AC403" s="141" t="str">
        <f t="shared" si="172"/>
        <v/>
      </c>
      <c r="AD403" s="138" t="str">
        <f t="shared" si="190"/>
        <v/>
      </c>
      <c r="AE403" s="243" t="str">
        <f t="shared" si="173"/>
        <v/>
      </c>
      <c r="AF403" s="342" t="str">
        <f>IF(AM403="Row Not Used","",INDEX(SpaceTable[Annual Hours],(MATCH(B403,SpaceTable[Space Name Concatenated Helper],0))))</f>
        <v/>
      </c>
      <c r="AG403" s="205" t="str">
        <f t="shared" si="174"/>
        <v/>
      </c>
      <c r="AH403" s="234" t="str">
        <f t="shared" si="175"/>
        <v/>
      </c>
      <c r="AI403" s="205" t="str">
        <f t="shared" si="176"/>
        <v/>
      </c>
      <c r="AJ403" s="234" t="str">
        <f t="shared" si="177"/>
        <v/>
      </c>
      <c r="AK403" s="144" t="str">
        <f>IF(AM403="Row Not Used","",INDEX(SpaceTable[Row],(MATCH(B403,SpaceTable[Space Name Concatenated Helper],0))))</f>
        <v/>
      </c>
      <c r="AL403" s="238" t="str">
        <f>IF(AM403="Row Not Used","",INDEX(SpaceTable[HVAC Factor],(MATCH(B403,SpaceTable[Space Name Concatenated Helper],0))))</f>
        <v/>
      </c>
      <c r="AM403" s="520" t="str">
        <f t="shared" si="178"/>
        <v>Row Not Used</v>
      </c>
      <c r="AN403" s="512" t="e" cm="1">
        <f t="array" ref="AN403">INDEX(BallastFactorTable[Ballast Factor],MATCH(1,(BallastFactorTable[Fixture Class]=D403)*(BallastFactorTable[Fixture Category]=E403)*(BallastFactorTable[Fixture Sub-category]=F403),0))</f>
        <v>#N/A</v>
      </c>
      <c r="AO403" s="143" t="str">
        <f t="shared" si="191"/>
        <v/>
      </c>
      <c r="AP403" s="501" t="e" cm="1">
        <f t="array" ref="AP403">INDEX(BallastFactorTable[Wattage Range Name],MATCH(1,(BallastFactorTable[Fixture Class]=D403)*(BallastFactorTable[Fixture Category]=E403)*(BallastFactorTable[Fixture Sub-category]=F403),0))</f>
        <v>#N/A</v>
      </c>
      <c r="AQ403" s="515" t="str">
        <f t="shared" ca="1" si="179"/>
        <v>Okay</v>
      </c>
      <c r="AR403" s="512">
        <f t="shared" si="180"/>
        <v>0</v>
      </c>
      <c r="AS403" s="511" t="str">
        <f>IF(OR(Measures!AM403="Row Not Used",Measures!C403="Controls Only",Measures!C403="Decommissioning"),"",_xlfn.CONCAT(P403," ",Q403))</f>
        <v/>
      </c>
      <c r="AT403" s="264" t="str">
        <f t="shared" si="181"/>
        <v>None</v>
      </c>
      <c r="AU403" s="229">
        <f>IF(OR(AM403="Row Not Used",AM403="Controls Only"),0,INDEX(IncentiveRateTable[Incentive Rate],MATCH(AT403,IncentiveRateTable[Incentive Name],0)))</f>
        <v>0</v>
      </c>
      <c r="AV403" s="133" t="str">
        <f>IF(OR(AM403="Row Not Used",AM403="Controls Only"),"None",INDEX(IncentiveRateTable[Incentive Unit],MATCH(AT403,IncentiveRateTable[Incentive Name],0)))</f>
        <v>None</v>
      </c>
      <c r="AW403" s="578">
        <f t="shared" si="192"/>
        <v>0</v>
      </c>
      <c r="AX403" s="264" t="str">
        <f t="shared" si="182"/>
        <v>None</v>
      </c>
      <c r="AY403" s="229">
        <f>IF(OR(AM403="Row Not Used",AM403="Fixtures Only",AM403="Decommissioning"),0,INDEX(IncentiveRateTable[Incentive Rate],MATCH(AX403,IncentiveRateTable[Incentive Name],0)))</f>
        <v>0</v>
      </c>
      <c r="AZ403" s="133" t="str">
        <f>IF(OR(AM403="Row Not Used",AM403="Fixtures Only",AM403="Decommissioning"),"None",INDEX(IncentiveRateTable[Incentive Unit],MATCH(AX403,IncentiveRateTable[Incentive Name],0)))</f>
        <v>None</v>
      </c>
      <c r="BA403" s="465">
        <f t="shared" si="183"/>
        <v>0</v>
      </c>
      <c r="BB403" s="264" t="e" cm="1">
        <f t="array" ref="BB403">INDEX(BallastFactorTable[Commercial BPA Reference Number],MATCH(1,(BallastFactorTable[Fixture Class]=J403)*(BallastFactorTable[Fixture Category]=K403)*(BallastFactorTable[Fixture Sub-category]=L403),0))</f>
        <v>#N/A</v>
      </c>
      <c r="BC403" s="133" t="e" cm="1">
        <f t="array" ref="BC403">INDEX(BallastFactorTable[Industrial BPA Reference Number],MATCH(1,(BallastFactorTable[Fixture Class]=J403)*(BallastFactorTable[Fixture Category]=K403)*(BallastFactorTable[Fixture Sub-category]=L403),0))</f>
        <v>#N/A</v>
      </c>
      <c r="BD403" s="264" t="str">
        <f t="shared" si="184"/>
        <v>Sector is blank</v>
      </c>
      <c r="BE403" s="269" t="str">
        <f>IF(ISBLANK(SectorField),"Sector is blank",IF(AM403="Row Not Used","",IF(OR(R403="No Controls",ISBLANK(R403)),"",INDEX(ControlsBPARefNoTable[Reference Number],MATCH(SectorField,ControlsBPARefNoTable[Sector],0)))))</f>
        <v>Sector is blank</v>
      </c>
      <c r="BF403" s="530" t="str">
        <f t="shared" si="185"/>
        <v/>
      </c>
      <c r="BG403" s="132" t="str">
        <f t="shared" si="186"/>
        <v/>
      </c>
      <c r="BH403" s="531" t="str">
        <f t="shared" si="187"/>
        <v/>
      </c>
      <c r="BI403" s="532"/>
      <c r="BJ403" s="538" t="str">
        <f t="shared" si="193"/>
        <v/>
      </c>
      <c r="BK403" s="539" t="str">
        <f t="shared" si="194"/>
        <v/>
      </c>
      <c r="BL403" s="547" t="str">
        <f t="shared" si="195"/>
        <v/>
      </c>
    </row>
    <row r="404" spans="1:64" x14ac:dyDescent="0.3">
      <c r="A404" s="133">
        <v>397</v>
      </c>
      <c r="B404" s="294"/>
      <c r="C404" s="313"/>
      <c r="D404" s="292"/>
      <c r="E404" s="284"/>
      <c r="F404" s="284"/>
      <c r="G404" s="295"/>
      <c r="H404" s="296"/>
      <c r="I404" s="297"/>
      <c r="J404" s="292"/>
      <c r="K404" s="284"/>
      <c r="L404" s="284"/>
      <c r="M404" s="295"/>
      <c r="N404" s="296"/>
      <c r="O404" s="296"/>
      <c r="P404" s="284"/>
      <c r="Q404" s="298"/>
      <c r="R404" s="292"/>
      <c r="S404" s="299"/>
      <c r="T404" s="300"/>
      <c r="U404" s="317" t="str">
        <f t="shared" si="169"/>
        <v/>
      </c>
      <c r="V404" s="301"/>
      <c r="W404" s="137" t="str">
        <f t="shared" si="170"/>
        <v/>
      </c>
      <c r="X404" s="589" t="str">
        <f t="shared" si="188"/>
        <v/>
      </c>
      <c r="Y404" s="581"/>
      <c r="Z404" s="251" t="str">
        <f t="shared" si="171"/>
        <v/>
      </c>
      <c r="AA404" s="138" t="str">
        <f t="shared" si="196"/>
        <v/>
      </c>
      <c r="AB404" s="243" t="str">
        <f t="shared" si="189"/>
        <v/>
      </c>
      <c r="AC404" s="141" t="str">
        <f t="shared" si="172"/>
        <v/>
      </c>
      <c r="AD404" s="138" t="str">
        <f t="shared" si="190"/>
        <v/>
      </c>
      <c r="AE404" s="243" t="str">
        <f t="shared" si="173"/>
        <v/>
      </c>
      <c r="AF404" s="342" t="str">
        <f>IF(AM404="Row Not Used","",INDEX(SpaceTable[Annual Hours],(MATCH(B404,SpaceTable[Space Name Concatenated Helper],0))))</f>
        <v/>
      </c>
      <c r="AG404" s="205" t="str">
        <f t="shared" si="174"/>
        <v/>
      </c>
      <c r="AH404" s="234" t="str">
        <f t="shared" si="175"/>
        <v/>
      </c>
      <c r="AI404" s="205" t="str">
        <f t="shared" si="176"/>
        <v/>
      </c>
      <c r="AJ404" s="234" t="str">
        <f t="shared" si="177"/>
        <v/>
      </c>
      <c r="AK404" s="144" t="str">
        <f>IF(AM404="Row Not Used","",INDEX(SpaceTable[Row],(MATCH(B404,SpaceTable[Space Name Concatenated Helper],0))))</f>
        <v/>
      </c>
      <c r="AL404" s="238" t="str">
        <f>IF(AM404="Row Not Used","",INDEX(SpaceTable[HVAC Factor],(MATCH(B404,SpaceTable[Space Name Concatenated Helper],0))))</f>
        <v/>
      </c>
      <c r="AM404" s="520" t="str">
        <f t="shared" si="178"/>
        <v>Row Not Used</v>
      </c>
      <c r="AN404" s="512" t="e" cm="1">
        <f t="array" ref="AN404">INDEX(BallastFactorTable[Ballast Factor],MATCH(1,(BallastFactorTable[Fixture Class]=D404)*(BallastFactorTable[Fixture Category]=E404)*(BallastFactorTable[Fixture Sub-category]=F404),0))</f>
        <v>#N/A</v>
      </c>
      <c r="AO404" s="143" t="str">
        <f t="shared" si="191"/>
        <v/>
      </c>
      <c r="AP404" s="501" t="e" cm="1">
        <f t="array" ref="AP404">INDEX(BallastFactorTable[Wattage Range Name],MATCH(1,(BallastFactorTable[Fixture Class]=D404)*(BallastFactorTable[Fixture Category]=E404)*(BallastFactorTable[Fixture Sub-category]=F404),0))</f>
        <v>#N/A</v>
      </c>
      <c r="AQ404" s="515" t="str">
        <f t="shared" ca="1" si="179"/>
        <v>Okay</v>
      </c>
      <c r="AR404" s="512">
        <f t="shared" si="180"/>
        <v>0</v>
      </c>
      <c r="AS404" s="511" t="str">
        <f>IF(OR(Measures!AM404="Row Not Used",Measures!C404="Controls Only",Measures!C404="Decommissioning"),"",_xlfn.CONCAT(P404," ",Q404))</f>
        <v/>
      </c>
      <c r="AT404" s="264" t="str">
        <f t="shared" si="181"/>
        <v>None</v>
      </c>
      <c r="AU404" s="229">
        <f>IF(OR(AM404="Row Not Used",AM404="Controls Only"),0,INDEX(IncentiveRateTable[Incentive Rate],MATCH(AT404,IncentiveRateTable[Incentive Name],0)))</f>
        <v>0</v>
      </c>
      <c r="AV404" s="133" t="str">
        <f>IF(OR(AM404="Row Not Used",AM404="Controls Only"),"None",INDEX(IncentiveRateTable[Incentive Unit],MATCH(AT404,IncentiveRateTable[Incentive Name],0)))</f>
        <v>None</v>
      </c>
      <c r="AW404" s="578">
        <f t="shared" si="192"/>
        <v>0</v>
      </c>
      <c r="AX404" s="264" t="str">
        <f t="shared" si="182"/>
        <v>None</v>
      </c>
      <c r="AY404" s="229">
        <f>IF(OR(AM404="Row Not Used",AM404="Fixtures Only",AM404="Decommissioning"),0,INDEX(IncentiveRateTable[Incentive Rate],MATCH(AX404,IncentiveRateTable[Incentive Name],0)))</f>
        <v>0</v>
      </c>
      <c r="AZ404" s="133" t="str">
        <f>IF(OR(AM404="Row Not Used",AM404="Fixtures Only",AM404="Decommissioning"),"None",INDEX(IncentiveRateTable[Incentive Unit],MATCH(AX404,IncentiveRateTable[Incentive Name],0)))</f>
        <v>None</v>
      </c>
      <c r="BA404" s="465">
        <f t="shared" si="183"/>
        <v>0</v>
      </c>
      <c r="BB404" s="264" t="e" cm="1">
        <f t="array" ref="BB404">INDEX(BallastFactorTable[Commercial BPA Reference Number],MATCH(1,(BallastFactorTable[Fixture Class]=J404)*(BallastFactorTable[Fixture Category]=K404)*(BallastFactorTable[Fixture Sub-category]=L404),0))</f>
        <v>#N/A</v>
      </c>
      <c r="BC404" s="133" t="e" cm="1">
        <f t="array" ref="BC404">INDEX(BallastFactorTable[Industrial BPA Reference Number],MATCH(1,(BallastFactorTable[Fixture Class]=J404)*(BallastFactorTable[Fixture Category]=K404)*(BallastFactorTable[Fixture Sub-category]=L404),0))</f>
        <v>#N/A</v>
      </c>
      <c r="BD404" s="264" t="str">
        <f t="shared" si="184"/>
        <v>Sector is blank</v>
      </c>
      <c r="BE404" s="269" t="str">
        <f>IF(ISBLANK(SectorField),"Sector is blank",IF(AM404="Row Not Used","",IF(OR(R404="No Controls",ISBLANK(R404)),"",INDEX(ControlsBPARefNoTable[Reference Number],MATCH(SectorField,ControlsBPARefNoTable[Sector],0)))))</f>
        <v>Sector is blank</v>
      </c>
      <c r="BF404" s="530" t="str">
        <f t="shared" si="185"/>
        <v/>
      </c>
      <c r="BG404" s="132" t="str">
        <f t="shared" si="186"/>
        <v/>
      </c>
      <c r="BH404" s="531" t="str">
        <f t="shared" si="187"/>
        <v/>
      </c>
      <c r="BI404" s="532"/>
      <c r="BJ404" s="538" t="str">
        <f t="shared" si="193"/>
        <v/>
      </c>
      <c r="BK404" s="539" t="str">
        <f t="shared" si="194"/>
        <v/>
      </c>
      <c r="BL404" s="547" t="str">
        <f t="shared" si="195"/>
        <v/>
      </c>
    </row>
    <row r="405" spans="1:64" x14ac:dyDescent="0.3">
      <c r="A405" s="133">
        <v>398</v>
      </c>
      <c r="B405" s="294"/>
      <c r="C405" s="313"/>
      <c r="D405" s="292"/>
      <c r="E405" s="284"/>
      <c r="F405" s="284"/>
      <c r="G405" s="295"/>
      <c r="H405" s="296"/>
      <c r="I405" s="297"/>
      <c r="J405" s="292"/>
      <c r="K405" s="284"/>
      <c r="L405" s="284"/>
      <c r="M405" s="295"/>
      <c r="N405" s="296"/>
      <c r="O405" s="296"/>
      <c r="P405" s="284"/>
      <c r="Q405" s="298"/>
      <c r="R405" s="292"/>
      <c r="S405" s="299"/>
      <c r="T405" s="300"/>
      <c r="U405" s="317" t="str">
        <f t="shared" si="169"/>
        <v/>
      </c>
      <c r="V405" s="301"/>
      <c r="W405" s="136" t="str">
        <f t="shared" si="170"/>
        <v/>
      </c>
      <c r="X405" s="588" t="str">
        <f t="shared" si="188"/>
        <v/>
      </c>
      <c r="Y405" s="580"/>
      <c r="Z405" s="251" t="str">
        <f t="shared" si="171"/>
        <v/>
      </c>
      <c r="AA405" s="138" t="str">
        <f t="shared" si="196"/>
        <v/>
      </c>
      <c r="AB405" s="243" t="str">
        <f t="shared" si="189"/>
        <v/>
      </c>
      <c r="AC405" s="141" t="str">
        <f t="shared" si="172"/>
        <v/>
      </c>
      <c r="AD405" s="138" t="str">
        <f t="shared" si="190"/>
        <v/>
      </c>
      <c r="AE405" s="243" t="str">
        <f t="shared" si="173"/>
        <v/>
      </c>
      <c r="AF405" s="342" t="str">
        <f>IF(AM405="Row Not Used","",INDEX(SpaceTable[Annual Hours],(MATCH(B405,SpaceTable[Space Name Concatenated Helper],0))))</f>
        <v/>
      </c>
      <c r="AG405" s="205" t="str">
        <f t="shared" si="174"/>
        <v/>
      </c>
      <c r="AH405" s="234" t="str">
        <f t="shared" si="175"/>
        <v/>
      </c>
      <c r="AI405" s="205" t="str">
        <f t="shared" si="176"/>
        <v/>
      </c>
      <c r="AJ405" s="234" t="str">
        <f t="shared" si="177"/>
        <v/>
      </c>
      <c r="AK405" s="144" t="str">
        <f>IF(AM405="Row Not Used","",INDEX(SpaceTable[Row],(MATCH(B405,SpaceTable[Space Name Concatenated Helper],0))))</f>
        <v/>
      </c>
      <c r="AL405" s="238" t="str">
        <f>IF(AM405="Row Not Used","",INDEX(SpaceTable[HVAC Factor],(MATCH(B405,SpaceTable[Space Name Concatenated Helper],0))))</f>
        <v/>
      </c>
      <c r="AM405" s="520" t="str">
        <f t="shared" si="178"/>
        <v>Row Not Used</v>
      </c>
      <c r="AN405" s="512" t="e" cm="1">
        <f t="array" ref="AN405">INDEX(BallastFactorTable[Ballast Factor],MATCH(1,(BallastFactorTable[Fixture Class]=D405)*(BallastFactorTable[Fixture Category]=E405)*(BallastFactorTable[Fixture Sub-category]=F405),0))</f>
        <v>#N/A</v>
      </c>
      <c r="AO405" s="143" t="str">
        <f t="shared" si="191"/>
        <v/>
      </c>
      <c r="AP405" s="501" t="e" cm="1">
        <f t="array" ref="AP405">INDEX(BallastFactorTable[Wattage Range Name],MATCH(1,(BallastFactorTable[Fixture Class]=D405)*(BallastFactorTable[Fixture Category]=E405)*(BallastFactorTable[Fixture Sub-category]=F405),0))</f>
        <v>#N/A</v>
      </c>
      <c r="AQ405" s="515" t="str">
        <f t="shared" ca="1" si="179"/>
        <v>Okay</v>
      </c>
      <c r="AR405" s="512">
        <f t="shared" si="180"/>
        <v>0</v>
      </c>
      <c r="AS405" s="511" t="str">
        <f>IF(OR(Measures!AM405="Row Not Used",Measures!C405="Controls Only",Measures!C405="Decommissioning"),"",_xlfn.CONCAT(P405," ",Q405))</f>
        <v/>
      </c>
      <c r="AT405" s="264" t="str">
        <f t="shared" si="181"/>
        <v>None</v>
      </c>
      <c r="AU405" s="229">
        <f>IF(OR(AM405="Row Not Used",AM405="Controls Only"),0,INDEX(IncentiveRateTable[Incentive Rate],MATCH(AT405,IncentiveRateTable[Incentive Name],0)))</f>
        <v>0</v>
      </c>
      <c r="AV405" s="133" t="str">
        <f>IF(OR(AM405="Row Not Used",AM405="Controls Only"),"None",INDEX(IncentiveRateTable[Incentive Unit],MATCH(AT405,IncentiveRateTable[Incentive Name],0)))</f>
        <v>None</v>
      </c>
      <c r="AW405" s="578">
        <f t="shared" si="192"/>
        <v>0</v>
      </c>
      <c r="AX405" s="264" t="str">
        <f t="shared" si="182"/>
        <v>None</v>
      </c>
      <c r="AY405" s="229">
        <f>IF(OR(AM405="Row Not Used",AM405="Fixtures Only",AM405="Decommissioning"),0,INDEX(IncentiveRateTable[Incentive Rate],MATCH(AX405,IncentiveRateTable[Incentive Name],0)))</f>
        <v>0</v>
      </c>
      <c r="AZ405" s="133" t="str">
        <f>IF(OR(AM405="Row Not Used",AM405="Fixtures Only",AM405="Decommissioning"),"None",INDEX(IncentiveRateTable[Incentive Unit],MATCH(AX405,IncentiveRateTable[Incentive Name],0)))</f>
        <v>None</v>
      </c>
      <c r="BA405" s="465">
        <f t="shared" si="183"/>
        <v>0</v>
      </c>
      <c r="BB405" s="264" t="e" cm="1">
        <f t="array" ref="BB405">INDEX(BallastFactorTable[Commercial BPA Reference Number],MATCH(1,(BallastFactorTable[Fixture Class]=J405)*(BallastFactorTable[Fixture Category]=K405)*(BallastFactorTable[Fixture Sub-category]=L405),0))</f>
        <v>#N/A</v>
      </c>
      <c r="BC405" s="133" t="e" cm="1">
        <f t="array" ref="BC405">INDEX(BallastFactorTable[Industrial BPA Reference Number],MATCH(1,(BallastFactorTable[Fixture Class]=J405)*(BallastFactorTable[Fixture Category]=K405)*(BallastFactorTable[Fixture Sub-category]=L405),0))</f>
        <v>#N/A</v>
      </c>
      <c r="BD405" s="264" t="str">
        <f t="shared" si="184"/>
        <v>Sector is blank</v>
      </c>
      <c r="BE405" s="269" t="str">
        <f>IF(ISBLANK(SectorField),"Sector is blank",IF(AM405="Row Not Used","",IF(OR(R405="No Controls",ISBLANK(R405)),"",INDEX(ControlsBPARefNoTable[Reference Number],MATCH(SectorField,ControlsBPARefNoTable[Sector],0)))))</f>
        <v>Sector is blank</v>
      </c>
      <c r="BF405" s="530" t="str">
        <f t="shared" si="185"/>
        <v/>
      </c>
      <c r="BG405" s="132" t="str">
        <f t="shared" si="186"/>
        <v/>
      </c>
      <c r="BH405" s="531" t="str">
        <f t="shared" si="187"/>
        <v/>
      </c>
      <c r="BI405" s="532"/>
      <c r="BJ405" s="538" t="str">
        <f t="shared" si="193"/>
        <v/>
      </c>
      <c r="BK405" s="539" t="str">
        <f t="shared" si="194"/>
        <v/>
      </c>
      <c r="BL405" s="547" t="str">
        <f t="shared" si="195"/>
        <v/>
      </c>
    </row>
    <row r="406" spans="1:64" x14ac:dyDescent="0.3">
      <c r="A406" s="133">
        <v>399</v>
      </c>
      <c r="B406" s="294"/>
      <c r="C406" s="313"/>
      <c r="D406" s="292"/>
      <c r="E406" s="284"/>
      <c r="F406" s="284"/>
      <c r="G406" s="295"/>
      <c r="H406" s="296"/>
      <c r="I406" s="297"/>
      <c r="J406" s="292"/>
      <c r="K406" s="284"/>
      <c r="L406" s="284"/>
      <c r="M406" s="295"/>
      <c r="N406" s="296"/>
      <c r="O406" s="296"/>
      <c r="P406" s="284"/>
      <c r="Q406" s="298"/>
      <c r="R406" s="292"/>
      <c r="S406" s="299"/>
      <c r="T406" s="300"/>
      <c r="U406" s="317" t="str">
        <f t="shared" si="169"/>
        <v/>
      </c>
      <c r="V406" s="301"/>
      <c r="W406" s="137" t="str">
        <f t="shared" si="170"/>
        <v/>
      </c>
      <c r="X406" s="589" t="str">
        <f t="shared" si="188"/>
        <v/>
      </c>
      <c r="Y406" s="581"/>
      <c r="Z406" s="251" t="str">
        <f t="shared" si="171"/>
        <v/>
      </c>
      <c r="AA406" s="138" t="str">
        <f t="shared" si="196"/>
        <v/>
      </c>
      <c r="AB406" s="243" t="str">
        <f t="shared" si="189"/>
        <v/>
      </c>
      <c r="AC406" s="141" t="str">
        <f t="shared" si="172"/>
        <v/>
      </c>
      <c r="AD406" s="138" t="str">
        <f t="shared" si="190"/>
        <v/>
      </c>
      <c r="AE406" s="243" t="str">
        <f t="shared" si="173"/>
        <v/>
      </c>
      <c r="AF406" s="342" t="str">
        <f>IF(AM406="Row Not Used","",INDEX(SpaceTable[Annual Hours],(MATCH(B406,SpaceTable[Space Name Concatenated Helper],0))))</f>
        <v/>
      </c>
      <c r="AG406" s="205" t="str">
        <f t="shared" si="174"/>
        <v/>
      </c>
      <c r="AH406" s="234" t="str">
        <f t="shared" si="175"/>
        <v/>
      </c>
      <c r="AI406" s="205" t="str">
        <f t="shared" si="176"/>
        <v/>
      </c>
      <c r="AJ406" s="234" t="str">
        <f t="shared" si="177"/>
        <v/>
      </c>
      <c r="AK406" s="144" t="str">
        <f>IF(AM406="Row Not Used","",INDEX(SpaceTable[Row],(MATCH(B406,SpaceTable[Space Name Concatenated Helper],0))))</f>
        <v/>
      </c>
      <c r="AL406" s="238" t="str">
        <f>IF(AM406="Row Not Used","",INDEX(SpaceTable[HVAC Factor],(MATCH(B406,SpaceTable[Space Name Concatenated Helper],0))))</f>
        <v/>
      </c>
      <c r="AM406" s="520" t="str">
        <f t="shared" si="178"/>
        <v>Row Not Used</v>
      </c>
      <c r="AN406" s="512" t="e" cm="1">
        <f t="array" ref="AN406">INDEX(BallastFactorTable[Ballast Factor],MATCH(1,(BallastFactorTable[Fixture Class]=D406)*(BallastFactorTable[Fixture Category]=E406)*(BallastFactorTable[Fixture Sub-category]=F406),0))</f>
        <v>#N/A</v>
      </c>
      <c r="AO406" s="143" t="str">
        <f t="shared" si="191"/>
        <v/>
      </c>
      <c r="AP406" s="501" t="e" cm="1">
        <f t="array" ref="AP406">INDEX(BallastFactorTable[Wattage Range Name],MATCH(1,(BallastFactorTable[Fixture Class]=D406)*(BallastFactorTable[Fixture Category]=E406)*(BallastFactorTable[Fixture Sub-category]=F406),0))</f>
        <v>#N/A</v>
      </c>
      <c r="AQ406" s="515" t="str">
        <f t="shared" ca="1" si="179"/>
        <v>Okay</v>
      </c>
      <c r="AR406" s="512">
        <f t="shared" si="180"/>
        <v>0</v>
      </c>
      <c r="AS406" s="511" t="str">
        <f>IF(OR(Measures!AM406="Row Not Used",Measures!C406="Controls Only",Measures!C406="Decommissioning"),"",_xlfn.CONCAT(P406," ",Q406))</f>
        <v/>
      </c>
      <c r="AT406" s="264" t="str">
        <f t="shared" si="181"/>
        <v>None</v>
      </c>
      <c r="AU406" s="229">
        <f>IF(OR(AM406="Row Not Used",AM406="Controls Only"),0,INDEX(IncentiveRateTable[Incentive Rate],MATCH(AT406,IncentiveRateTable[Incentive Name],0)))</f>
        <v>0</v>
      </c>
      <c r="AV406" s="133" t="str">
        <f>IF(OR(AM406="Row Not Used",AM406="Controls Only"),"None",INDEX(IncentiveRateTable[Incentive Unit],MATCH(AT406,IncentiveRateTable[Incentive Name],0)))</f>
        <v>None</v>
      </c>
      <c r="AW406" s="578">
        <f t="shared" si="192"/>
        <v>0</v>
      </c>
      <c r="AX406" s="264" t="str">
        <f t="shared" si="182"/>
        <v>None</v>
      </c>
      <c r="AY406" s="229">
        <f>IF(OR(AM406="Row Not Used",AM406="Fixtures Only",AM406="Decommissioning"),0,INDEX(IncentiveRateTable[Incentive Rate],MATCH(AX406,IncentiveRateTable[Incentive Name],0)))</f>
        <v>0</v>
      </c>
      <c r="AZ406" s="133" t="str">
        <f>IF(OR(AM406="Row Not Used",AM406="Fixtures Only",AM406="Decommissioning"),"None",INDEX(IncentiveRateTable[Incentive Unit],MATCH(AX406,IncentiveRateTable[Incentive Name],0)))</f>
        <v>None</v>
      </c>
      <c r="BA406" s="465">
        <f t="shared" si="183"/>
        <v>0</v>
      </c>
      <c r="BB406" s="264" t="e" cm="1">
        <f t="array" ref="BB406">INDEX(BallastFactorTable[Commercial BPA Reference Number],MATCH(1,(BallastFactorTable[Fixture Class]=J406)*(BallastFactorTable[Fixture Category]=K406)*(BallastFactorTable[Fixture Sub-category]=L406),0))</f>
        <v>#N/A</v>
      </c>
      <c r="BC406" s="133" t="e" cm="1">
        <f t="array" ref="BC406">INDEX(BallastFactorTable[Industrial BPA Reference Number],MATCH(1,(BallastFactorTable[Fixture Class]=J406)*(BallastFactorTable[Fixture Category]=K406)*(BallastFactorTable[Fixture Sub-category]=L406),0))</f>
        <v>#N/A</v>
      </c>
      <c r="BD406" s="264" t="str">
        <f t="shared" si="184"/>
        <v>Sector is blank</v>
      </c>
      <c r="BE406" s="269" t="str">
        <f>IF(ISBLANK(SectorField),"Sector is blank",IF(AM406="Row Not Used","",IF(OR(R406="No Controls",ISBLANK(R406)),"",INDEX(ControlsBPARefNoTable[Reference Number],MATCH(SectorField,ControlsBPARefNoTable[Sector],0)))))</f>
        <v>Sector is blank</v>
      </c>
      <c r="BF406" s="530" t="str">
        <f t="shared" si="185"/>
        <v/>
      </c>
      <c r="BG406" s="132" t="str">
        <f t="shared" si="186"/>
        <v/>
      </c>
      <c r="BH406" s="531" t="str">
        <f t="shared" si="187"/>
        <v/>
      </c>
      <c r="BI406" s="532"/>
      <c r="BJ406" s="538" t="str">
        <f t="shared" si="193"/>
        <v/>
      </c>
      <c r="BK406" s="539" t="str">
        <f t="shared" si="194"/>
        <v/>
      </c>
      <c r="BL406" s="547" t="str">
        <f t="shared" si="195"/>
        <v/>
      </c>
    </row>
    <row r="407" spans="1:64" x14ac:dyDescent="0.3">
      <c r="A407" s="133">
        <v>400</v>
      </c>
      <c r="B407" s="294"/>
      <c r="C407" s="313"/>
      <c r="D407" s="292"/>
      <c r="E407" s="284"/>
      <c r="F407" s="284"/>
      <c r="G407" s="295"/>
      <c r="H407" s="296"/>
      <c r="I407" s="297"/>
      <c r="J407" s="292"/>
      <c r="K407" s="284"/>
      <c r="L407" s="284"/>
      <c r="M407" s="295"/>
      <c r="N407" s="296"/>
      <c r="O407" s="296"/>
      <c r="P407" s="284"/>
      <c r="Q407" s="298"/>
      <c r="R407" s="292"/>
      <c r="S407" s="299"/>
      <c r="T407" s="300"/>
      <c r="U407" s="317" t="str">
        <f t="shared" si="169"/>
        <v/>
      </c>
      <c r="V407" s="301"/>
      <c r="W407" s="136" t="str">
        <f t="shared" si="170"/>
        <v/>
      </c>
      <c r="X407" s="588" t="str">
        <f t="shared" si="188"/>
        <v/>
      </c>
      <c r="Y407" s="580"/>
      <c r="Z407" s="251" t="str">
        <f t="shared" si="171"/>
        <v/>
      </c>
      <c r="AA407" s="138" t="str">
        <f t="shared" si="196"/>
        <v/>
      </c>
      <c r="AB407" s="243" t="str">
        <f t="shared" si="189"/>
        <v/>
      </c>
      <c r="AC407" s="141" t="str">
        <f t="shared" si="172"/>
        <v/>
      </c>
      <c r="AD407" s="138" t="str">
        <f t="shared" si="190"/>
        <v/>
      </c>
      <c r="AE407" s="243" t="str">
        <f t="shared" si="173"/>
        <v/>
      </c>
      <c r="AF407" s="342" t="str">
        <f>IF(AM407="Row Not Used","",INDEX(SpaceTable[Annual Hours],(MATCH(B407,SpaceTable[Space Name Concatenated Helper],0))))</f>
        <v/>
      </c>
      <c r="AG407" s="205" t="str">
        <f t="shared" si="174"/>
        <v/>
      </c>
      <c r="AH407" s="234" t="str">
        <f t="shared" si="175"/>
        <v/>
      </c>
      <c r="AI407" s="205" t="str">
        <f t="shared" si="176"/>
        <v/>
      </c>
      <c r="AJ407" s="234" t="str">
        <f t="shared" si="177"/>
        <v/>
      </c>
      <c r="AK407" s="144" t="str">
        <f>IF(AM407="Row Not Used","",INDEX(SpaceTable[Row],(MATCH(B407,SpaceTable[Space Name Concatenated Helper],0))))</f>
        <v/>
      </c>
      <c r="AL407" s="238" t="str">
        <f>IF(AM407="Row Not Used","",INDEX(SpaceTable[HVAC Factor],(MATCH(B407,SpaceTable[Space Name Concatenated Helper],0))))</f>
        <v/>
      </c>
      <c r="AM407" s="520" t="str">
        <f t="shared" si="178"/>
        <v>Row Not Used</v>
      </c>
      <c r="AN407" s="512" t="e" cm="1">
        <f t="array" ref="AN407">INDEX(BallastFactorTable[Ballast Factor],MATCH(1,(BallastFactorTable[Fixture Class]=D407)*(BallastFactorTable[Fixture Category]=E407)*(BallastFactorTable[Fixture Sub-category]=F407),0))</f>
        <v>#N/A</v>
      </c>
      <c r="AO407" s="143" t="str">
        <f t="shared" si="191"/>
        <v/>
      </c>
      <c r="AP407" s="501" t="e" cm="1">
        <f t="array" ref="AP407">INDEX(BallastFactorTable[Wattage Range Name],MATCH(1,(BallastFactorTable[Fixture Class]=D407)*(BallastFactorTable[Fixture Category]=E407)*(BallastFactorTable[Fixture Sub-category]=F407),0))</f>
        <v>#N/A</v>
      </c>
      <c r="AQ407" s="515" t="str">
        <f t="shared" ca="1" si="179"/>
        <v>Okay</v>
      </c>
      <c r="AR407" s="512">
        <f t="shared" si="180"/>
        <v>0</v>
      </c>
      <c r="AS407" s="511" t="str">
        <f>IF(OR(Measures!AM407="Row Not Used",Measures!C407="Controls Only",Measures!C407="Decommissioning"),"",_xlfn.CONCAT(P407," ",Q407))</f>
        <v/>
      </c>
      <c r="AT407" s="264" t="str">
        <f t="shared" si="181"/>
        <v>None</v>
      </c>
      <c r="AU407" s="229">
        <f>IF(OR(AM407="Row Not Used",AM407="Controls Only"),0,INDEX(IncentiveRateTable[Incentive Rate],MATCH(AT407,IncentiveRateTable[Incentive Name],0)))</f>
        <v>0</v>
      </c>
      <c r="AV407" s="133" t="str">
        <f>IF(OR(AM407="Row Not Used",AM407="Controls Only"),"None",INDEX(IncentiveRateTable[Incentive Unit],MATCH(AT407,IncentiveRateTable[Incentive Name],0)))</f>
        <v>None</v>
      </c>
      <c r="AW407" s="578">
        <f t="shared" si="192"/>
        <v>0</v>
      </c>
      <c r="AX407" s="264" t="str">
        <f t="shared" si="182"/>
        <v>None</v>
      </c>
      <c r="AY407" s="229">
        <f>IF(OR(AM407="Row Not Used",AM407="Fixtures Only",AM407="Decommissioning"),0,INDEX(IncentiveRateTable[Incentive Rate],MATCH(AX407,IncentiveRateTable[Incentive Name],0)))</f>
        <v>0</v>
      </c>
      <c r="AZ407" s="133" t="str">
        <f>IF(OR(AM407="Row Not Used",AM407="Fixtures Only",AM407="Decommissioning"),"None",INDEX(IncentiveRateTable[Incentive Unit],MATCH(AX407,IncentiveRateTable[Incentive Name],0)))</f>
        <v>None</v>
      </c>
      <c r="BA407" s="465">
        <f t="shared" si="183"/>
        <v>0</v>
      </c>
      <c r="BB407" s="264" t="e" cm="1">
        <f t="array" ref="BB407">INDEX(BallastFactorTable[Commercial BPA Reference Number],MATCH(1,(BallastFactorTable[Fixture Class]=J407)*(BallastFactorTable[Fixture Category]=K407)*(BallastFactorTable[Fixture Sub-category]=L407),0))</f>
        <v>#N/A</v>
      </c>
      <c r="BC407" s="133" t="e" cm="1">
        <f t="array" ref="BC407">INDEX(BallastFactorTable[Industrial BPA Reference Number],MATCH(1,(BallastFactorTable[Fixture Class]=J407)*(BallastFactorTable[Fixture Category]=K407)*(BallastFactorTable[Fixture Sub-category]=L407),0))</f>
        <v>#N/A</v>
      </c>
      <c r="BD407" s="264" t="str">
        <f t="shared" si="184"/>
        <v>Sector is blank</v>
      </c>
      <c r="BE407" s="269" t="str">
        <f>IF(ISBLANK(SectorField),"Sector is blank",IF(AM407="Row Not Used","",IF(OR(R407="No Controls",ISBLANK(R407)),"",INDEX(ControlsBPARefNoTable[Reference Number],MATCH(SectorField,ControlsBPARefNoTable[Sector],0)))))</f>
        <v>Sector is blank</v>
      </c>
      <c r="BF407" s="530" t="str">
        <f t="shared" si="185"/>
        <v/>
      </c>
      <c r="BG407" s="132" t="str">
        <f t="shared" si="186"/>
        <v/>
      </c>
      <c r="BH407" s="531" t="str">
        <f t="shared" si="187"/>
        <v/>
      </c>
      <c r="BI407" s="532"/>
      <c r="BJ407" s="538" t="str">
        <f t="shared" si="193"/>
        <v/>
      </c>
      <c r="BK407" s="539" t="str">
        <f t="shared" si="194"/>
        <v/>
      </c>
      <c r="BL407" s="547" t="str">
        <f t="shared" si="195"/>
        <v/>
      </c>
    </row>
    <row r="408" spans="1:64" x14ac:dyDescent="0.3">
      <c r="A408" s="133">
        <v>401</v>
      </c>
      <c r="B408" s="294"/>
      <c r="C408" s="313"/>
      <c r="D408" s="292"/>
      <c r="E408" s="284"/>
      <c r="F408" s="284"/>
      <c r="G408" s="295"/>
      <c r="H408" s="296"/>
      <c r="I408" s="297"/>
      <c r="J408" s="292"/>
      <c r="K408" s="284"/>
      <c r="L408" s="284"/>
      <c r="M408" s="295"/>
      <c r="N408" s="296"/>
      <c r="O408" s="296"/>
      <c r="P408" s="284"/>
      <c r="Q408" s="298"/>
      <c r="R408" s="292"/>
      <c r="S408" s="299"/>
      <c r="T408" s="300"/>
      <c r="U408" s="317" t="str">
        <f t="shared" si="169"/>
        <v/>
      </c>
      <c r="V408" s="301"/>
      <c r="W408" s="137" t="str">
        <f t="shared" si="170"/>
        <v/>
      </c>
      <c r="X408" s="589" t="str">
        <f t="shared" si="188"/>
        <v/>
      </c>
      <c r="Y408" s="581"/>
      <c r="Z408" s="251" t="str">
        <f t="shared" si="171"/>
        <v/>
      </c>
      <c r="AA408" s="138" t="str">
        <f t="shared" si="196"/>
        <v/>
      </c>
      <c r="AB408" s="243" t="str">
        <f t="shared" si="189"/>
        <v/>
      </c>
      <c r="AC408" s="141" t="str">
        <f t="shared" si="172"/>
        <v/>
      </c>
      <c r="AD408" s="138" t="str">
        <f t="shared" si="190"/>
        <v/>
      </c>
      <c r="AE408" s="243" t="str">
        <f t="shared" si="173"/>
        <v/>
      </c>
      <c r="AF408" s="342" t="str">
        <f>IF(AM408="Row Not Used","",INDEX(SpaceTable[Annual Hours],(MATCH(B408,SpaceTable[Space Name Concatenated Helper],0))))</f>
        <v/>
      </c>
      <c r="AG408" s="205" t="str">
        <f t="shared" si="174"/>
        <v/>
      </c>
      <c r="AH408" s="234" t="str">
        <f t="shared" si="175"/>
        <v/>
      </c>
      <c r="AI408" s="205" t="str">
        <f t="shared" si="176"/>
        <v/>
      </c>
      <c r="AJ408" s="234" t="str">
        <f t="shared" si="177"/>
        <v/>
      </c>
      <c r="AK408" s="144" t="str">
        <f>IF(AM408="Row Not Used","",INDEX(SpaceTable[Row],(MATCH(B408,SpaceTable[Space Name Concatenated Helper],0))))</f>
        <v/>
      </c>
      <c r="AL408" s="238" t="str">
        <f>IF(AM408="Row Not Used","",INDEX(SpaceTable[HVAC Factor],(MATCH(B408,SpaceTable[Space Name Concatenated Helper],0))))</f>
        <v/>
      </c>
      <c r="AM408" s="520" t="str">
        <f t="shared" si="178"/>
        <v>Row Not Used</v>
      </c>
      <c r="AN408" s="512" t="e" cm="1">
        <f t="array" ref="AN408">INDEX(BallastFactorTable[Ballast Factor],MATCH(1,(BallastFactorTable[Fixture Class]=D408)*(BallastFactorTable[Fixture Category]=E408)*(BallastFactorTable[Fixture Sub-category]=F408),0))</f>
        <v>#N/A</v>
      </c>
      <c r="AO408" s="143" t="str">
        <f t="shared" si="191"/>
        <v/>
      </c>
      <c r="AP408" s="501" t="e" cm="1">
        <f t="array" ref="AP408">INDEX(BallastFactorTable[Wattage Range Name],MATCH(1,(BallastFactorTable[Fixture Class]=D408)*(BallastFactorTable[Fixture Category]=E408)*(BallastFactorTable[Fixture Sub-category]=F408),0))</f>
        <v>#N/A</v>
      </c>
      <c r="AQ408" s="515" t="str">
        <f t="shared" ca="1" si="179"/>
        <v>Okay</v>
      </c>
      <c r="AR408" s="512">
        <f t="shared" si="180"/>
        <v>0</v>
      </c>
      <c r="AS408" s="511" t="str">
        <f>IF(OR(Measures!AM408="Row Not Used",Measures!C408="Controls Only",Measures!C408="Decommissioning"),"",_xlfn.CONCAT(P408," ",Q408))</f>
        <v/>
      </c>
      <c r="AT408" s="264" t="str">
        <f t="shared" si="181"/>
        <v>None</v>
      </c>
      <c r="AU408" s="229">
        <f>IF(OR(AM408="Row Not Used",AM408="Controls Only"),0,INDEX(IncentiveRateTable[Incentive Rate],MATCH(AT408,IncentiveRateTable[Incentive Name],0)))</f>
        <v>0</v>
      </c>
      <c r="AV408" s="133" t="str">
        <f>IF(OR(AM408="Row Not Used",AM408="Controls Only"),"None",INDEX(IncentiveRateTable[Incentive Unit],MATCH(AT408,IncentiveRateTable[Incentive Name],0)))</f>
        <v>None</v>
      </c>
      <c r="AW408" s="578">
        <f t="shared" si="192"/>
        <v>0</v>
      </c>
      <c r="AX408" s="264" t="str">
        <f t="shared" si="182"/>
        <v>None</v>
      </c>
      <c r="AY408" s="229">
        <f>IF(OR(AM408="Row Not Used",AM408="Fixtures Only",AM408="Decommissioning"),0,INDEX(IncentiveRateTable[Incentive Rate],MATCH(AX408,IncentiveRateTable[Incentive Name],0)))</f>
        <v>0</v>
      </c>
      <c r="AZ408" s="133" t="str">
        <f>IF(OR(AM408="Row Not Used",AM408="Fixtures Only",AM408="Decommissioning"),"None",INDEX(IncentiveRateTable[Incentive Unit],MATCH(AX408,IncentiveRateTable[Incentive Name],0)))</f>
        <v>None</v>
      </c>
      <c r="BA408" s="465">
        <f t="shared" si="183"/>
        <v>0</v>
      </c>
      <c r="BB408" s="264" t="e" cm="1">
        <f t="array" ref="BB408">INDEX(BallastFactorTable[Commercial BPA Reference Number],MATCH(1,(BallastFactorTable[Fixture Class]=J408)*(BallastFactorTable[Fixture Category]=K408)*(BallastFactorTable[Fixture Sub-category]=L408),0))</f>
        <v>#N/A</v>
      </c>
      <c r="BC408" s="133" t="e" cm="1">
        <f t="array" ref="BC408">INDEX(BallastFactorTable[Industrial BPA Reference Number],MATCH(1,(BallastFactorTable[Fixture Class]=J408)*(BallastFactorTable[Fixture Category]=K408)*(BallastFactorTable[Fixture Sub-category]=L408),0))</f>
        <v>#N/A</v>
      </c>
      <c r="BD408" s="264" t="str">
        <f t="shared" si="184"/>
        <v>Sector is blank</v>
      </c>
      <c r="BE408" s="269" t="str">
        <f>IF(ISBLANK(SectorField),"Sector is blank",IF(AM408="Row Not Used","",IF(OR(R408="No Controls",ISBLANK(R408)),"",INDEX(ControlsBPARefNoTable[Reference Number],MATCH(SectorField,ControlsBPARefNoTable[Sector],0)))))</f>
        <v>Sector is blank</v>
      </c>
      <c r="BF408" s="530" t="str">
        <f t="shared" si="185"/>
        <v/>
      </c>
      <c r="BG408" s="132" t="str">
        <f t="shared" si="186"/>
        <v/>
      </c>
      <c r="BH408" s="531" t="str">
        <f t="shared" si="187"/>
        <v/>
      </c>
      <c r="BI408" s="532"/>
      <c r="BJ408" s="538" t="str">
        <f t="shared" si="193"/>
        <v/>
      </c>
      <c r="BK408" s="539" t="str">
        <f t="shared" si="194"/>
        <v/>
      </c>
      <c r="BL408" s="547" t="str">
        <f t="shared" si="195"/>
        <v/>
      </c>
    </row>
    <row r="409" spans="1:64" x14ac:dyDescent="0.3">
      <c r="A409" s="133">
        <v>402</v>
      </c>
      <c r="B409" s="294"/>
      <c r="C409" s="313"/>
      <c r="D409" s="292"/>
      <c r="E409" s="284"/>
      <c r="F409" s="284"/>
      <c r="G409" s="295"/>
      <c r="H409" s="296"/>
      <c r="I409" s="297"/>
      <c r="J409" s="292"/>
      <c r="K409" s="284"/>
      <c r="L409" s="284"/>
      <c r="M409" s="295"/>
      <c r="N409" s="296"/>
      <c r="O409" s="296"/>
      <c r="P409" s="284"/>
      <c r="Q409" s="298"/>
      <c r="R409" s="292"/>
      <c r="S409" s="299"/>
      <c r="T409" s="300"/>
      <c r="U409" s="317" t="str">
        <f t="shared" si="169"/>
        <v/>
      </c>
      <c r="V409" s="301"/>
      <c r="W409" s="136" t="str">
        <f t="shared" si="170"/>
        <v/>
      </c>
      <c r="X409" s="588" t="str">
        <f t="shared" si="188"/>
        <v/>
      </c>
      <c r="Y409" s="580"/>
      <c r="Z409" s="251" t="str">
        <f t="shared" si="171"/>
        <v/>
      </c>
      <c r="AA409" s="138" t="str">
        <f t="shared" si="196"/>
        <v/>
      </c>
      <c r="AB409" s="243" t="str">
        <f t="shared" si="189"/>
        <v/>
      </c>
      <c r="AC409" s="141" t="str">
        <f t="shared" si="172"/>
        <v/>
      </c>
      <c r="AD409" s="138" t="str">
        <f t="shared" si="190"/>
        <v/>
      </c>
      <c r="AE409" s="243" t="str">
        <f t="shared" si="173"/>
        <v/>
      </c>
      <c r="AF409" s="342" t="str">
        <f>IF(AM409="Row Not Used","",INDEX(SpaceTable[Annual Hours],(MATCH(B409,SpaceTable[Space Name Concatenated Helper],0))))</f>
        <v/>
      </c>
      <c r="AG409" s="205" t="str">
        <f t="shared" si="174"/>
        <v/>
      </c>
      <c r="AH409" s="234" t="str">
        <f t="shared" si="175"/>
        <v/>
      </c>
      <c r="AI409" s="205" t="str">
        <f t="shared" si="176"/>
        <v/>
      </c>
      <c r="AJ409" s="234" t="str">
        <f t="shared" si="177"/>
        <v/>
      </c>
      <c r="AK409" s="144" t="str">
        <f>IF(AM409="Row Not Used","",INDEX(SpaceTable[Row],(MATCH(B409,SpaceTable[Space Name Concatenated Helper],0))))</f>
        <v/>
      </c>
      <c r="AL409" s="238" t="str">
        <f>IF(AM409="Row Not Used","",INDEX(SpaceTable[HVAC Factor],(MATCH(B409,SpaceTable[Space Name Concatenated Helper],0))))</f>
        <v/>
      </c>
      <c r="AM409" s="520" t="str">
        <f t="shared" si="178"/>
        <v>Row Not Used</v>
      </c>
      <c r="AN409" s="512" t="e" cm="1">
        <f t="array" ref="AN409">INDEX(BallastFactorTable[Ballast Factor],MATCH(1,(BallastFactorTable[Fixture Class]=D409)*(BallastFactorTable[Fixture Category]=E409)*(BallastFactorTable[Fixture Sub-category]=F409),0))</f>
        <v>#N/A</v>
      </c>
      <c r="AO409" s="143" t="str">
        <f t="shared" si="191"/>
        <v/>
      </c>
      <c r="AP409" s="501" t="e" cm="1">
        <f t="array" ref="AP409">INDEX(BallastFactorTable[Wattage Range Name],MATCH(1,(BallastFactorTable[Fixture Class]=D409)*(BallastFactorTable[Fixture Category]=E409)*(BallastFactorTable[Fixture Sub-category]=F409),0))</f>
        <v>#N/A</v>
      </c>
      <c r="AQ409" s="515" t="str">
        <f t="shared" ca="1" si="179"/>
        <v>Okay</v>
      </c>
      <c r="AR409" s="512">
        <f t="shared" si="180"/>
        <v>0</v>
      </c>
      <c r="AS409" s="511" t="str">
        <f>IF(OR(Measures!AM409="Row Not Used",Measures!C409="Controls Only",Measures!C409="Decommissioning"),"",_xlfn.CONCAT(P409," ",Q409))</f>
        <v/>
      </c>
      <c r="AT409" s="264" t="str">
        <f t="shared" si="181"/>
        <v>None</v>
      </c>
      <c r="AU409" s="229">
        <f>IF(OR(AM409="Row Not Used",AM409="Controls Only"),0,INDEX(IncentiveRateTable[Incentive Rate],MATCH(AT409,IncentiveRateTable[Incentive Name],0)))</f>
        <v>0</v>
      </c>
      <c r="AV409" s="133" t="str">
        <f>IF(OR(AM409="Row Not Used",AM409="Controls Only"),"None",INDEX(IncentiveRateTable[Incentive Unit],MATCH(AT409,IncentiveRateTable[Incentive Name],0)))</f>
        <v>None</v>
      </c>
      <c r="AW409" s="578">
        <f t="shared" si="192"/>
        <v>0</v>
      </c>
      <c r="AX409" s="264" t="str">
        <f t="shared" si="182"/>
        <v>None</v>
      </c>
      <c r="AY409" s="229">
        <f>IF(OR(AM409="Row Not Used",AM409="Fixtures Only",AM409="Decommissioning"),0,INDEX(IncentiveRateTable[Incentive Rate],MATCH(AX409,IncentiveRateTable[Incentive Name],0)))</f>
        <v>0</v>
      </c>
      <c r="AZ409" s="133" t="str">
        <f>IF(OR(AM409="Row Not Used",AM409="Fixtures Only",AM409="Decommissioning"),"None",INDEX(IncentiveRateTable[Incentive Unit],MATCH(AX409,IncentiveRateTable[Incentive Name],0)))</f>
        <v>None</v>
      </c>
      <c r="BA409" s="465">
        <f t="shared" si="183"/>
        <v>0</v>
      </c>
      <c r="BB409" s="264" t="e" cm="1">
        <f t="array" ref="BB409">INDEX(BallastFactorTable[Commercial BPA Reference Number],MATCH(1,(BallastFactorTable[Fixture Class]=J409)*(BallastFactorTable[Fixture Category]=K409)*(BallastFactorTable[Fixture Sub-category]=L409),0))</f>
        <v>#N/A</v>
      </c>
      <c r="BC409" s="133" t="e" cm="1">
        <f t="array" ref="BC409">INDEX(BallastFactorTable[Industrial BPA Reference Number],MATCH(1,(BallastFactorTable[Fixture Class]=J409)*(BallastFactorTable[Fixture Category]=K409)*(BallastFactorTable[Fixture Sub-category]=L409),0))</f>
        <v>#N/A</v>
      </c>
      <c r="BD409" s="264" t="str">
        <f t="shared" si="184"/>
        <v>Sector is blank</v>
      </c>
      <c r="BE409" s="269" t="str">
        <f>IF(ISBLANK(SectorField),"Sector is blank",IF(AM409="Row Not Used","",IF(OR(R409="No Controls",ISBLANK(R409)),"",INDEX(ControlsBPARefNoTable[Reference Number],MATCH(SectorField,ControlsBPARefNoTable[Sector],0)))))</f>
        <v>Sector is blank</v>
      </c>
      <c r="BF409" s="530" t="str">
        <f t="shared" si="185"/>
        <v/>
      </c>
      <c r="BG409" s="132" t="str">
        <f t="shared" si="186"/>
        <v/>
      </c>
      <c r="BH409" s="531" t="str">
        <f t="shared" si="187"/>
        <v/>
      </c>
      <c r="BI409" s="532"/>
      <c r="BJ409" s="538" t="str">
        <f t="shared" si="193"/>
        <v/>
      </c>
      <c r="BK409" s="539" t="str">
        <f t="shared" si="194"/>
        <v/>
      </c>
      <c r="BL409" s="547" t="str">
        <f t="shared" si="195"/>
        <v/>
      </c>
    </row>
    <row r="410" spans="1:64" x14ac:dyDescent="0.3">
      <c r="A410" s="133">
        <v>403</v>
      </c>
      <c r="B410" s="294"/>
      <c r="C410" s="313"/>
      <c r="D410" s="292"/>
      <c r="E410" s="284"/>
      <c r="F410" s="284"/>
      <c r="G410" s="295"/>
      <c r="H410" s="296"/>
      <c r="I410" s="297"/>
      <c r="J410" s="292"/>
      <c r="K410" s="284"/>
      <c r="L410" s="284"/>
      <c r="M410" s="295"/>
      <c r="N410" s="296"/>
      <c r="O410" s="296"/>
      <c r="P410" s="284"/>
      <c r="Q410" s="298"/>
      <c r="R410" s="292"/>
      <c r="S410" s="299"/>
      <c r="T410" s="300"/>
      <c r="U410" s="317" t="str">
        <f t="shared" si="169"/>
        <v/>
      </c>
      <c r="V410" s="301"/>
      <c r="W410" s="137" t="str">
        <f t="shared" si="170"/>
        <v/>
      </c>
      <c r="X410" s="589" t="str">
        <f t="shared" si="188"/>
        <v/>
      </c>
      <c r="Y410" s="581"/>
      <c r="Z410" s="251" t="str">
        <f t="shared" si="171"/>
        <v/>
      </c>
      <c r="AA410" s="138" t="str">
        <f t="shared" si="196"/>
        <v/>
      </c>
      <c r="AB410" s="243" t="str">
        <f t="shared" si="189"/>
        <v/>
      </c>
      <c r="AC410" s="141" t="str">
        <f t="shared" si="172"/>
        <v/>
      </c>
      <c r="AD410" s="138" t="str">
        <f t="shared" si="190"/>
        <v/>
      </c>
      <c r="AE410" s="243" t="str">
        <f t="shared" si="173"/>
        <v/>
      </c>
      <c r="AF410" s="342" t="str">
        <f>IF(AM410="Row Not Used","",INDEX(SpaceTable[Annual Hours],(MATCH(B410,SpaceTable[Space Name Concatenated Helper],0))))</f>
        <v/>
      </c>
      <c r="AG410" s="205" t="str">
        <f t="shared" si="174"/>
        <v/>
      </c>
      <c r="AH410" s="234" t="str">
        <f t="shared" si="175"/>
        <v/>
      </c>
      <c r="AI410" s="205" t="str">
        <f t="shared" si="176"/>
        <v/>
      </c>
      <c r="AJ410" s="234" t="str">
        <f t="shared" si="177"/>
        <v/>
      </c>
      <c r="AK410" s="144" t="str">
        <f>IF(AM410="Row Not Used","",INDEX(SpaceTable[Row],(MATCH(B410,SpaceTable[Space Name Concatenated Helper],0))))</f>
        <v/>
      </c>
      <c r="AL410" s="238" t="str">
        <f>IF(AM410="Row Not Used","",INDEX(SpaceTable[HVAC Factor],(MATCH(B410,SpaceTable[Space Name Concatenated Helper],0))))</f>
        <v/>
      </c>
      <c r="AM410" s="520" t="str">
        <f t="shared" si="178"/>
        <v>Row Not Used</v>
      </c>
      <c r="AN410" s="512" t="e" cm="1">
        <f t="array" ref="AN410">INDEX(BallastFactorTable[Ballast Factor],MATCH(1,(BallastFactorTable[Fixture Class]=D410)*(BallastFactorTable[Fixture Category]=E410)*(BallastFactorTable[Fixture Sub-category]=F410),0))</f>
        <v>#N/A</v>
      </c>
      <c r="AO410" s="143" t="str">
        <f t="shared" si="191"/>
        <v/>
      </c>
      <c r="AP410" s="501" t="e" cm="1">
        <f t="array" ref="AP410">INDEX(BallastFactorTable[Wattage Range Name],MATCH(1,(BallastFactorTable[Fixture Class]=D410)*(BallastFactorTable[Fixture Category]=E410)*(BallastFactorTable[Fixture Sub-category]=F410),0))</f>
        <v>#N/A</v>
      </c>
      <c r="AQ410" s="515" t="str">
        <f t="shared" ca="1" si="179"/>
        <v>Okay</v>
      </c>
      <c r="AR410" s="512">
        <f t="shared" si="180"/>
        <v>0</v>
      </c>
      <c r="AS410" s="511" t="str">
        <f>IF(OR(Measures!AM410="Row Not Used",Measures!C410="Controls Only",Measures!C410="Decommissioning"),"",_xlfn.CONCAT(P410," ",Q410))</f>
        <v/>
      </c>
      <c r="AT410" s="264" t="str">
        <f t="shared" si="181"/>
        <v>None</v>
      </c>
      <c r="AU410" s="229">
        <f>IF(OR(AM410="Row Not Used",AM410="Controls Only"),0,INDEX(IncentiveRateTable[Incentive Rate],MATCH(AT410,IncentiveRateTable[Incentive Name],0)))</f>
        <v>0</v>
      </c>
      <c r="AV410" s="133" t="str">
        <f>IF(OR(AM410="Row Not Used",AM410="Controls Only"),"None",INDEX(IncentiveRateTable[Incentive Unit],MATCH(AT410,IncentiveRateTable[Incentive Name],0)))</f>
        <v>None</v>
      </c>
      <c r="AW410" s="578">
        <f t="shared" si="192"/>
        <v>0</v>
      </c>
      <c r="AX410" s="264" t="str">
        <f t="shared" si="182"/>
        <v>None</v>
      </c>
      <c r="AY410" s="229">
        <f>IF(OR(AM410="Row Not Used",AM410="Fixtures Only",AM410="Decommissioning"),0,INDEX(IncentiveRateTable[Incentive Rate],MATCH(AX410,IncentiveRateTable[Incentive Name],0)))</f>
        <v>0</v>
      </c>
      <c r="AZ410" s="133" t="str">
        <f>IF(OR(AM410="Row Not Used",AM410="Fixtures Only",AM410="Decommissioning"),"None",INDEX(IncentiveRateTable[Incentive Unit],MATCH(AX410,IncentiveRateTable[Incentive Name],0)))</f>
        <v>None</v>
      </c>
      <c r="BA410" s="465">
        <f t="shared" si="183"/>
        <v>0</v>
      </c>
      <c r="BB410" s="264" t="e" cm="1">
        <f t="array" ref="BB410">INDEX(BallastFactorTable[Commercial BPA Reference Number],MATCH(1,(BallastFactorTable[Fixture Class]=J410)*(BallastFactorTable[Fixture Category]=K410)*(BallastFactorTable[Fixture Sub-category]=L410),0))</f>
        <v>#N/A</v>
      </c>
      <c r="BC410" s="133" t="e" cm="1">
        <f t="array" ref="BC410">INDEX(BallastFactorTable[Industrial BPA Reference Number],MATCH(1,(BallastFactorTable[Fixture Class]=J410)*(BallastFactorTable[Fixture Category]=K410)*(BallastFactorTable[Fixture Sub-category]=L410),0))</f>
        <v>#N/A</v>
      </c>
      <c r="BD410" s="264" t="str">
        <f t="shared" si="184"/>
        <v>Sector is blank</v>
      </c>
      <c r="BE410" s="269" t="str">
        <f>IF(ISBLANK(SectorField),"Sector is blank",IF(AM410="Row Not Used","",IF(OR(R410="No Controls",ISBLANK(R410)),"",INDEX(ControlsBPARefNoTable[Reference Number],MATCH(SectorField,ControlsBPARefNoTable[Sector],0)))))</f>
        <v>Sector is blank</v>
      </c>
      <c r="BF410" s="530" t="str">
        <f t="shared" si="185"/>
        <v/>
      </c>
      <c r="BG410" s="132" t="str">
        <f t="shared" si="186"/>
        <v/>
      </c>
      <c r="BH410" s="531" t="str">
        <f t="shared" si="187"/>
        <v/>
      </c>
      <c r="BI410" s="532"/>
      <c r="BJ410" s="538" t="str">
        <f t="shared" si="193"/>
        <v/>
      </c>
      <c r="BK410" s="539" t="str">
        <f t="shared" si="194"/>
        <v/>
      </c>
      <c r="BL410" s="547" t="str">
        <f t="shared" si="195"/>
        <v/>
      </c>
    </row>
    <row r="411" spans="1:64" x14ac:dyDescent="0.3">
      <c r="A411" s="133">
        <v>404</v>
      </c>
      <c r="B411" s="294"/>
      <c r="C411" s="313"/>
      <c r="D411" s="292"/>
      <c r="E411" s="284"/>
      <c r="F411" s="284"/>
      <c r="G411" s="295"/>
      <c r="H411" s="296"/>
      <c r="I411" s="297"/>
      <c r="J411" s="292"/>
      <c r="K411" s="284"/>
      <c r="L411" s="284"/>
      <c r="M411" s="295"/>
      <c r="N411" s="296"/>
      <c r="O411" s="296"/>
      <c r="P411" s="284"/>
      <c r="Q411" s="298"/>
      <c r="R411" s="292"/>
      <c r="S411" s="299"/>
      <c r="T411" s="300"/>
      <c r="U411" s="317" t="str">
        <f t="shared" si="169"/>
        <v/>
      </c>
      <c r="V411" s="301"/>
      <c r="W411" s="136" t="str">
        <f t="shared" si="170"/>
        <v/>
      </c>
      <c r="X411" s="588" t="str">
        <f t="shared" si="188"/>
        <v/>
      </c>
      <c r="Y411" s="580"/>
      <c r="Z411" s="251" t="str">
        <f t="shared" si="171"/>
        <v/>
      </c>
      <c r="AA411" s="138" t="str">
        <f t="shared" si="196"/>
        <v/>
      </c>
      <c r="AB411" s="243" t="str">
        <f t="shared" si="189"/>
        <v/>
      </c>
      <c r="AC411" s="141" t="str">
        <f t="shared" si="172"/>
        <v/>
      </c>
      <c r="AD411" s="138" t="str">
        <f t="shared" si="190"/>
        <v/>
      </c>
      <c r="AE411" s="243" t="str">
        <f t="shared" si="173"/>
        <v/>
      </c>
      <c r="AF411" s="342" t="str">
        <f>IF(AM411="Row Not Used","",INDEX(SpaceTable[Annual Hours],(MATCH(B411,SpaceTable[Space Name Concatenated Helper],0))))</f>
        <v/>
      </c>
      <c r="AG411" s="205" t="str">
        <f t="shared" si="174"/>
        <v/>
      </c>
      <c r="AH411" s="234" t="str">
        <f t="shared" si="175"/>
        <v/>
      </c>
      <c r="AI411" s="205" t="str">
        <f t="shared" si="176"/>
        <v/>
      </c>
      <c r="AJ411" s="234" t="str">
        <f t="shared" si="177"/>
        <v/>
      </c>
      <c r="AK411" s="144" t="str">
        <f>IF(AM411="Row Not Used","",INDEX(SpaceTable[Row],(MATCH(B411,SpaceTable[Space Name Concatenated Helper],0))))</f>
        <v/>
      </c>
      <c r="AL411" s="238" t="str">
        <f>IF(AM411="Row Not Used","",INDEX(SpaceTable[HVAC Factor],(MATCH(B411,SpaceTable[Space Name Concatenated Helper],0))))</f>
        <v/>
      </c>
      <c r="AM411" s="520" t="str">
        <f t="shared" si="178"/>
        <v>Row Not Used</v>
      </c>
      <c r="AN411" s="512" t="e" cm="1">
        <f t="array" ref="AN411">INDEX(BallastFactorTable[Ballast Factor],MATCH(1,(BallastFactorTable[Fixture Class]=D411)*(BallastFactorTable[Fixture Category]=E411)*(BallastFactorTable[Fixture Sub-category]=F411),0))</f>
        <v>#N/A</v>
      </c>
      <c r="AO411" s="143" t="str">
        <f t="shared" si="191"/>
        <v/>
      </c>
      <c r="AP411" s="501" t="e" cm="1">
        <f t="array" ref="AP411">INDEX(BallastFactorTable[Wattage Range Name],MATCH(1,(BallastFactorTable[Fixture Class]=D411)*(BallastFactorTable[Fixture Category]=E411)*(BallastFactorTable[Fixture Sub-category]=F411),0))</f>
        <v>#N/A</v>
      </c>
      <c r="AQ411" s="515" t="str">
        <f t="shared" ca="1" si="179"/>
        <v>Okay</v>
      </c>
      <c r="AR411" s="512">
        <f t="shared" si="180"/>
        <v>0</v>
      </c>
      <c r="AS411" s="511" t="str">
        <f>IF(OR(Measures!AM411="Row Not Used",Measures!C411="Controls Only",Measures!C411="Decommissioning"),"",_xlfn.CONCAT(P411," ",Q411))</f>
        <v/>
      </c>
      <c r="AT411" s="264" t="str">
        <f t="shared" si="181"/>
        <v>None</v>
      </c>
      <c r="AU411" s="229">
        <f>IF(OR(AM411="Row Not Used",AM411="Controls Only"),0,INDEX(IncentiveRateTable[Incentive Rate],MATCH(AT411,IncentiveRateTable[Incentive Name],0)))</f>
        <v>0</v>
      </c>
      <c r="AV411" s="133" t="str">
        <f>IF(OR(AM411="Row Not Used",AM411="Controls Only"),"None",INDEX(IncentiveRateTable[Incentive Unit],MATCH(AT411,IncentiveRateTable[Incentive Name],0)))</f>
        <v>None</v>
      </c>
      <c r="AW411" s="578">
        <f t="shared" si="192"/>
        <v>0</v>
      </c>
      <c r="AX411" s="264" t="str">
        <f t="shared" si="182"/>
        <v>None</v>
      </c>
      <c r="AY411" s="229">
        <f>IF(OR(AM411="Row Not Used",AM411="Fixtures Only",AM411="Decommissioning"),0,INDEX(IncentiveRateTable[Incentive Rate],MATCH(AX411,IncentiveRateTable[Incentive Name],0)))</f>
        <v>0</v>
      </c>
      <c r="AZ411" s="133" t="str">
        <f>IF(OR(AM411="Row Not Used",AM411="Fixtures Only",AM411="Decommissioning"),"None",INDEX(IncentiveRateTable[Incentive Unit],MATCH(AX411,IncentiveRateTable[Incentive Name],0)))</f>
        <v>None</v>
      </c>
      <c r="BA411" s="465">
        <f t="shared" si="183"/>
        <v>0</v>
      </c>
      <c r="BB411" s="264" t="e" cm="1">
        <f t="array" ref="BB411">INDEX(BallastFactorTable[Commercial BPA Reference Number],MATCH(1,(BallastFactorTable[Fixture Class]=J411)*(BallastFactorTable[Fixture Category]=K411)*(BallastFactorTable[Fixture Sub-category]=L411),0))</f>
        <v>#N/A</v>
      </c>
      <c r="BC411" s="133" t="e" cm="1">
        <f t="array" ref="BC411">INDEX(BallastFactorTable[Industrial BPA Reference Number],MATCH(1,(BallastFactorTable[Fixture Class]=J411)*(BallastFactorTable[Fixture Category]=K411)*(BallastFactorTable[Fixture Sub-category]=L411),0))</f>
        <v>#N/A</v>
      </c>
      <c r="BD411" s="264" t="str">
        <f t="shared" si="184"/>
        <v>Sector is blank</v>
      </c>
      <c r="BE411" s="269" t="str">
        <f>IF(ISBLANK(SectorField),"Sector is blank",IF(AM411="Row Not Used","",IF(OR(R411="No Controls",ISBLANK(R411)),"",INDEX(ControlsBPARefNoTable[Reference Number],MATCH(SectorField,ControlsBPARefNoTable[Sector],0)))))</f>
        <v>Sector is blank</v>
      </c>
      <c r="BF411" s="530" t="str">
        <f t="shared" si="185"/>
        <v/>
      </c>
      <c r="BG411" s="132" t="str">
        <f t="shared" si="186"/>
        <v/>
      </c>
      <c r="BH411" s="531" t="str">
        <f t="shared" si="187"/>
        <v/>
      </c>
      <c r="BI411" s="532"/>
      <c r="BJ411" s="538" t="str">
        <f t="shared" si="193"/>
        <v/>
      </c>
      <c r="BK411" s="539" t="str">
        <f t="shared" si="194"/>
        <v/>
      </c>
      <c r="BL411" s="547" t="str">
        <f t="shared" si="195"/>
        <v/>
      </c>
    </row>
    <row r="412" spans="1:64" x14ac:dyDescent="0.3">
      <c r="A412" s="133">
        <v>405</v>
      </c>
      <c r="B412" s="294"/>
      <c r="C412" s="313"/>
      <c r="D412" s="292"/>
      <c r="E412" s="284"/>
      <c r="F412" s="284"/>
      <c r="G412" s="295"/>
      <c r="H412" s="296"/>
      <c r="I412" s="297"/>
      <c r="J412" s="292"/>
      <c r="K412" s="284"/>
      <c r="L412" s="284"/>
      <c r="M412" s="295"/>
      <c r="N412" s="296"/>
      <c r="O412" s="296"/>
      <c r="P412" s="284"/>
      <c r="Q412" s="298"/>
      <c r="R412" s="292"/>
      <c r="S412" s="299"/>
      <c r="T412" s="300"/>
      <c r="U412" s="317" t="str">
        <f t="shared" si="169"/>
        <v/>
      </c>
      <c r="V412" s="301"/>
      <c r="W412" s="137" t="str">
        <f t="shared" si="170"/>
        <v/>
      </c>
      <c r="X412" s="589" t="str">
        <f t="shared" si="188"/>
        <v/>
      </c>
      <c r="Y412" s="581"/>
      <c r="Z412" s="251" t="str">
        <f t="shared" si="171"/>
        <v/>
      </c>
      <c r="AA412" s="138" t="str">
        <f t="shared" si="196"/>
        <v/>
      </c>
      <c r="AB412" s="243" t="str">
        <f t="shared" si="189"/>
        <v/>
      </c>
      <c r="AC412" s="141" t="str">
        <f t="shared" si="172"/>
        <v/>
      </c>
      <c r="AD412" s="138" t="str">
        <f t="shared" si="190"/>
        <v/>
      </c>
      <c r="AE412" s="243" t="str">
        <f t="shared" si="173"/>
        <v/>
      </c>
      <c r="AF412" s="342" t="str">
        <f>IF(AM412="Row Not Used","",INDEX(SpaceTable[Annual Hours],(MATCH(B412,SpaceTable[Space Name Concatenated Helper],0))))</f>
        <v/>
      </c>
      <c r="AG412" s="205" t="str">
        <f t="shared" si="174"/>
        <v/>
      </c>
      <c r="AH412" s="234" t="str">
        <f t="shared" si="175"/>
        <v/>
      </c>
      <c r="AI412" s="205" t="str">
        <f t="shared" si="176"/>
        <v/>
      </c>
      <c r="AJ412" s="234" t="str">
        <f t="shared" si="177"/>
        <v/>
      </c>
      <c r="AK412" s="144" t="str">
        <f>IF(AM412="Row Not Used","",INDEX(SpaceTable[Row],(MATCH(B412,SpaceTable[Space Name Concatenated Helper],0))))</f>
        <v/>
      </c>
      <c r="AL412" s="238" t="str">
        <f>IF(AM412="Row Not Used","",INDEX(SpaceTable[HVAC Factor],(MATCH(B412,SpaceTable[Space Name Concatenated Helper],0))))</f>
        <v/>
      </c>
      <c r="AM412" s="520" t="str">
        <f t="shared" si="178"/>
        <v>Row Not Used</v>
      </c>
      <c r="AN412" s="512" t="e" cm="1">
        <f t="array" ref="AN412">INDEX(BallastFactorTable[Ballast Factor],MATCH(1,(BallastFactorTable[Fixture Class]=D412)*(BallastFactorTable[Fixture Category]=E412)*(BallastFactorTable[Fixture Sub-category]=F412),0))</f>
        <v>#N/A</v>
      </c>
      <c r="AO412" s="143" t="str">
        <f t="shared" si="191"/>
        <v/>
      </c>
      <c r="AP412" s="501" t="e" cm="1">
        <f t="array" ref="AP412">INDEX(BallastFactorTable[Wattage Range Name],MATCH(1,(BallastFactorTable[Fixture Class]=D412)*(BallastFactorTable[Fixture Category]=E412)*(BallastFactorTable[Fixture Sub-category]=F412),0))</f>
        <v>#N/A</v>
      </c>
      <c r="AQ412" s="515" t="str">
        <f t="shared" ca="1" si="179"/>
        <v>Okay</v>
      </c>
      <c r="AR412" s="512">
        <f t="shared" si="180"/>
        <v>0</v>
      </c>
      <c r="AS412" s="511" t="str">
        <f>IF(OR(Measures!AM412="Row Not Used",Measures!C412="Controls Only",Measures!C412="Decommissioning"),"",_xlfn.CONCAT(P412," ",Q412))</f>
        <v/>
      </c>
      <c r="AT412" s="264" t="str">
        <f t="shared" si="181"/>
        <v>None</v>
      </c>
      <c r="AU412" s="229">
        <f>IF(OR(AM412="Row Not Used",AM412="Controls Only"),0,INDEX(IncentiveRateTable[Incentive Rate],MATCH(AT412,IncentiveRateTable[Incentive Name],0)))</f>
        <v>0</v>
      </c>
      <c r="AV412" s="133" t="str">
        <f>IF(OR(AM412="Row Not Used",AM412="Controls Only"),"None",INDEX(IncentiveRateTable[Incentive Unit],MATCH(AT412,IncentiveRateTable[Incentive Name],0)))</f>
        <v>None</v>
      </c>
      <c r="AW412" s="578">
        <f t="shared" si="192"/>
        <v>0</v>
      </c>
      <c r="AX412" s="264" t="str">
        <f t="shared" si="182"/>
        <v>None</v>
      </c>
      <c r="AY412" s="229">
        <f>IF(OR(AM412="Row Not Used",AM412="Fixtures Only",AM412="Decommissioning"),0,INDEX(IncentiveRateTable[Incentive Rate],MATCH(AX412,IncentiveRateTable[Incentive Name],0)))</f>
        <v>0</v>
      </c>
      <c r="AZ412" s="133" t="str">
        <f>IF(OR(AM412="Row Not Used",AM412="Fixtures Only",AM412="Decommissioning"),"None",INDEX(IncentiveRateTable[Incentive Unit],MATCH(AX412,IncentiveRateTable[Incentive Name],0)))</f>
        <v>None</v>
      </c>
      <c r="BA412" s="465">
        <f t="shared" si="183"/>
        <v>0</v>
      </c>
      <c r="BB412" s="264" t="e" cm="1">
        <f t="array" ref="BB412">INDEX(BallastFactorTable[Commercial BPA Reference Number],MATCH(1,(BallastFactorTable[Fixture Class]=J412)*(BallastFactorTable[Fixture Category]=K412)*(BallastFactorTable[Fixture Sub-category]=L412),0))</f>
        <v>#N/A</v>
      </c>
      <c r="BC412" s="133" t="e" cm="1">
        <f t="array" ref="BC412">INDEX(BallastFactorTable[Industrial BPA Reference Number],MATCH(1,(BallastFactorTable[Fixture Class]=J412)*(BallastFactorTable[Fixture Category]=K412)*(BallastFactorTable[Fixture Sub-category]=L412),0))</f>
        <v>#N/A</v>
      </c>
      <c r="BD412" s="264" t="str">
        <f t="shared" si="184"/>
        <v>Sector is blank</v>
      </c>
      <c r="BE412" s="269" t="str">
        <f>IF(ISBLANK(SectorField),"Sector is blank",IF(AM412="Row Not Used","",IF(OR(R412="No Controls",ISBLANK(R412)),"",INDEX(ControlsBPARefNoTable[Reference Number],MATCH(SectorField,ControlsBPARefNoTable[Sector],0)))))</f>
        <v>Sector is blank</v>
      </c>
      <c r="BF412" s="530" t="str">
        <f t="shared" si="185"/>
        <v/>
      </c>
      <c r="BG412" s="132" t="str">
        <f t="shared" si="186"/>
        <v/>
      </c>
      <c r="BH412" s="531" t="str">
        <f t="shared" si="187"/>
        <v/>
      </c>
      <c r="BI412" s="532"/>
      <c r="BJ412" s="538" t="str">
        <f t="shared" si="193"/>
        <v/>
      </c>
      <c r="BK412" s="539" t="str">
        <f t="shared" si="194"/>
        <v/>
      </c>
      <c r="BL412" s="547" t="str">
        <f t="shared" si="195"/>
        <v/>
      </c>
    </row>
    <row r="413" spans="1:64" x14ac:dyDescent="0.3">
      <c r="A413" s="133">
        <v>406</v>
      </c>
      <c r="B413" s="294"/>
      <c r="C413" s="313"/>
      <c r="D413" s="292"/>
      <c r="E413" s="284"/>
      <c r="F413" s="284"/>
      <c r="G413" s="295"/>
      <c r="H413" s="296"/>
      <c r="I413" s="297"/>
      <c r="J413" s="292"/>
      <c r="K413" s="284"/>
      <c r="L413" s="284"/>
      <c r="M413" s="295"/>
      <c r="N413" s="296"/>
      <c r="O413" s="296"/>
      <c r="P413" s="284"/>
      <c r="Q413" s="298"/>
      <c r="R413" s="292"/>
      <c r="S413" s="299"/>
      <c r="T413" s="300"/>
      <c r="U413" s="317" t="str">
        <f t="shared" si="169"/>
        <v/>
      </c>
      <c r="V413" s="301"/>
      <c r="W413" s="136" t="str">
        <f t="shared" si="170"/>
        <v/>
      </c>
      <c r="X413" s="588" t="str">
        <f t="shared" si="188"/>
        <v/>
      </c>
      <c r="Y413" s="580"/>
      <c r="Z413" s="251" t="str">
        <f t="shared" si="171"/>
        <v/>
      </c>
      <c r="AA413" s="138" t="str">
        <f t="shared" si="196"/>
        <v/>
      </c>
      <c r="AB413" s="243" t="str">
        <f t="shared" si="189"/>
        <v/>
      </c>
      <c r="AC413" s="141" t="str">
        <f t="shared" si="172"/>
        <v/>
      </c>
      <c r="AD413" s="138" t="str">
        <f t="shared" si="190"/>
        <v/>
      </c>
      <c r="AE413" s="243" t="str">
        <f t="shared" si="173"/>
        <v/>
      </c>
      <c r="AF413" s="342" t="str">
        <f>IF(AM413="Row Not Used","",INDEX(SpaceTable[Annual Hours],(MATCH(B413,SpaceTable[Space Name Concatenated Helper],0))))</f>
        <v/>
      </c>
      <c r="AG413" s="205" t="str">
        <f t="shared" si="174"/>
        <v/>
      </c>
      <c r="AH413" s="234" t="str">
        <f t="shared" si="175"/>
        <v/>
      </c>
      <c r="AI413" s="205" t="str">
        <f t="shared" si="176"/>
        <v/>
      </c>
      <c r="AJ413" s="234" t="str">
        <f t="shared" si="177"/>
        <v/>
      </c>
      <c r="AK413" s="144" t="str">
        <f>IF(AM413="Row Not Used","",INDEX(SpaceTable[Row],(MATCH(B413,SpaceTable[Space Name Concatenated Helper],0))))</f>
        <v/>
      </c>
      <c r="AL413" s="238" t="str">
        <f>IF(AM413="Row Not Used","",INDEX(SpaceTable[HVAC Factor],(MATCH(B413,SpaceTable[Space Name Concatenated Helper],0))))</f>
        <v/>
      </c>
      <c r="AM413" s="520" t="str">
        <f t="shared" si="178"/>
        <v>Row Not Used</v>
      </c>
      <c r="AN413" s="512" t="e" cm="1">
        <f t="array" ref="AN413">INDEX(BallastFactorTable[Ballast Factor],MATCH(1,(BallastFactorTable[Fixture Class]=D413)*(BallastFactorTable[Fixture Category]=E413)*(BallastFactorTable[Fixture Sub-category]=F413),0))</f>
        <v>#N/A</v>
      </c>
      <c r="AO413" s="143" t="str">
        <f t="shared" si="191"/>
        <v/>
      </c>
      <c r="AP413" s="501" t="e" cm="1">
        <f t="array" ref="AP413">INDEX(BallastFactorTable[Wattage Range Name],MATCH(1,(BallastFactorTable[Fixture Class]=D413)*(BallastFactorTable[Fixture Category]=E413)*(BallastFactorTable[Fixture Sub-category]=F413),0))</f>
        <v>#N/A</v>
      </c>
      <c r="AQ413" s="515" t="str">
        <f t="shared" ca="1" si="179"/>
        <v>Okay</v>
      </c>
      <c r="AR413" s="512">
        <f t="shared" si="180"/>
        <v>0</v>
      </c>
      <c r="AS413" s="511" t="str">
        <f>IF(OR(Measures!AM413="Row Not Used",Measures!C413="Controls Only",Measures!C413="Decommissioning"),"",_xlfn.CONCAT(P413," ",Q413))</f>
        <v/>
      </c>
      <c r="AT413" s="264" t="str">
        <f t="shared" si="181"/>
        <v>None</v>
      </c>
      <c r="AU413" s="229">
        <f>IF(OR(AM413="Row Not Used",AM413="Controls Only"),0,INDEX(IncentiveRateTable[Incentive Rate],MATCH(AT413,IncentiveRateTable[Incentive Name],0)))</f>
        <v>0</v>
      </c>
      <c r="AV413" s="133" t="str">
        <f>IF(OR(AM413="Row Not Used",AM413="Controls Only"),"None",INDEX(IncentiveRateTable[Incentive Unit],MATCH(AT413,IncentiveRateTable[Incentive Name],0)))</f>
        <v>None</v>
      </c>
      <c r="AW413" s="578">
        <f t="shared" si="192"/>
        <v>0</v>
      </c>
      <c r="AX413" s="264" t="str">
        <f t="shared" si="182"/>
        <v>None</v>
      </c>
      <c r="AY413" s="229">
        <f>IF(OR(AM413="Row Not Used",AM413="Fixtures Only",AM413="Decommissioning"),0,INDEX(IncentiveRateTable[Incentive Rate],MATCH(AX413,IncentiveRateTable[Incentive Name],0)))</f>
        <v>0</v>
      </c>
      <c r="AZ413" s="133" t="str">
        <f>IF(OR(AM413="Row Not Used",AM413="Fixtures Only",AM413="Decommissioning"),"None",INDEX(IncentiveRateTable[Incentive Unit],MATCH(AX413,IncentiveRateTable[Incentive Name],0)))</f>
        <v>None</v>
      </c>
      <c r="BA413" s="465">
        <f t="shared" si="183"/>
        <v>0</v>
      </c>
      <c r="BB413" s="264" t="e" cm="1">
        <f t="array" ref="BB413">INDEX(BallastFactorTable[Commercial BPA Reference Number],MATCH(1,(BallastFactorTable[Fixture Class]=J413)*(BallastFactorTable[Fixture Category]=K413)*(BallastFactorTable[Fixture Sub-category]=L413),0))</f>
        <v>#N/A</v>
      </c>
      <c r="BC413" s="133" t="e" cm="1">
        <f t="array" ref="BC413">INDEX(BallastFactorTable[Industrial BPA Reference Number],MATCH(1,(BallastFactorTable[Fixture Class]=J413)*(BallastFactorTable[Fixture Category]=K413)*(BallastFactorTable[Fixture Sub-category]=L413),0))</f>
        <v>#N/A</v>
      </c>
      <c r="BD413" s="264" t="str">
        <f t="shared" si="184"/>
        <v>Sector is blank</v>
      </c>
      <c r="BE413" s="269" t="str">
        <f>IF(ISBLANK(SectorField),"Sector is blank",IF(AM413="Row Not Used","",IF(OR(R413="No Controls",ISBLANK(R413)),"",INDEX(ControlsBPARefNoTable[Reference Number],MATCH(SectorField,ControlsBPARefNoTable[Sector],0)))))</f>
        <v>Sector is blank</v>
      </c>
      <c r="BF413" s="530" t="str">
        <f t="shared" si="185"/>
        <v/>
      </c>
      <c r="BG413" s="132" t="str">
        <f t="shared" si="186"/>
        <v/>
      </c>
      <c r="BH413" s="531" t="str">
        <f t="shared" si="187"/>
        <v/>
      </c>
      <c r="BI413" s="532"/>
      <c r="BJ413" s="538" t="str">
        <f t="shared" si="193"/>
        <v/>
      </c>
      <c r="BK413" s="539" t="str">
        <f t="shared" si="194"/>
        <v/>
      </c>
      <c r="BL413" s="547" t="str">
        <f t="shared" si="195"/>
        <v/>
      </c>
    </row>
    <row r="414" spans="1:64" x14ac:dyDescent="0.3">
      <c r="A414" s="133">
        <v>407</v>
      </c>
      <c r="B414" s="294"/>
      <c r="C414" s="313"/>
      <c r="D414" s="292"/>
      <c r="E414" s="284"/>
      <c r="F414" s="284"/>
      <c r="G414" s="295"/>
      <c r="H414" s="296"/>
      <c r="I414" s="297"/>
      <c r="J414" s="292"/>
      <c r="K414" s="284"/>
      <c r="L414" s="284"/>
      <c r="M414" s="295"/>
      <c r="N414" s="296"/>
      <c r="O414" s="296"/>
      <c r="P414" s="284"/>
      <c r="Q414" s="298"/>
      <c r="R414" s="292"/>
      <c r="S414" s="299"/>
      <c r="T414" s="300"/>
      <c r="U414" s="317" t="str">
        <f t="shared" si="169"/>
        <v/>
      </c>
      <c r="V414" s="301"/>
      <c r="W414" s="137" t="str">
        <f t="shared" si="170"/>
        <v/>
      </c>
      <c r="X414" s="589" t="str">
        <f t="shared" si="188"/>
        <v/>
      </c>
      <c r="Y414" s="581"/>
      <c r="Z414" s="251" t="str">
        <f t="shared" si="171"/>
        <v/>
      </c>
      <c r="AA414" s="138" t="str">
        <f t="shared" si="196"/>
        <v/>
      </c>
      <c r="AB414" s="243" t="str">
        <f t="shared" si="189"/>
        <v/>
      </c>
      <c r="AC414" s="141" t="str">
        <f t="shared" si="172"/>
        <v/>
      </c>
      <c r="AD414" s="138" t="str">
        <f t="shared" si="190"/>
        <v/>
      </c>
      <c r="AE414" s="243" t="str">
        <f t="shared" si="173"/>
        <v/>
      </c>
      <c r="AF414" s="342" t="str">
        <f>IF(AM414="Row Not Used","",INDEX(SpaceTable[Annual Hours],(MATCH(B414,SpaceTable[Space Name Concatenated Helper],0))))</f>
        <v/>
      </c>
      <c r="AG414" s="205" t="str">
        <f t="shared" si="174"/>
        <v/>
      </c>
      <c r="AH414" s="234" t="str">
        <f t="shared" si="175"/>
        <v/>
      </c>
      <c r="AI414" s="205" t="str">
        <f t="shared" si="176"/>
        <v/>
      </c>
      <c r="AJ414" s="234" t="str">
        <f t="shared" si="177"/>
        <v/>
      </c>
      <c r="AK414" s="144" t="str">
        <f>IF(AM414="Row Not Used","",INDEX(SpaceTable[Row],(MATCH(B414,SpaceTable[Space Name Concatenated Helper],0))))</f>
        <v/>
      </c>
      <c r="AL414" s="238" t="str">
        <f>IF(AM414="Row Not Used","",INDEX(SpaceTable[HVAC Factor],(MATCH(B414,SpaceTable[Space Name Concatenated Helper],0))))</f>
        <v/>
      </c>
      <c r="AM414" s="520" t="str">
        <f t="shared" si="178"/>
        <v>Row Not Used</v>
      </c>
      <c r="AN414" s="512" t="e" cm="1">
        <f t="array" ref="AN414">INDEX(BallastFactorTable[Ballast Factor],MATCH(1,(BallastFactorTable[Fixture Class]=D414)*(BallastFactorTable[Fixture Category]=E414)*(BallastFactorTable[Fixture Sub-category]=F414),0))</f>
        <v>#N/A</v>
      </c>
      <c r="AO414" s="143" t="str">
        <f t="shared" si="191"/>
        <v/>
      </c>
      <c r="AP414" s="501" t="e" cm="1">
        <f t="array" ref="AP414">INDEX(BallastFactorTable[Wattage Range Name],MATCH(1,(BallastFactorTable[Fixture Class]=D414)*(BallastFactorTable[Fixture Category]=E414)*(BallastFactorTable[Fixture Sub-category]=F414),0))</f>
        <v>#N/A</v>
      </c>
      <c r="AQ414" s="515" t="str">
        <f t="shared" ca="1" si="179"/>
        <v>Okay</v>
      </c>
      <c r="AR414" s="512">
        <f t="shared" si="180"/>
        <v>0</v>
      </c>
      <c r="AS414" s="511" t="str">
        <f>IF(OR(Measures!AM414="Row Not Used",Measures!C414="Controls Only",Measures!C414="Decommissioning"),"",_xlfn.CONCAT(P414," ",Q414))</f>
        <v/>
      </c>
      <c r="AT414" s="264" t="str">
        <f t="shared" si="181"/>
        <v>None</v>
      </c>
      <c r="AU414" s="229">
        <f>IF(OR(AM414="Row Not Used",AM414="Controls Only"),0,INDEX(IncentiveRateTable[Incentive Rate],MATCH(AT414,IncentiveRateTable[Incentive Name],0)))</f>
        <v>0</v>
      </c>
      <c r="AV414" s="133" t="str">
        <f>IF(OR(AM414="Row Not Used",AM414="Controls Only"),"None",INDEX(IncentiveRateTable[Incentive Unit],MATCH(AT414,IncentiveRateTable[Incentive Name],0)))</f>
        <v>None</v>
      </c>
      <c r="AW414" s="578">
        <f t="shared" si="192"/>
        <v>0</v>
      </c>
      <c r="AX414" s="264" t="str">
        <f t="shared" si="182"/>
        <v>None</v>
      </c>
      <c r="AY414" s="229">
        <f>IF(OR(AM414="Row Not Used",AM414="Fixtures Only",AM414="Decommissioning"),0,INDEX(IncentiveRateTable[Incentive Rate],MATCH(AX414,IncentiveRateTable[Incentive Name],0)))</f>
        <v>0</v>
      </c>
      <c r="AZ414" s="133" t="str">
        <f>IF(OR(AM414="Row Not Used",AM414="Fixtures Only",AM414="Decommissioning"),"None",INDEX(IncentiveRateTable[Incentive Unit],MATCH(AX414,IncentiveRateTable[Incentive Name],0)))</f>
        <v>None</v>
      </c>
      <c r="BA414" s="465">
        <f t="shared" si="183"/>
        <v>0</v>
      </c>
      <c r="BB414" s="264" t="e" cm="1">
        <f t="array" ref="BB414">INDEX(BallastFactorTable[Commercial BPA Reference Number],MATCH(1,(BallastFactorTable[Fixture Class]=J414)*(BallastFactorTable[Fixture Category]=K414)*(BallastFactorTable[Fixture Sub-category]=L414),0))</f>
        <v>#N/A</v>
      </c>
      <c r="BC414" s="133" t="e" cm="1">
        <f t="array" ref="BC414">INDEX(BallastFactorTable[Industrial BPA Reference Number],MATCH(1,(BallastFactorTable[Fixture Class]=J414)*(BallastFactorTable[Fixture Category]=K414)*(BallastFactorTable[Fixture Sub-category]=L414),0))</f>
        <v>#N/A</v>
      </c>
      <c r="BD414" s="264" t="str">
        <f t="shared" si="184"/>
        <v>Sector is blank</v>
      </c>
      <c r="BE414" s="269" t="str">
        <f>IF(ISBLANK(SectorField),"Sector is blank",IF(AM414="Row Not Used","",IF(OR(R414="No Controls",ISBLANK(R414)),"",INDEX(ControlsBPARefNoTable[Reference Number],MATCH(SectorField,ControlsBPARefNoTable[Sector],0)))))</f>
        <v>Sector is blank</v>
      </c>
      <c r="BF414" s="530" t="str">
        <f t="shared" si="185"/>
        <v/>
      </c>
      <c r="BG414" s="132" t="str">
        <f t="shared" si="186"/>
        <v/>
      </c>
      <c r="BH414" s="531" t="str">
        <f t="shared" si="187"/>
        <v/>
      </c>
      <c r="BI414" s="532"/>
      <c r="BJ414" s="538" t="str">
        <f t="shared" si="193"/>
        <v/>
      </c>
      <c r="BK414" s="539" t="str">
        <f t="shared" si="194"/>
        <v/>
      </c>
      <c r="BL414" s="547" t="str">
        <f t="shared" si="195"/>
        <v/>
      </c>
    </row>
    <row r="415" spans="1:64" x14ac:dyDescent="0.3">
      <c r="A415" s="133">
        <v>408</v>
      </c>
      <c r="B415" s="294"/>
      <c r="C415" s="313"/>
      <c r="D415" s="292"/>
      <c r="E415" s="284"/>
      <c r="F415" s="284"/>
      <c r="G415" s="295"/>
      <c r="H415" s="296"/>
      <c r="I415" s="297"/>
      <c r="J415" s="292"/>
      <c r="K415" s="284"/>
      <c r="L415" s="284"/>
      <c r="M415" s="295"/>
      <c r="N415" s="296"/>
      <c r="O415" s="296"/>
      <c r="P415" s="284"/>
      <c r="Q415" s="298"/>
      <c r="R415" s="292"/>
      <c r="S415" s="299"/>
      <c r="T415" s="300"/>
      <c r="U415" s="317" t="str">
        <f t="shared" si="169"/>
        <v/>
      </c>
      <c r="V415" s="301"/>
      <c r="W415" s="136" t="str">
        <f t="shared" si="170"/>
        <v/>
      </c>
      <c r="X415" s="588" t="str">
        <f t="shared" si="188"/>
        <v/>
      </c>
      <c r="Y415" s="580"/>
      <c r="Z415" s="251" t="str">
        <f t="shared" si="171"/>
        <v/>
      </c>
      <c r="AA415" s="138" t="str">
        <f t="shared" si="196"/>
        <v/>
      </c>
      <c r="AB415" s="243" t="str">
        <f t="shared" si="189"/>
        <v/>
      </c>
      <c r="AC415" s="141" t="str">
        <f t="shared" si="172"/>
        <v/>
      </c>
      <c r="AD415" s="138" t="str">
        <f t="shared" si="190"/>
        <v/>
      </c>
      <c r="AE415" s="243" t="str">
        <f t="shared" si="173"/>
        <v/>
      </c>
      <c r="AF415" s="342" t="str">
        <f>IF(AM415="Row Not Used","",INDEX(SpaceTable[Annual Hours],(MATCH(B415,SpaceTable[Space Name Concatenated Helper],0))))</f>
        <v/>
      </c>
      <c r="AG415" s="205" t="str">
        <f t="shared" si="174"/>
        <v/>
      </c>
      <c r="AH415" s="234" t="str">
        <f t="shared" si="175"/>
        <v/>
      </c>
      <c r="AI415" s="205" t="str">
        <f t="shared" si="176"/>
        <v/>
      </c>
      <c r="AJ415" s="234" t="str">
        <f t="shared" si="177"/>
        <v/>
      </c>
      <c r="AK415" s="144" t="str">
        <f>IF(AM415="Row Not Used","",INDEX(SpaceTable[Row],(MATCH(B415,SpaceTable[Space Name Concatenated Helper],0))))</f>
        <v/>
      </c>
      <c r="AL415" s="238" t="str">
        <f>IF(AM415="Row Not Used","",INDEX(SpaceTable[HVAC Factor],(MATCH(B415,SpaceTable[Space Name Concatenated Helper],0))))</f>
        <v/>
      </c>
      <c r="AM415" s="520" t="str">
        <f t="shared" si="178"/>
        <v>Row Not Used</v>
      </c>
      <c r="AN415" s="512" t="e" cm="1">
        <f t="array" ref="AN415">INDEX(BallastFactorTable[Ballast Factor],MATCH(1,(BallastFactorTable[Fixture Class]=D415)*(BallastFactorTable[Fixture Category]=E415)*(BallastFactorTable[Fixture Sub-category]=F415),0))</f>
        <v>#N/A</v>
      </c>
      <c r="AO415" s="143" t="str">
        <f t="shared" si="191"/>
        <v/>
      </c>
      <c r="AP415" s="501" t="e" cm="1">
        <f t="array" ref="AP415">INDEX(BallastFactorTable[Wattage Range Name],MATCH(1,(BallastFactorTable[Fixture Class]=D415)*(BallastFactorTable[Fixture Category]=E415)*(BallastFactorTable[Fixture Sub-category]=F415),0))</f>
        <v>#N/A</v>
      </c>
      <c r="AQ415" s="515" t="str">
        <f t="shared" ca="1" si="179"/>
        <v>Okay</v>
      </c>
      <c r="AR415" s="512">
        <f t="shared" si="180"/>
        <v>0</v>
      </c>
      <c r="AS415" s="511" t="str">
        <f>IF(OR(Measures!AM415="Row Not Used",Measures!C415="Controls Only",Measures!C415="Decommissioning"),"",_xlfn.CONCAT(P415," ",Q415))</f>
        <v/>
      </c>
      <c r="AT415" s="264" t="str">
        <f t="shared" si="181"/>
        <v>None</v>
      </c>
      <c r="AU415" s="229">
        <f>IF(OR(AM415="Row Not Used",AM415="Controls Only"),0,INDEX(IncentiveRateTable[Incentive Rate],MATCH(AT415,IncentiveRateTable[Incentive Name],0)))</f>
        <v>0</v>
      </c>
      <c r="AV415" s="133" t="str">
        <f>IF(OR(AM415="Row Not Used",AM415="Controls Only"),"None",INDEX(IncentiveRateTable[Incentive Unit],MATCH(AT415,IncentiveRateTable[Incentive Name],0)))</f>
        <v>None</v>
      </c>
      <c r="AW415" s="578">
        <f t="shared" si="192"/>
        <v>0</v>
      </c>
      <c r="AX415" s="264" t="str">
        <f t="shared" si="182"/>
        <v>None</v>
      </c>
      <c r="AY415" s="229">
        <f>IF(OR(AM415="Row Not Used",AM415="Fixtures Only",AM415="Decommissioning"),0,INDEX(IncentiveRateTable[Incentive Rate],MATCH(AX415,IncentiveRateTable[Incentive Name],0)))</f>
        <v>0</v>
      </c>
      <c r="AZ415" s="133" t="str">
        <f>IF(OR(AM415="Row Not Used",AM415="Fixtures Only",AM415="Decommissioning"),"None",INDEX(IncentiveRateTable[Incentive Unit],MATCH(AX415,IncentiveRateTable[Incentive Name],0)))</f>
        <v>None</v>
      </c>
      <c r="BA415" s="465">
        <f t="shared" si="183"/>
        <v>0</v>
      </c>
      <c r="BB415" s="264" t="e" cm="1">
        <f t="array" ref="BB415">INDEX(BallastFactorTable[Commercial BPA Reference Number],MATCH(1,(BallastFactorTable[Fixture Class]=J415)*(BallastFactorTable[Fixture Category]=K415)*(BallastFactorTable[Fixture Sub-category]=L415),0))</f>
        <v>#N/A</v>
      </c>
      <c r="BC415" s="133" t="e" cm="1">
        <f t="array" ref="BC415">INDEX(BallastFactorTable[Industrial BPA Reference Number],MATCH(1,(BallastFactorTable[Fixture Class]=J415)*(BallastFactorTable[Fixture Category]=K415)*(BallastFactorTable[Fixture Sub-category]=L415),0))</f>
        <v>#N/A</v>
      </c>
      <c r="BD415" s="264" t="str">
        <f t="shared" si="184"/>
        <v>Sector is blank</v>
      </c>
      <c r="BE415" s="269" t="str">
        <f>IF(ISBLANK(SectorField),"Sector is blank",IF(AM415="Row Not Used","",IF(OR(R415="No Controls",ISBLANK(R415)),"",INDEX(ControlsBPARefNoTable[Reference Number],MATCH(SectorField,ControlsBPARefNoTable[Sector],0)))))</f>
        <v>Sector is blank</v>
      </c>
      <c r="BF415" s="530" t="str">
        <f t="shared" si="185"/>
        <v/>
      </c>
      <c r="BG415" s="132" t="str">
        <f t="shared" si="186"/>
        <v/>
      </c>
      <c r="BH415" s="531" t="str">
        <f t="shared" si="187"/>
        <v/>
      </c>
      <c r="BI415" s="532"/>
      <c r="BJ415" s="538" t="str">
        <f t="shared" si="193"/>
        <v/>
      </c>
      <c r="BK415" s="539" t="str">
        <f t="shared" si="194"/>
        <v/>
      </c>
      <c r="BL415" s="547" t="str">
        <f t="shared" si="195"/>
        <v/>
      </c>
    </row>
    <row r="416" spans="1:64" x14ac:dyDescent="0.3">
      <c r="A416" s="133">
        <v>409</v>
      </c>
      <c r="B416" s="294"/>
      <c r="C416" s="313"/>
      <c r="D416" s="292"/>
      <c r="E416" s="284"/>
      <c r="F416" s="284"/>
      <c r="G416" s="295"/>
      <c r="H416" s="296"/>
      <c r="I416" s="297"/>
      <c r="J416" s="292"/>
      <c r="K416" s="284"/>
      <c r="L416" s="284"/>
      <c r="M416" s="295"/>
      <c r="N416" s="296"/>
      <c r="O416" s="296"/>
      <c r="P416" s="284"/>
      <c r="Q416" s="298"/>
      <c r="R416" s="292"/>
      <c r="S416" s="299"/>
      <c r="T416" s="300"/>
      <c r="U416" s="317" t="str">
        <f t="shared" si="169"/>
        <v/>
      </c>
      <c r="V416" s="301"/>
      <c r="W416" s="137" t="str">
        <f t="shared" si="170"/>
        <v/>
      </c>
      <c r="X416" s="589" t="str">
        <f t="shared" si="188"/>
        <v/>
      </c>
      <c r="Y416" s="581"/>
      <c r="Z416" s="251" t="str">
        <f t="shared" si="171"/>
        <v/>
      </c>
      <c r="AA416" s="138" t="str">
        <f t="shared" si="196"/>
        <v/>
      </c>
      <c r="AB416" s="243" t="str">
        <f t="shared" si="189"/>
        <v/>
      </c>
      <c r="AC416" s="141" t="str">
        <f t="shared" si="172"/>
        <v/>
      </c>
      <c r="AD416" s="138" t="str">
        <f t="shared" si="190"/>
        <v/>
      </c>
      <c r="AE416" s="243" t="str">
        <f t="shared" si="173"/>
        <v/>
      </c>
      <c r="AF416" s="342" t="str">
        <f>IF(AM416="Row Not Used","",INDEX(SpaceTable[Annual Hours],(MATCH(B416,SpaceTable[Space Name Concatenated Helper],0))))</f>
        <v/>
      </c>
      <c r="AG416" s="205" t="str">
        <f t="shared" si="174"/>
        <v/>
      </c>
      <c r="AH416" s="234" t="str">
        <f t="shared" si="175"/>
        <v/>
      </c>
      <c r="AI416" s="205" t="str">
        <f t="shared" si="176"/>
        <v/>
      </c>
      <c r="AJ416" s="234" t="str">
        <f t="shared" si="177"/>
        <v/>
      </c>
      <c r="AK416" s="144" t="str">
        <f>IF(AM416="Row Not Used","",INDEX(SpaceTable[Row],(MATCH(B416,SpaceTable[Space Name Concatenated Helper],0))))</f>
        <v/>
      </c>
      <c r="AL416" s="238" t="str">
        <f>IF(AM416="Row Not Used","",INDEX(SpaceTable[HVAC Factor],(MATCH(B416,SpaceTable[Space Name Concatenated Helper],0))))</f>
        <v/>
      </c>
      <c r="AM416" s="520" t="str">
        <f t="shared" si="178"/>
        <v>Row Not Used</v>
      </c>
      <c r="AN416" s="512" t="e" cm="1">
        <f t="array" ref="AN416">INDEX(BallastFactorTable[Ballast Factor],MATCH(1,(BallastFactorTable[Fixture Class]=D416)*(BallastFactorTable[Fixture Category]=E416)*(BallastFactorTable[Fixture Sub-category]=F416),0))</f>
        <v>#N/A</v>
      </c>
      <c r="AO416" s="143" t="str">
        <f t="shared" si="191"/>
        <v/>
      </c>
      <c r="AP416" s="501" t="e" cm="1">
        <f t="array" ref="AP416">INDEX(BallastFactorTable[Wattage Range Name],MATCH(1,(BallastFactorTable[Fixture Class]=D416)*(BallastFactorTable[Fixture Category]=E416)*(BallastFactorTable[Fixture Sub-category]=F416),0))</f>
        <v>#N/A</v>
      </c>
      <c r="AQ416" s="515" t="str">
        <f t="shared" ca="1" si="179"/>
        <v>Okay</v>
      </c>
      <c r="AR416" s="512">
        <f t="shared" si="180"/>
        <v>0</v>
      </c>
      <c r="AS416" s="511" t="str">
        <f>IF(OR(Measures!AM416="Row Not Used",Measures!C416="Controls Only",Measures!C416="Decommissioning"),"",_xlfn.CONCAT(P416," ",Q416))</f>
        <v/>
      </c>
      <c r="AT416" s="264" t="str">
        <f t="shared" si="181"/>
        <v>None</v>
      </c>
      <c r="AU416" s="229">
        <f>IF(OR(AM416="Row Not Used",AM416="Controls Only"),0,INDEX(IncentiveRateTable[Incentive Rate],MATCH(AT416,IncentiveRateTable[Incentive Name],0)))</f>
        <v>0</v>
      </c>
      <c r="AV416" s="133" t="str">
        <f>IF(OR(AM416="Row Not Used",AM416="Controls Only"),"None",INDEX(IncentiveRateTable[Incentive Unit],MATCH(AT416,IncentiveRateTable[Incentive Name],0)))</f>
        <v>None</v>
      </c>
      <c r="AW416" s="578">
        <f t="shared" si="192"/>
        <v>0</v>
      </c>
      <c r="AX416" s="264" t="str">
        <f t="shared" si="182"/>
        <v>None</v>
      </c>
      <c r="AY416" s="229">
        <f>IF(OR(AM416="Row Not Used",AM416="Fixtures Only",AM416="Decommissioning"),0,INDEX(IncentiveRateTable[Incentive Rate],MATCH(AX416,IncentiveRateTable[Incentive Name],0)))</f>
        <v>0</v>
      </c>
      <c r="AZ416" s="133" t="str">
        <f>IF(OR(AM416="Row Not Used",AM416="Fixtures Only",AM416="Decommissioning"),"None",INDEX(IncentiveRateTable[Incentive Unit],MATCH(AX416,IncentiveRateTable[Incentive Name],0)))</f>
        <v>None</v>
      </c>
      <c r="BA416" s="465">
        <f t="shared" si="183"/>
        <v>0</v>
      </c>
      <c r="BB416" s="264" t="e" cm="1">
        <f t="array" ref="BB416">INDEX(BallastFactorTable[Commercial BPA Reference Number],MATCH(1,(BallastFactorTable[Fixture Class]=J416)*(BallastFactorTable[Fixture Category]=K416)*(BallastFactorTable[Fixture Sub-category]=L416),0))</f>
        <v>#N/A</v>
      </c>
      <c r="BC416" s="133" t="e" cm="1">
        <f t="array" ref="BC416">INDEX(BallastFactorTable[Industrial BPA Reference Number],MATCH(1,(BallastFactorTable[Fixture Class]=J416)*(BallastFactorTable[Fixture Category]=K416)*(BallastFactorTable[Fixture Sub-category]=L416),0))</f>
        <v>#N/A</v>
      </c>
      <c r="BD416" s="264" t="str">
        <f t="shared" si="184"/>
        <v>Sector is blank</v>
      </c>
      <c r="BE416" s="269" t="str">
        <f>IF(ISBLANK(SectorField),"Sector is blank",IF(AM416="Row Not Used","",IF(OR(R416="No Controls",ISBLANK(R416)),"",INDEX(ControlsBPARefNoTable[Reference Number],MATCH(SectorField,ControlsBPARefNoTable[Sector],0)))))</f>
        <v>Sector is blank</v>
      </c>
      <c r="BF416" s="530" t="str">
        <f t="shared" si="185"/>
        <v/>
      </c>
      <c r="BG416" s="132" t="str">
        <f t="shared" si="186"/>
        <v/>
      </c>
      <c r="BH416" s="531" t="str">
        <f t="shared" si="187"/>
        <v/>
      </c>
      <c r="BI416" s="532"/>
      <c r="BJ416" s="538" t="str">
        <f t="shared" si="193"/>
        <v/>
      </c>
      <c r="BK416" s="539" t="str">
        <f t="shared" si="194"/>
        <v/>
      </c>
      <c r="BL416" s="547" t="str">
        <f t="shared" si="195"/>
        <v/>
      </c>
    </row>
    <row r="417" spans="1:64" x14ac:dyDescent="0.3">
      <c r="A417" s="133">
        <v>410</v>
      </c>
      <c r="B417" s="294"/>
      <c r="C417" s="313"/>
      <c r="D417" s="292"/>
      <c r="E417" s="284"/>
      <c r="F417" s="284"/>
      <c r="G417" s="295"/>
      <c r="H417" s="296"/>
      <c r="I417" s="297"/>
      <c r="J417" s="292"/>
      <c r="K417" s="284"/>
      <c r="L417" s="284"/>
      <c r="M417" s="295"/>
      <c r="N417" s="296"/>
      <c r="O417" s="296"/>
      <c r="P417" s="284"/>
      <c r="Q417" s="298"/>
      <c r="R417" s="292"/>
      <c r="S417" s="299"/>
      <c r="T417" s="300"/>
      <c r="U417" s="317" t="str">
        <f t="shared" si="169"/>
        <v/>
      </c>
      <c r="V417" s="301"/>
      <c r="W417" s="136" t="str">
        <f t="shared" si="170"/>
        <v/>
      </c>
      <c r="X417" s="588" t="str">
        <f t="shared" si="188"/>
        <v/>
      </c>
      <c r="Y417" s="580"/>
      <c r="Z417" s="251" t="str">
        <f t="shared" si="171"/>
        <v/>
      </c>
      <c r="AA417" s="138" t="str">
        <f t="shared" si="196"/>
        <v/>
      </c>
      <c r="AB417" s="243" t="str">
        <f t="shared" si="189"/>
        <v/>
      </c>
      <c r="AC417" s="141" t="str">
        <f t="shared" si="172"/>
        <v/>
      </c>
      <c r="AD417" s="138" t="str">
        <f t="shared" si="190"/>
        <v/>
      </c>
      <c r="AE417" s="243" t="str">
        <f t="shared" si="173"/>
        <v/>
      </c>
      <c r="AF417" s="342" t="str">
        <f>IF(AM417="Row Not Used","",INDEX(SpaceTable[Annual Hours],(MATCH(B417,SpaceTable[Space Name Concatenated Helper],0))))</f>
        <v/>
      </c>
      <c r="AG417" s="205" t="str">
        <f t="shared" si="174"/>
        <v/>
      </c>
      <c r="AH417" s="234" t="str">
        <f t="shared" si="175"/>
        <v/>
      </c>
      <c r="AI417" s="205" t="str">
        <f t="shared" si="176"/>
        <v/>
      </c>
      <c r="AJ417" s="234" t="str">
        <f t="shared" si="177"/>
        <v/>
      </c>
      <c r="AK417" s="144" t="str">
        <f>IF(AM417="Row Not Used","",INDEX(SpaceTable[Row],(MATCH(B417,SpaceTable[Space Name Concatenated Helper],0))))</f>
        <v/>
      </c>
      <c r="AL417" s="238" t="str">
        <f>IF(AM417="Row Not Used","",INDEX(SpaceTable[HVAC Factor],(MATCH(B417,SpaceTable[Space Name Concatenated Helper],0))))</f>
        <v/>
      </c>
      <c r="AM417" s="520" t="str">
        <f t="shared" si="178"/>
        <v>Row Not Used</v>
      </c>
      <c r="AN417" s="512" t="e" cm="1">
        <f t="array" ref="AN417">INDEX(BallastFactorTable[Ballast Factor],MATCH(1,(BallastFactorTable[Fixture Class]=D417)*(BallastFactorTable[Fixture Category]=E417)*(BallastFactorTable[Fixture Sub-category]=F417),0))</f>
        <v>#N/A</v>
      </c>
      <c r="AO417" s="143" t="str">
        <f t="shared" si="191"/>
        <v/>
      </c>
      <c r="AP417" s="501" t="e" cm="1">
        <f t="array" ref="AP417">INDEX(BallastFactorTable[Wattage Range Name],MATCH(1,(BallastFactorTable[Fixture Class]=D417)*(BallastFactorTable[Fixture Category]=E417)*(BallastFactorTable[Fixture Sub-category]=F417),0))</f>
        <v>#N/A</v>
      </c>
      <c r="AQ417" s="515" t="str">
        <f t="shared" ca="1" si="179"/>
        <v>Okay</v>
      </c>
      <c r="AR417" s="512">
        <f t="shared" si="180"/>
        <v>0</v>
      </c>
      <c r="AS417" s="511" t="str">
        <f>IF(OR(Measures!AM417="Row Not Used",Measures!C417="Controls Only",Measures!C417="Decommissioning"),"",_xlfn.CONCAT(P417," ",Q417))</f>
        <v/>
      </c>
      <c r="AT417" s="264" t="str">
        <f t="shared" si="181"/>
        <v>None</v>
      </c>
      <c r="AU417" s="229">
        <f>IF(OR(AM417="Row Not Used",AM417="Controls Only"),0,INDEX(IncentiveRateTable[Incentive Rate],MATCH(AT417,IncentiveRateTable[Incentive Name],0)))</f>
        <v>0</v>
      </c>
      <c r="AV417" s="133" t="str">
        <f>IF(OR(AM417="Row Not Used",AM417="Controls Only"),"None",INDEX(IncentiveRateTable[Incentive Unit],MATCH(AT417,IncentiveRateTable[Incentive Name],0)))</f>
        <v>None</v>
      </c>
      <c r="AW417" s="578">
        <f t="shared" si="192"/>
        <v>0</v>
      </c>
      <c r="AX417" s="264" t="str">
        <f t="shared" si="182"/>
        <v>None</v>
      </c>
      <c r="AY417" s="229">
        <f>IF(OR(AM417="Row Not Used",AM417="Fixtures Only",AM417="Decommissioning"),0,INDEX(IncentiveRateTable[Incentive Rate],MATCH(AX417,IncentiveRateTable[Incentive Name],0)))</f>
        <v>0</v>
      </c>
      <c r="AZ417" s="133" t="str">
        <f>IF(OR(AM417="Row Not Used",AM417="Fixtures Only",AM417="Decommissioning"),"None",INDEX(IncentiveRateTable[Incentive Unit],MATCH(AX417,IncentiveRateTable[Incentive Name],0)))</f>
        <v>None</v>
      </c>
      <c r="BA417" s="465">
        <f t="shared" si="183"/>
        <v>0</v>
      </c>
      <c r="BB417" s="264" t="e" cm="1">
        <f t="array" ref="BB417">INDEX(BallastFactorTable[Commercial BPA Reference Number],MATCH(1,(BallastFactorTable[Fixture Class]=J417)*(BallastFactorTable[Fixture Category]=K417)*(BallastFactorTable[Fixture Sub-category]=L417),0))</f>
        <v>#N/A</v>
      </c>
      <c r="BC417" s="133" t="e" cm="1">
        <f t="array" ref="BC417">INDEX(BallastFactorTable[Industrial BPA Reference Number],MATCH(1,(BallastFactorTable[Fixture Class]=J417)*(BallastFactorTable[Fixture Category]=K417)*(BallastFactorTable[Fixture Sub-category]=L417),0))</f>
        <v>#N/A</v>
      </c>
      <c r="BD417" s="264" t="str">
        <f t="shared" si="184"/>
        <v>Sector is blank</v>
      </c>
      <c r="BE417" s="269" t="str">
        <f>IF(ISBLANK(SectorField),"Sector is blank",IF(AM417="Row Not Used","",IF(OR(R417="No Controls",ISBLANK(R417)),"",INDEX(ControlsBPARefNoTable[Reference Number],MATCH(SectorField,ControlsBPARefNoTable[Sector],0)))))</f>
        <v>Sector is blank</v>
      </c>
      <c r="BF417" s="530" t="str">
        <f t="shared" si="185"/>
        <v/>
      </c>
      <c r="BG417" s="132" t="str">
        <f t="shared" si="186"/>
        <v/>
      </c>
      <c r="BH417" s="531" t="str">
        <f t="shared" si="187"/>
        <v/>
      </c>
      <c r="BI417" s="532"/>
      <c r="BJ417" s="538" t="str">
        <f t="shared" si="193"/>
        <v/>
      </c>
      <c r="BK417" s="539" t="str">
        <f t="shared" si="194"/>
        <v/>
      </c>
      <c r="BL417" s="547" t="str">
        <f t="shared" si="195"/>
        <v/>
      </c>
    </row>
    <row r="418" spans="1:64" x14ac:dyDescent="0.3">
      <c r="A418" s="133">
        <v>411</v>
      </c>
      <c r="B418" s="294"/>
      <c r="C418" s="313"/>
      <c r="D418" s="292"/>
      <c r="E418" s="284"/>
      <c r="F418" s="284"/>
      <c r="G418" s="295"/>
      <c r="H418" s="296"/>
      <c r="I418" s="297"/>
      <c r="J418" s="292"/>
      <c r="K418" s="284"/>
      <c r="L418" s="284"/>
      <c r="M418" s="295"/>
      <c r="N418" s="296"/>
      <c r="O418" s="296"/>
      <c r="P418" s="284"/>
      <c r="Q418" s="298"/>
      <c r="R418" s="292"/>
      <c r="S418" s="299"/>
      <c r="T418" s="300"/>
      <c r="U418" s="317" t="str">
        <f t="shared" si="169"/>
        <v/>
      </c>
      <c r="V418" s="301"/>
      <c r="W418" s="137" t="str">
        <f t="shared" si="170"/>
        <v/>
      </c>
      <c r="X418" s="589" t="str">
        <f t="shared" si="188"/>
        <v/>
      </c>
      <c r="Y418" s="581"/>
      <c r="Z418" s="251" t="str">
        <f t="shared" si="171"/>
        <v/>
      </c>
      <c r="AA418" s="138" t="str">
        <f t="shared" si="196"/>
        <v/>
      </c>
      <c r="AB418" s="243" t="str">
        <f t="shared" si="189"/>
        <v/>
      </c>
      <c r="AC418" s="141" t="str">
        <f t="shared" si="172"/>
        <v/>
      </c>
      <c r="AD418" s="138" t="str">
        <f t="shared" si="190"/>
        <v/>
      </c>
      <c r="AE418" s="243" t="str">
        <f t="shared" si="173"/>
        <v/>
      </c>
      <c r="AF418" s="342" t="str">
        <f>IF(AM418="Row Not Used","",INDEX(SpaceTable[Annual Hours],(MATCH(B418,SpaceTable[Space Name Concatenated Helper],0))))</f>
        <v/>
      </c>
      <c r="AG418" s="205" t="str">
        <f t="shared" si="174"/>
        <v/>
      </c>
      <c r="AH418" s="234" t="str">
        <f t="shared" si="175"/>
        <v/>
      </c>
      <c r="AI418" s="205" t="str">
        <f t="shared" si="176"/>
        <v/>
      </c>
      <c r="AJ418" s="234" t="str">
        <f t="shared" si="177"/>
        <v/>
      </c>
      <c r="AK418" s="144" t="str">
        <f>IF(AM418="Row Not Used","",INDEX(SpaceTable[Row],(MATCH(B418,SpaceTable[Space Name Concatenated Helper],0))))</f>
        <v/>
      </c>
      <c r="AL418" s="238" t="str">
        <f>IF(AM418="Row Not Used","",INDEX(SpaceTable[HVAC Factor],(MATCH(B418,SpaceTable[Space Name Concatenated Helper],0))))</f>
        <v/>
      </c>
      <c r="AM418" s="520" t="str">
        <f t="shared" si="178"/>
        <v>Row Not Used</v>
      </c>
      <c r="AN418" s="512" t="e" cm="1">
        <f t="array" ref="AN418">INDEX(BallastFactorTable[Ballast Factor],MATCH(1,(BallastFactorTable[Fixture Class]=D418)*(BallastFactorTable[Fixture Category]=E418)*(BallastFactorTable[Fixture Sub-category]=F418),0))</f>
        <v>#N/A</v>
      </c>
      <c r="AO418" s="143" t="str">
        <f t="shared" si="191"/>
        <v/>
      </c>
      <c r="AP418" s="501" t="e" cm="1">
        <f t="array" ref="AP418">INDEX(BallastFactorTable[Wattage Range Name],MATCH(1,(BallastFactorTable[Fixture Class]=D418)*(BallastFactorTable[Fixture Category]=E418)*(BallastFactorTable[Fixture Sub-category]=F418),0))</f>
        <v>#N/A</v>
      </c>
      <c r="AQ418" s="515" t="str">
        <f t="shared" ca="1" si="179"/>
        <v>Okay</v>
      </c>
      <c r="AR418" s="512">
        <f t="shared" si="180"/>
        <v>0</v>
      </c>
      <c r="AS418" s="511" t="str">
        <f>IF(OR(Measures!AM418="Row Not Used",Measures!C418="Controls Only",Measures!C418="Decommissioning"),"",_xlfn.CONCAT(P418," ",Q418))</f>
        <v/>
      </c>
      <c r="AT418" s="264" t="str">
        <f t="shared" si="181"/>
        <v>None</v>
      </c>
      <c r="AU418" s="229">
        <f>IF(OR(AM418="Row Not Used",AM418="Controls Only"),0,INDEX(IncentiveRateTable[Incentive Rate],MATCH(AT418,IncentiveRateTable[Incentive Name],0)))</f>
        <v>0</v>
      </c>
      <c r="AV418" s="133" t="str">
        <f>IF(OR(AM418="Row Not Used",AM418="Controls Only"),"None",INDEX(IncentiveRateTable[Incentive Unit],MATCH(AT418,IncentiveRateTable[Incentive Name],0)))</f>
        <v>None</v>
      </c>
      <c r="AW418" s="578">
        <f t="shared" si="192"/>
        <v>0</v>
      </c>
      <c r="AX418" s="264" t="str">
        <f t="shared" si="182"/>
        <v>None</v>
      </c>
      <c r="AY418" s="229">
        <f>IF(OR(AM418="Row Not Used",AM418="Fixtures Only",AM418="Decommissioning"),0,INDEX(IncentiveRateTable[Incentive Rate],MATCH(AX418,IncentiveRateTable[Incentive Name],0)))</f>
        <v>0</v>
      </c>
      <c r="AZ418" s="133" t="str">
        <f>IF(OR(AM418="Row Not Used",AM418="Fixtures Only",AM418="Decommissioning"),"None",INDEX(IncentiveRateTable[Incentive Unit],MATCH(AX418,IncentiveRateTable[Incentive Name],0)))</f>
        <v>None</v>
      </c>
      <c r="BA418" s="465">
        <f t="shared" si="183"/>
        <v>0</v>
      </c>
      <c r="BB418" s="264" t="e" cm="1">
        <f t="array" ref="BB418">INDEX(BallastFactorTable[Commercial BPA Reference Number],MATCH(1,(BallastFactorTable[Fixture Class]=J418)*(BallastFactorTable[Fixture Category]=K418)*(BallastFactorTable[Fixture Sub-category]=L418),0))</f>
        <v>#N/A</v>
      </c>
      <c r="BC418" s="133" t="e" cm="1">
        <f t="array" ref="BC418">INDEX(BallastFactorTable[Industrial BPA Reference Number],MATCH(1,(BallastFactorTable[Fixture Class]=J418)*(BallastFactorTable[Fixture Category]=K418)*(BallastFactorTable[Fixture Sub-category]=L418),0))</f>
        <v>#N/A</v>
      </c>
      <c r="BD418" s="264" t="str">
        <f t="shared" si="184"/>
        <v>Sector is blank</v>
      </c>
      <c r="BE418" s="269" t="str">
        <f>IF(ISBLANK(SectorField),"Sector is blank",IF(AM418="Row Not Used","",IF(OR(R418="No Controls",ISBLANK(R418)),"",INDEX(ControlsBPARefNoTable[Reference Number],MATCH(SectorField,ControlsBPARefNoTable[Sector],0)))))</f>
        <v>Sector is blank</v>
      </c>
      <c r="BF418" s="530" t="str">
        <f t="shared" si="185"/>
        <v/>
      </c>
      <c r="BG418" s="132" t="str">
        <f t="shared" si="186"/>
        <v/>
      </c>
      <c r="BH418" s="531" t="str">
        <f t="shared" si="187"/>
        <v/>
      </c>
      <c r="BI418" s="532"/>
      <c r="BJ418" s="538" t="str">
        <f t="shared" si="193"/>
        <v/>
      </c>
      <c r="BK418" s="539" t="str">
        <f t="shared" si="194"/>
        <v/>
      </c>
      <c r="BL418" s="547" t="str">
        <f t="shared" si="195"/>
        <v/>
      </c>
    </row>
    <row r="419" spans="1:64" x14ac:dyDescent="0.3">
      <c r="A419" s="133">
        <v>412</v>
      </c>
      <c r="B419" s="294"/>
      <c r="C419" s="313"/>
      <c r="D419" s="292"/>
      <c r="E419" s="284"/>
      <c r="F419" s="284"/>
      <c r="G419" s="295"/>
      <c r="H419" s="296"/>
      <c r="I419" s="297"/>
      <c r="J419" s="292"/>
      <c r="K419" s="284"/>
      <c r="L419" s="284"/>
      <c r="M419" s="295"/>
      <c r="N419" s="296"/>
      <c r="O419" s="296"/>
      <c r="P419" s="284"/>
      <c r="Q419" s="298"/>
      <c r="R419" s="292"/>
      <c r="S419" s="299"/>
      <c r="T419" s="300"/>
      <c r="U419" s="317" t="str">
        <f t="shared" si="169"/>
        <v/>
      </c>
      <c r="V419" s="301"/>
      <c r="W419" s="136" t="str">
        <f t="shared" si="170"/>
        <v/>
      </c>
      <c r="X419" s="588" t="str">
        <f t="shared" si="188"/>
        <v/>
      </c>
      <c r="Y419" s="580"/>
      <c r="Z419" s="251" t="str">
        <f t="shared" si="171"/>
        <v/>
      </c>
      <c r="AA419" s="138" t="str">
        <f t="shared" si="196"/>
        <v/>
      </c>
      <c r="AB419" s="243" t="str">
        <f t="shared" si="189"/>
        <v/>
      </c>
      <c r="AC419" s="141" t="str">
        <f t="shared" si="172"/>
        <v/>
      </c>
      <c r="AD419" s="138" t="str">
        <f t="shared" si="190"/>
        <v/>
      </c>
      <c r="AE419" s="243" t="str">
        <f t="shared" si="173"/>
        <v/>
      </c>
      <c r="AF419" s="342" t="str">
        <f>IF(AM419="Row Not Used","",INDEX(SpaceTable[Annual Hours],(MATCH(B419,SpaceTable[Space Name Concatenated Helper],0))))</f>
        <v/>
      </c>
      <c r="AG419" s="205" t="str">
        <f t="shared" si="174"/>
        <v/>
      </c>
      <c r="AH419" s="234" t="str">
        <f t="shared" si="175"/>
        <v/>
      </c>
      <c r="AI419" s="205" t="str">
        <f t="shared" si="176"/>
        <v/>
      </c>
      <c r="AJ419" s="234" t="str">
        <f t="shared" si="177"/>
        <v/>
      </c>
      <c r="AK419" s="144" t="str">
        <f>IF(AM419="Row Not Used","",INDEX(SpaceTable[Row],(MATCH(B419,SpaceTable[Space Name Concatenated Helper],0))))</f>
        <v/>
      </c>
      <c r="AL419" s="238" t="str">
        <f>IF(AM419="Row Not Used","",INDEX(SpaceTable[HVAC Factor],(MATCH(B419,SpaceTable[Space Name Concatenated Helper],0))))</f>
        <v/>
      </c>
      <c r="AM419" s="520" t="str">
        <f t="shared" si="178"/>
        <v>Row Not Used</v>
      </c>
      <c r="AN419" s="512" t="e" cm="1">
        <f t="array" ref="AN419">INDEX(BallastFactorTable[Ballast Factor],MATCH(1,(BallastFactorTable[Fixture Class]=D419)*(BallastFactorTable[Fixture Category]=E419)*(BallastFactorTable[Fixture Sub-category]=F419),0))</f>
        <v>#N/A</v>
      </c>
      <c r="AO419" s="143" t="str">
        <f t="shared" si="191"/>
        <v/>
      </c>
      <c r="AP419" s="501" t="e" cm="1">
        <f t="array" ref="AP419">INDEX(BallastFactorTable[Wattage Range Name],MATCH(1,(BallastFactorTable[Fixture Class]=D419)*(BallastFactorTable[Fixture Category]=E419)*(BallastFactorTable[Fixture Sub-category]=F419),0))</f>
        <v>#N/A</v>
      </c>
      <c r="AQ419" s="515" t="str">
        <f t="shared" ca="1" si="179"/>
        <v>Okay</v>
      </c>
      <c r="AR419" s="512">
        <f t="shared" si="180"/>
        <v>0</v>
      </c>
      <c r="AS419" s="511" t="str">
        <f>IF(OR(Measures!AM419="Row Not Used",Measures!C419="Controls Only",Measures!C419="Decommissioning"),"",_xlfn.CONCAT(P419," ",Q419))</f>
        <v/>
      </c>
      <c r="AT419" s="264" t="str">
        <f t="shared" si="181"/>
        <v>None</v>
      </c>
      <c r="AU419" s="229">
        <f>IF(OR(AM419="Row Not Used",AM419="Controls Only"),0,INDEX(IncentiveRateTable[Incentive Rate],MATCH(AT419,IncentiveRateTable[Incentive Name],0)))</f>
        <v>0</v>
      </c>
      <c r="AV419" s="133" t="str">
        <f>IF(OR(AM419="Row Not Used",AM419="Controls Only"),"None",INDEX(IncentiveRateTable[Incentive Unit],MATCH(AT419,IncentiveRateTable[Incentive Name],0)))</f>
        <v>None</v>
      </c>
      <c r="AW419" s="578">
        <f t="shared" si="192"/>
        <v>0</v>
      </c>
      <c r="AX419" s="264" t="str">
        <f t="shared" si="182"/>
        <v>None</v>
      </c>
      <c r="AY419" s="229">
        <f>IF(OR(AM419="Row Not Used",AM419="Fixtures Only",AM419="Decommissioning"),0,INDEX(IncentiveRateTable[Incentive Rate],MATCH(AX419,IncentiveRateTable[Incentive Name],0)))</f>
        <v>0</v>
      </c>
      <c r="AZ419" s="133" t="str">
        <f>IF(OR(AM419="Row Not Used",AM419="Fixtures Only",AM419="Decommissioning"),"None",INDEX(IncentiveRateTable[Incentive Unit],MATCH(AX419,IncentiveRateTable[Incentive Name],0)))</f>
        <v>None</v>
      </c>
      <c r="BA419" s="465">
        <f t="shared" si="183"/>
        <v>0</v>
      </c>
      <c r="BB419" s="264" t="e" cm="1">
        <f t="array" ref="BB419">INDEX(BallastFactorTable[Commercial BPA Reference Number],MATCH(1,(BallastFactorTable[Fixture Class]=J419)*(BallastFactorTable[Fixture Category]=K419)*(BallastFactorTable[Fixture Sub-category]=L419),0))</f>
        <v>#N/A</v>
      </c>
      <c r="BC419" s="133" t="e" cm="1">
        <f t="array" ref="BC419">INDEX(BallastFactorTable[Industrial BPA Reference Number],MATCH(1,(BallastFactorTable[Fixture Class]=J419)*(BallastFactorTable[Fixture Category]=K419)*(BallastFactorTable[Fixture Sub-category]=L419),0))</f>
        <v>#N/A</v>
      </c>
      <c r="BD419" s="264" t="str">
        <f t="shared" si="184"/>
        <v>Sector is blank</v>
      </c>
      <c r="BE419" s="269" t="str">
        <f>IF(ISBLANK(SectorField),"Sector is blank",IF(AM419="Row Not Used","",IF(OR(R419="No Controls",ISBLANK(R419)),"",INDEX(ControlsBPARefNoTable[Reference Number],MATCH(SectorField,ControlsBPARefNoTable[Sector],0)))))</f>
        <v>Sector is blank</v>
      </c>
      <c r="BF419" s="530" t="str">
        <f t="shared" si="185"/>
        <v/>
      </c>
      <c r="BG419" s="132" t="str">
        <f t="shared" si="186"/>
        <v/>
      </c>
      <c r="BH419" s="531" t="str">
        <f t="shared" si="187"/>
        <v/>
      </c>
      <c r="BI419" s="532"/>
      <c r="BJ419" s="538" t="str">
        <f t="shared" si="193"/>
        <v/>
      </c>
      <c r="BK419" s="539" t="str">
        <f t="shared" si="194"/>
        <v/>
      </c>
      <c r="BL419" s="547" t="str">
        <f t="shared" si="195"/>
        <v/>
      </c>
    </row>
    <row r="420" spans="1:64" x14ac:dyDescent="0.3">
      <c r="A420" s="133">
        <v>413</v>
      </c>
      <c r="B420" s="294"/>
      <c r="C420" s="313"/>
      <c r="D420" s="292"/>
      <c r="E420" s="284"/>
      <c r="F420" s="284"/>
      <c r="G420" s="295"/>
      <c r="H420" s="296"/>
      <c r="I420" s="297"/>
      <c r="J420" s="292"/>
      <c r="K420" s="284"/>
      <c r="L420" s="284"/>
      <c r="M420" s="295"/>
      <c r="N420" s="296"/>
      <c r="O420" s="296"/>
      <c r="P420" s="284"/>
      <c r="Q420" s="298"/>
      <c r="R420" s="292"/>
      <c r="S420" s="299"/>
      <c r="T420" s="300"/>
      <c r="U420" s="317" t="str">
        <f t="shared" si="169"/>
        <v/>
      </c>
      <c r="V420" s="301"/>
      <c r="W420" s="137" t="str">
        <f t="shared" si="170"/>
        <v/>
      </c>
      <c r="X420" s="589" t="str">
        <f t="shared" si="188"/>
        <v/>
      </c>
      <c r="Y420" s="581"/>
      <c r="Z420" s="251" t="str">
        <f t="shared" si="171"/>
        <v/>
      </c>
      <c r="AA420" s="138" t="str">
        <f t="shared" si="196"/>
        <v/>
      </c>
      <c r="AB420" s="243" t="str">
        <f t="shared" si="189"/>
        <v/>
      </c>
      <c r="AC420" s="141" t="str">
        <f t="shared" si="172"/>
        <v/>
      </c>
      <c r="AD420" s="138" t="str">
        <f t="shared" si="190"/>
        <v/>
      </c>
      <c r="AE420" s="243" t="str">
        <f t="shared" si="173"/>
        <v/>
      </c>
      <c r="AF420" s="342" t="str">
        <f>IF(AM420="Row Not Used","",INDEX(SpaceTable[Annual Hours],(MATCH(B420,SpaceTable[Space Name Concatenated Helper],0))))</f>
        <v/>
      </c>
      <c r="AG420" s="205" t="str">
        <f t="shared" si="174"/>
        <v/>
      </c>
      <c r="AH420" s="234" t="str">
        <f t="shared" si="175"/>
        <v/>
      </c>
      <c r="AI420" s="205" t="str">
        <f t="shared" si="176"/>
        <v/>
      </c>
      <c r="AJ420" s="234" t="str">
        <f t="shared" si="177"/>
        <v/>
      </c>
      <c r="AK420" s="144" t="str">
        <f>IF(AM420="Row Not Used","",INDEX(SpaceTable[Row],(MATCH(B420,SpaceTable[Space Name Concatenated Helper],0))))</f>
        <v/>
      </c>
      <c r="AL420" s="238" t="str">
        <f>IF(AM420="Row Not Used","",INDEX(SpaceTable[HVAC Factor],(MATCH(B420,SpaceTable[Space Name Concatenated Helper],0))))</f>
        <v/>
      </c>
      <c r="AM420" s="520" t="str">
        <f t="shared" si="178"/>
        <v>Row Not Used</v>
      </c>
      <c r="AN420" s="512" t="e" cm="1">
        <f t="array" ref="AN420">INDEX(BallastFactorTable[Ballast Factor],MATCH(1,(BallastFactorTable[Fixture Class]=D420)*(BallastFactorTable[Fixture Category]=E420)*(BallastFactorTable[Fixture Sub-category]=F420),0))</f>
        <v>#N/A</v>
      </c>
      <c r="AO420" s="143" t="str">
        <f t="shared" si="191"/>
        <v/>
      </c>
      <c r="AP420" s="501" t="e" cm="1">
        <f t="array" ref="AP420">INDEX(BallastFactorTable[Wattage Range Name],MATCH(1,(BallastFactorTable[Fixture Class]=D420)*(BallastFactorTable[Fixture Category]=E420)*(BallastFactorTable[Fixture Sub-category]=F420),0))</f>
        <v>#N/A</v>
      </c>
      <c r="AQ420" s="515" t="str">
        <f t="shared" ca="1" si="179"/>
        <v>Okay</v>
      </c>
      <c r="AR420" s="512">
        <f t="shared" si="180"/>
        <v>0</v>
      </c>
      <c r="AS420" s="511" t="str">
        <f>IF(OR(Measures!AM420="Row Not Used",Measures!C420="Controls Only",Measures!C420="Decommissioning"),"",_xlfn.CONCAT(P420," ",Q420))</f>
        <v/>
      </c>
      <c r="AT420" s="264" t="str">
        <f t="shared" si="181"/>
        <v>None</v>
      </c>
      <c r="AU420" s="229">
        <f>IF(OR(AM420="Row Not Used",AM420="Controls Only"),0,INDEX(IncentiveRateTable[Incentive Rate],MATCH(AT420,IncentiveRateTable[Incentive Name],0)))</f>
        <v>0</v>
      </c>
      <c r="AV420" s="133" t="str">
        <f>IF(OR(AM420="Row Not Used",AM420="Controls Only"),"None",INDEX(IncentiveRateTable[Incentive Unit],MATCH(AT420,IncentiveRateTable[Incentive Name],0)))</f>
        <v>None</v>
      </c>
      <c r="AW420" s="578">
        <f t="shared" si="192"/>
        <v>0</v>
      </c>
      <c r="AX420" s="264" t="str">
        <f t="shared" si="182"/>
        <v>None</v>
      </c>
      <c r="AY420" s="229">
        <f>IF(OR(AM420="Row Not Used",AM420="Fixtures Only",AM420="Decommissioning"),0,INDEX(IncentiveRateTable[Incentive Rate],MATCH(AX420,IncentiveRateTable[Incentive Name],0)))</f>
        <v>0</v>
      </c>
      <c r="AZ420" s="133" t="str">
        <f>IF(OR(AM420="Row Not Used",AM420="Fixtures Only",AM420="Decommissioning"),"None",INDEX(IncentiveRateTable[Incentive Unit],MATCH(AX420,IncentiveRateTable[Incentive Name],0)))</f>
        <v>None</v>
      </c>
      <c r="BA420" s="465">
        <f t="shared" si="183"/>
        <v>0</v>
      </c>
      <c r="BB420" s="264" t="e" cm="1">
        <f t="array" ref="BB420">INDEX(BallastFactorTable[Commercial BPA Reference Number],MATCH(1,(BallastFactorTable[Fixture Class]=J420)*(BallastFactorTable[Fixture Category]=K420)*(BallastFactorTable[Fixture Sub-category]=L420),0))</f>
        <v>#N/A</v>
      </c>
      <c r="BC420" s="133" t="e" cm="1">
        <f t="array" ref="BC420">INDEX(BallastFactorTable[Industrial BPA Reference Number],MATCH(1,(BallastFactorTable[Fixture Class]=J420)*(BallastFactorTable[Fixture Category]=K420)*(BallastFactorTable[Fixture Sub-category]=L420),0))</f>
        <v>#N/A</v>
      </c>
      <c r="BD420" s="264" t="str">
        <f t="shared" si="184"/>
        <v>Sector is blank</v>
      </c>
      <c r="BE420" s="269" t="str">
        <f>IF(ISBLANK(SectorField),"Sector is blank",IF(AM420="Row Not Used","",IF(OR(R420="No Controls",ISBLANK(R420)),"",INDEX(ControlsBPARefNoTable[Reference Number],MATCH(SectorField,ControlsBPARefNoTable[Sector],0)))))</f>
        <v>Sector is blank</v>
      </c>
      <c r="BF420" s="530" t="str">
        <f t="shared" si="185"/>
        <v/>
      </c>
      <c r="BG420" s="132" t="str">
        <f t="shared" si="186"/>
        <v/>
      </c>
      <c r="BH420" s="531" t="str">
        <f t="shared" si="187"/>
        <v/>
      </c>
      <c r="BI420" s="532"/>
      <c r="BJ420" s="538" t="str">
        <f t="shared" si="193"/>
        <v/>
      </c>
      <c r="BK420" s="539" t="str">
        <f t="shared" si="194"/>
        <v/>
      </c>
      <c r="BL420" s="547" t="str">
        <f t="shared" si="195"/>
        <v/>
      </c>
    </row>
    <row r="421" spans="1:64" x14ac:dyDescent="0.3">
      <c r="A421" s="133">
        <v>414</v>
      </c>
      <c r="B421" s="294"/>
      <c r="C421" s="313"/>
      <c r="D421" s="292"/>
      <c r="E421" s="284"/>
      <c r="F421" s="284"/>
      <c r="G421" s="295"/>
      <c r="H421" s="296"/>
      <c r="I421" s="297"/>
      <c r="J421" s="292"/>
      <c r="K421" s="284"/>
      <c r="L421" s="284"/>
      <c r="M421" s="295"/>
      <c r="N421" s="296"/>
      <c r="O421" s="296"/>
      <c r="P421" s="284"/>
      <c r="Q421" s="298"/>
      <c r="R421" s="292"/>
      <c r="S421" s="299"/>
      <c r="T421" s="300"/>
      <c r="U421" s="317" t="str">
        <f t="shared" si="169"/>
        <v/>
      </c>
      <c r="V421" s="301"/>
      <c r="W421" s="136" t="str">
        <f t="shared" si="170"/>
        <v/>
      </c>
      <c r="X421" s="588" t="str">
        <f t="shared" si="188"/>
        <v/>
      </c>
      <c r="Y421" s="580"/>
      <c r="Z421" s="251" t="str">
        <f t="shared" si="171"/>
        <v/>
      </c>
      <c r="AA421" s="138" t="str">
        <f t="shared" si="196"/>
        <v/>
      </c>
      <c r="AB421" s="243" t="str">
        <f t="shared" si="189"/>
        <v/>
      </c>
      <c r="AC421" s="141" t="str">
        <f t="shared" si="172"/>
        <v/>
      </c>
      <c r="AD421" s="138" t="str">
        <f t="shared" si="190"/>
        <v/>
      </c>
      <c r="AE421" s="243" t="str">
        <f t="shared" si="173"/>
        <v/>
      </c>
      <c r="AF421" s="342" t="str">
        <f>IF(AM421="Row Not Used","",INDEX(SpaceTable[Annual Hours],(MATCH(B421,SpaceTable[Space Name Concatenated Helper],0))))</f>
        <v/>
      </c>
      <c r="AG421" s="205" t="str">
        <f t="shared" si="174"/>
        <v/>
      </c>
      <c r="AH421" s="234" t="str">
        <f t="shared" si="175"/>
        <v/>
      </c>
      <c r="AI421" s="205" t="str">
        <f t="shared" si="176"/>
        <v/>
      </c>
      <c r="AJ421" s="234" t="str">
        <f t="shared" si="177"/>
        <v/>
      </c>
      <c r="AK421" s="144" t="str">
        <f>IF(AM421="Row Not Used","",INDEX(SpaceTable[Row],(MATCH(B421,SpaceTable[Space Name Concatenated Helper],0))))</f>
        <v/>
      </c>
      <c r="AL421" s="238" t="str">
        <f>IF(AM421="Row Not Used","",INDEX(SpaceTable[HVAC Factor],(MATCH(B421,SpaceTable[Space Name Concatenated Helper],0))))</f>
        <v/>
      </c>
      <c r="AM421" s="520" t="str">
        <f t="shared" si="178"/>
        <v>Row Not Used</v>
      </c>
      <c r="AN421" s="512" t="e" cm="1">
        <f t="array" ref="AN421">INDEX(BallastFactorTable[Ballast Factor],MATCH(1,(BallastFactorTable[Fixture Class]=D421)*(BallastFactorTable[Fixture Category]=E421)*(BallastFactorTable[Fixture Sub-category]=F421),0))</f>
        <v>#N/A</v>
      </c>
      <c r="AO421" s="143" t="str">
        <f t="shared" si="191"/>
        <v/>
      </c>
      <c r="AP421" s="501" t="e" cm="1">
        <f t="array" ref="AP421">INDEX(BallastFactorTable[Wattage Range Name],MATCH(1,(BallastFactorTable[Fixture Class]=D421)*(BallastFactorTable[Fixture Category]=E421)*(BallastFactorTable[Fixture Sub-category]=F421),0))</f>
        <v>#N/A</v>
      </c>
      <c r="AQ421" s="515" t="str">
        <f t="shared" ca="1" si="179"/>
        <v>Okay</v>
      </c>
      <c r="AR421" s="512">
        <f t="shared" si="180"/>
        <v>0</v>
      </c>
      <c r="AS421" s="511" t="str">
        <f>IF(OR(Measures!AM421="Row Not Used",Measures!C421="Controls Only",Measures!C421="Decommissioning"),"",_xlfn.CONCAT(P421," ",Q421))</f>
        <v/>
      </c>
      <c r="AT421" s="264" t="str">
        <f t="shared" si="181"/>
        <v>None</v>
      </c>
      <c r="AU421" s="229">
        <f>IF(OR(AM421="Row Not Used",AM421="Controls Only"),0,INDEX(IncentiveRateTable[Incentive Rate],MATCH(AT421,IncentiveRateTable[Incentive Name],0)))</f>
        <v>0</v>
      </c>
      <c r="AV421" s="133" t="str">
        <f>IF(OR(AM421="Row Not Used",AM421="Controls Only"),"None",INDEX(IncentiveRateTable[Incentive Unit],MATCH(AT421,IncentiveRateTable[Incentive Name],0)))</f>
        <v>None</v>
      </c>
      <c r="AW421" s="578">
        <f t="shared" si="192"/>
        <v>0</v>
      </c>
      <c r="AX421" s="264" t="str">
        <f t="shared" si="182"/>
        <v>None</v>
      </c>
      <c r="AY421" s="229">
        <f>IF(OR(AM421="Row Not Used",AM421="Fixtures Only",AM421="Decommissioning"),0,INDEX(IncentiveRateTable[Incentive Rate],MATCH(AX421,IncentiveRateTable[Incentive Name],0)))</f>
        <v>0</v>
      </c>
      <c r="AZ421" s="133" t="str">
        <f>IF(OR(AM421="Row Not Used",AM421="Fixtures Only",AM421="Decommissioning"),"None",INDEX(IncentiveRateTable[Incentive Unit],MATCH(AX421,IncentiveRateTable[Incentive Name],0)))</f>
        <v>None</v>
      </c>
      <c r="BA421" s="465">
        <f t="shared" si="183"/>
        <v>0</v>
      </c>
      <c r="BB421" s="264" t="e" cm="1">
        <f t="array" ref="BB421">INDEX(BallastFactorTable[Commercial BPA Reference Number],MATCH(1,(BallastFactorTable[Fixture Class]=J421)*(BallastFactorTable[Fixture Category]=K421)*(BallastFactorTable[Fixture Sub-category]=L421),0))</f>
        <v>#N/A</v>
      </c>
      <c r="BC421" s="133" t="e" cm="1">
        <f t="array" ref="BC421">INDEX(BallastFactorTable[Industrial BPA Reference Number],MATCH(1,(BallastFactorTable[Fixture Class]=J421)*(BallastFactorTable[Fixture Category]=K421)*(BallastFactorTable[Fixture Sub-category]=L421),0))</f>
        <v>#N/A</v>
      </c>
      <c r="BD421" s="264" t="str">
        <f t="shared" si="184"/>
        <v>Sector is blank</v>
      </c>
      <c r="BE421" s="269" t="str">
        <f>IF(ISBLANK(SectorField),"Sector is blank",IF(AM421="Row Not Used","",IF(OR(R421="No Controls",ISBLANK(R421)),"",INDEX(ControlsBPARefNoTable[Reference Number],MATCH(SectorField,ControlsBPARefNoTable[Sector],0)))))</f>
        <v>Sector is blank</v>
      </c>
      <c r="BF421" s="530" t="str">
        <f t="shared" si="185"/>
        <v/>
      </c>
      <c r="BG421" s="132" t="str">
        <f t="shared" si="186"/>
        <v/>
      </c>
      <c r="BH421" s="531" t="str">
        <f t="shared" si="187"/>
        <v/>
      </c>
      <c r="BI421" s="532"/>
      <c r="BJ421" s="538" t="str">
        <f t="shared" si="193"/>
        <v/>
      </c>
      <c r="BK421" s="539" t="str">
        <f t="shared" si="194"/>
        <v/>
      </c>
      <c r="BL421" s="547" t="str">
        <f t="shared" si="195"/>
        <v/>
      </c>
    </row>
    <row r="422" spans="1:64" x14ac:dyDescent="0.3">
      <c r="A422" s="133">
        <v>415</v>
      </c>
      <c r="B422" s="294"/>
      <c r="C422" s="313"/>
      <c r="D422" s="292"/>
      <c r="E422" s="284"/>
      <c r="F422" s="284"/>
      <c r="G422" s="295"/>
      <c r="H422" s="296"/>
      <c r="I422" s="297"/>
      <c r="J422" s="292"/>
      <c r="K422" s="284"/>
      <c r="L422" s="284"/>
      <c r="M422" s="295"/>
      <c r="N422" s="296"/>
      <c r="O422" s="296"/>
      <c r="P422" s="284"/>
      <c r="Q422" s="298"/>
      <c r="R422" s="292"/>
      <c r="S422" s="299"/>
      <c r="T422" s="300"/>
      <c r="U422" s="317" t="str">
        <f t="shared" si="169"/>
        <v/>
      </c>
      <c r="V422" s="301"/>
      <c r="W422" s="137" t="str">
        <f t="shared" si="170"/>
        <v/>
      </c>
      <c r="X422" s="589" t="str">
        <f t="shared" si="188"/>
        <v/>
      </c>
      <c r="Y422" s="581"/>
      <c r="Z422" s="251" t="str">
        <f t="shared" si="171"/>
        <v/>
      </c>
      <c r="AA422" s="138" t="str">
        <f t="shared" si="196"/>
        <v/>
      </c>
      <c r="AB422" s="243" t="str">
        <f t="shared" si="189"/>
        <v/>
      </c>
      <c r="AC422" s="141" t="str">
        <f t="shared" si="172"/>
        <v/>
      </c>
      <c r="AD422" s="138" t="str">
        <f t="shared" si="190"/>
        <v/>
      </c>
      <c r="AE422" s="243" t="str">
        <f t="shared" si="173"/>
        <v/>
      </c>
      <c r="AF422" s="342" t="str">
        <f>IF(AM422="Row Not Used","",INDEX(SpaceTable[Annual Hours],(MATCH(B422,SpaceTable[Space Name Concatenated Helper],0))))</f>
        <v/>
      </c>
      <c r="AG422" s="205" t="str">
        <f t="shared" si="174"/>
        <v/>
      </c>
      <c r="AH422" s="234" t="str">
        <f t="shared" si="175"/>
        <v/>
      </c>
      <c r="AI422" s="205" t="str">
        <f t="shared" si="176"/>
        <v/>
      </c>
      <c r="AJ422" s="234" t="str">
        <f t="shared" si="177"/>
        <v/>
      </c>
      <c r="AK422" s="144" t="str">
        <f>IF(AM422="Row Not Used","",INDEX(SpaceTable[Row],(MATCH(B422,SpaceTable[Space Name Concatenated Helper],0))))</f>
        <v/>
      </c>
      <c r="AL422" s="238" t="str">
        <f>IF(AM422="Row Not Used","",INDEX(SpaceTable[HVAC Factor],(MATCH(B422,SpaceTable[Space Name Concatenated Helper],0))))</f>
        <v/>
      </c>
      <c r="AM422" s="520" t="str">
        <f t="shared" si="178"/>
        <v>Row Not Used</v>
      </c>
      <c r="AN422" s="512" t="e" cm="1">
        <f t="array" ref="AN422">INDEX(BallastFactorTable[Ballast Factor],MATCH(1,(BallastFactorTable[Fixture Class]=D422)*(BallastFactorTable[Fixture Category]=E422)*(BallastFactorTable[Fixture Sub-category]=F422),0))</f>
        <v>#N/A</v>
      </c>
      <c r="AO422" s="143" t="str">
        <f t="shared" si="191"/>
        <v/>
      </c>
      <c r="AP422" s="501" t="e" cm="1">
        <f t="array" ref="AP422">INDEX(BallastFactorTable[Wattage Range Name],MATCH(1,(BallastFactorTable[Fixture Class]=D422)*(BallastFactorTable[Fixture Category]=E422)*(BallastFactorTable[Fixture Sub-category]=F422),0))</f>
        <v>#N/A</v>
      </c>
      <c r="AQ422" s="515" t="str">
        <f t="shared" ca="1" si="179"/>
        <v>Okay</v>
      </c>
      <c r="AR422" s="512">
        <f t="shared" si="180"/>
        <v>0</v>
      </c>
      <c r="AS422" s="511" t="str">
        <f>IF(OR(Measures!AM422="Row Not Used",Measures!C422="Controls Only",Measures!C422="Decommissioning"),"",_xlfn.CONCAT(P422," ",Q422))</f>
        <v/>
      </c>
      <c r="AT422" s="264" t="str">
        <f t="shared" si="181"/>
        <v>None</v>
      </c>
      <c r="AU422" s="229">
        <f>IF(OR(AM422="Row Not Used",AM422="Controls Only"),0,INDEX(IncentiveRateTable[Incentive Rate],MATCH(AT422,IncentiveRateTable[Incentive Name],0)))</f>
        <v>0</v>
      </c>
      <c r="AV422" s="133" t="str">
        <f>IF(OR(AM422="Row Not Used",AM422="Controls Only"),"None",INDEX(IncentiveRateTable[Incentive Unit],MATCH(AT422,IncentiveRateTable[Incentive Name],0)))</f>
        <v>None</v>
      </c>
      <c r="AW422" s="578">
        <f t="shared" si="192"/>
        <v>0</v>
      </c>
      <c r="AX422" s="264" t="str">
        <f t="shared" si="182"/>
        <v>None</v>
      </c>
      <c r="AY422" s="229">
        <f>IF(OR(AM422="Row Not Used",AM422="Fixtures Only",AM422="Decommissioning"),0,INDEX(IncentiveRateTable[Incentive Rate],MATCH(AX422,IncentiveRateTable[Incentive Name],0)))</f>
        <v>0</v>
      </c>
      <c r="AZ422" s="133" t="str">
        <f>IF(OR(AM422="Row Not Used",AM422="Fixtures Only",AM422="Decommissioning"),"None",INDEX(IncentiveRateTable[Incentive Unit],MATCH(AX422,IncentiveRateTable[Incentive Name],0)))</f>
        <v>None</v>
      </c>
      <c r="BA422" s="465">
        <f t="shared" si="183"/>
        <v>0</v>
      </c>
      <c r="BB422" s="264" t="e" cm="1">
        <f t="array" ref="BB422">INDEX(BallastFactorTable[Commercial BPA Reference Number],MATCH(1,(BallastFactorTable[Fixture Class]=J422)*(BallastFactorTable[Fixture Category]=K422)*(BallastFactorTable[Fixture Sub-category]=L422),0))</f>
        <v>#N/A</v>
      </c>
      <c r="BC422" s="133" t="e" cm="1">
        <f t="array" ref="BC422">INDEX(BallastFactorTable[Industrial BPA Reference Number],MATCH(1,(BallastFactorTable[Fixture Class]=J422)*(BallastFactorTable[Fixture Category]=K422)*(BallastFactorTable[Fixture Sub-category]=L422),0))</f>
        <v>#N/A</v>
      </c>
      <c r="BD422" s="264" t="str">
        <f t="shared" si="184"/>
        <v>Sector is blank</v>
      </c>
      <c r="BE422" s="269" t="str">
        <f>IF(ISBLANK(SectorField),"Sector is blank",IF(AM422="Row Not Used","",IF(OR(R422="No Controls",ISBLANK(R422)),"",INDEX(ControlsBPARefNoTable[Reference Number],MATCH(SectorField,ControlsBPARefNoTable[Sector],0)))))</f>
        <v>Sector is blank</v>
      </c>
      <c r="BF422" s="530" t="str">
        <f t="shared" si="185"/>
        <v/>
      </c>
      <c r="BG422" s="132" t="str">
        <f t="shared" si="186"/>
        <v/>
      </c>
      <c r="BH422" s="531" t="str">
        <f t="shared" si="187"/>
        <v/>
      </c>
      <c r="BI422" s="532"/>
      <c r="BJ422" s="538" t="str">
        <f t="shared" si="193"/>
        <v/>
      </c>
      <c r="BK422" s="539" t="str">
        <f t="shared" si="194"/>
        <v/>
      </c>
      <c r="BL422" s="547" t="str">
        <f t="shared" si="195"/>
        <v/>
      </c>
    </row>
    <row r="423" spans="1:64" x14ac:dyDescent="0.3">
      <c r="A423" s="133">
        <v>416</v>
      </c>
      <c r="B423" s="294"/>
      <c r="C423" s="313"/>
      <c r="D423" s="292"/>
      <c r="E423" s="284"/>
      <c r="F423" s="284"/>
      <c r="G423" s="295"/>
      <c r="H423" s="296"/>
      <c r="I423" s="297"/>
      <c r="J423" s="292"/>
      <c r="K423" s="284"/>
      <c r="L423" s="284"/>
      <c r="M423" s="295"/>
      <c r="N423" s="296"/>
      <c r="O423" s="296"/>
      <c r="P423" s="284"/>
      <c r="Q423" s="298"/>
      <c r="R423" s="292"/>
      <c r="S423" s="299"/>
      <c r="T423" s="300"/>
      <c r="U423" s="317" t="str">
        <f t="shared" si="169"/>
        <v/>
      </c>
      <c r="V423" s="301"/>
      <c r="W423" s="136" t="str">
        <f t="shared" si="170"/>
        <v/>
      </c>
      <c r="X423" s="588" t="str">
        <f t="shared" si="188"/>
        <v/>
      </c>
      <c r="Y423" s="580"/>
      <c r="Z423" s="251" t="str">
        <f t="shared" si="171"/>
        <v/>
      </c>
      <c r="AA423" s="138" t="str">
        <f t="shared" si="196"/>
        <v/>
      </c>
      <c r="AB423" s="243" t="str">
        <f t="shared" si="189"/>
        <v/>
      </c>
      <c r="AC423" s="141" t="str">
        <f t="shared" si="172"/>
        <v/>
      </c>
      <c r="AD423" s="138" t="str">
        <f t="shared" si="190"/>
        <v/>
      </c>
      <c r="AE423" s="243" t="str">
        <f t="shared" si="173"/>
        <v/>
      </c>
      <c r="AF423" s="342" t="str">
        <f>IF(AM423="Row Not Used","",INDEX(SpaceTable[Annual Hours],(MATCH(B423,SpaceTable[Space Name Concatenated Helper],0))))</f>
        <v/>
      </c>
      <c r="AG423" s="205" t="str">
        <f t="shared" si="174"/>
        <v/>
      </c>
      <c r="AH423" s="234" t="str">
        <f t="shared" si="175"/>
        <v/>
      </c>
      <c r="AI423" s="205" t="str">
        <f t="shared" si="176"/>
        <v/>
      </c>
      <c r="AJ423" s="234" t="str">
        <f t="shared" si="177"/>
        <v/>
      </c>
      <c r="AK423" s="144" t="str">
        <f>IF(AM423="Row Not Used","",INDEX(SpaceTable[Row],(MATCH(B423,SpaceTable[Space Name Concatenated Helper],0))))</f>
        <v/>
      </c>
      <c r="AL423" s="238" t="str">
        <f>IF(AM423="Row Not Used","",INDEX(SpaceTable[HVAC Factor],(MATCH(B423,SpaceTable[Space Name Concatenated Helper],0))))</f>
        <v/>
      </c>
      <c r="AM423" s="520" t="str">
        <f t="shared" si="178"/>
        <v>Row Not Used</v>
      </c>
      <c r="AN423" s="512" t="e" cm="1">
        <f t="array" ref="AN423">INDEX(BallastFactorTable[Ballast Factor],MATCH(1,(BallastFactorTable[Fixture Class]=D423)*(BallastFactorTable[Fixture Category]=E423)*(BallastFactorTable[Fixture Sub-category]=F423),0))</f>
        <v>#N/A</v>
      </c>
      <c r="AO423" s="143" t="str">
        <f t="shared" si="191"/>
        <v/>
      </c>
      <c r="AP423" s="501" t="e" cm="1">
        <f t="array" ref="AP423">INDEX(BallastFactorTable[Wattage Range Name],MATCH(1,(BallastFactorTable[Fixture Class]=D423)*(BallastFactorTable[Fixture Category]=E423)*(BallastFactorTable[Fixture Sub-category]=F423),0))</f>
        <v>#N/A</v>
      </c>
      <c r="AQ423" s="515" t="str">
        <f t="shared" ca="1" si="179"/>
        <v>Okay</v>
      </c>
      <c r="AR423" s="512">
        <f t="shared" si="180"/>
        <v>0</v>
      </c>
      <c r="AS423" s="511" t="str">
        <f>IF(OR(Measures!AM423="Row Not Used",Measures!C423="Controls Only",Measures!C423="Decommissioning"),"",_xlfn.CONCAT(P423," ",Q423))</f>
        <v/>
      </c>
      <c r="AT423" s="264" t="str">
        <f t="shared" si="181"/>
        <v>None</v>
      </c>
      <c r="AU423" s="229">
        <f>IF(OR(AM423="Row Not Used",AM423="Controls Only"),0,INDEX(IncentiveRateTable[Incentive Rate],MATCH(AT423,IncentiveRateTable[Incentive Name],0)))</f>
        <v>0</v>
      </c>
      <c r="AV423" s="133" t="str">
        <f>IF(OR(AM423="Row Not Used",AM423="Controls Only"),"None",INDEX(IncentiveRateTable[Incentive Unit],MATCH(AT423,IncentiveRateTable[Incentive Name],0)))</f>
        <v>None</v>
      </c>
      <c r="AW423" s="578">
        <f t="shared" si="192"/>
        <v>0</v>
      </c>
      <c r="AX423" s="264" t="str">
        <f t="shared" si="182"/>
        <v>None</v>
      </c>
      <c r="AY423" s="229">
        <f>IF(OR(AM423="Row Not Used",AM423="Fixtures Only",AM423="Decommissioning"),0,INDEX(IncentiveRateTable[Incentive Rate],MATCH(AX423,IncentiveRateTable[Incentive Name],0)))</f>
        <v>0</v>
      </c>
      <c r="AZ423" s="133" t="str">
        <f>IF(OR(AM423="Row Not Used",AM423="Fixtures Only",AM423="Decommissioning"),"None",INDEX(IncentiveRateTable[Incentive Unit],MATCH(AX423,IncentiveRateTable[Incentive Name],0)))</f>
        <v>None</v>
      </c>
      <c r="BA423" s="465">
        <f t="shared" si="183"/>
        <v>0</v>
      </c>
      <c r="BB423" s="264" t="e" cm="1">
        <f t="array" ref="BB423">INDEX(BallastFactorTable[Commercial BPA Reference Number],MATCH(1,(BallastFactorTable[Fixture Class]=J423)*(BallastFactorTable[Fixture Category]=K423)*(BallastFactorTable[Fixture Sub-category]=L423),0))</f>
        <v>#N/A</v>
      </c>
      <c r="BC423" s="133" t="e" cm="1">
        <f t="array" ref="BC423">INDEX(BallastFactorTable[Industrial BPA Reference Number],MATCH(1,(BallastFactorTable[Fixture Class]=J423)*(BallastFactorTable[Fixture Category]=K423)*(BallastFactorTable[Fixture Sub-category]=L423),0))</f>
        <v>#N/A</v>
      </c>
      <c r="BD423" s="264" t="str">
        <f t="shared" si="184"/>
        <v>Sector is blank</v>
      </c>
      <c r="BE423" s="269" t="str">
        <f>IF(ISBLANK(SectorField),"Sector is blank",IF(AM423="Row Not Used","",IF(OR(R423="No Controls",ISBLANK(R423)),"",INDEX(ControlsBPARefNoTable[Reference Number],MATCH(SectorField,ControlsBPARefNoTable[Sector],0)))))</f>
        <v>Sector is blank</v>
      </c>
      <c r="BF423" s="530" t="str">
        <f t="shared" si="185"/>
        <v/>
      </c>
      <c r="BG423" s="132" t="str">
        <f t="shared" si="186"/>
        <v/>
      </c>
      <c r="BH423" s="531" t="str">
        <f t="shared" si="187"/>
        <v/>
      </c>
      <c r="BI423" s="532"/>
      <c r="BJ423" s="538" t="str">
        <f t="shared" si="193"/>
        <v/>
      </c>
      <c r="BK423" s="539" t="str">
        <f t="shared" si="194"/>
        <v/>
      </c>
      <c r="BL423" s="547" t="str">
        <f t="shared" si="195"/>
        <v/>
      </c>
    </row>
    <row r="424" spans="1:64" x14ac:dyDescent="0.3">
      <c r="A424" s="133">
        <v>417</v>
      </c>
      <c r="B424" s="294"/>
      <c r="C424" s="313"/>
      <c r="D424" s="292"/>
      <c r="E424" s="284"/>
      <c r="F424" s="284"/>
      <c r="G424" s="295"/>
      <c r="H424" s="296"/>
      <c r="I424" s="297"/>
      <c r="J424" s="292"/>
      <c r="K424" s="284"/>
      <c r="L424" s="284"/>
      <c r="M424" s="295"/>
      <c r="N424" s="296"/>
      <c r="O424" s="296"/>
      <c r="P424" s="284"/>
      <c r="Q424" s="298"/>
      <c r="R424" s="292"/>
      <c r="S424" s="299"/>
      <c r="T424" s="300"/>
      <c r="U424" s="317" t="str">
        <f t="shared" si="169"/>
        <v/>
      </c>
      <c r="V424" s="301"/>
      <c r="W424" s="137" t="str">
        <f t="shared" si="170"/>
        <v/>
      </c>
      <c r="X424" s="589" t="str">
        <f t="shared" si="188"/>
        <v/>
      </c>
      <c r="Y424" s="581"/>
      <c r="Z424" s="251" t="str">
        <f t="shared" si="171"/>
        <v/>
      </c>
      <c r="AA424" s="138" t="str">
        <f t="shared" si="196"/>
        <v/>
      </c>
      <c r="AB424" s="243" t="str">
        <f t="shared" si="189"/>
        <v/>
      </c>
      <c r="AC424" s="141" t="str">
        <f t="shared" si="172"/>
        <v/>
      </c>
      <c r="AD424" s="138" t="str">
        <f t="shared" si="190"/>
        <v/>
      </c>
      <c r="AE424" s="243" t="str">
        <f t="shared" si="173"/>
        <v/>
      </c>
      <c r="AF424" s="342" t="str">
        <f>IF(AM424="Row Not Used","",INDEX(SpaceTable[Annual Hours],(MATCH(B424,SpaceTable[Space Name Concatenated Helper],0))))</f>
        <v/>
      </c>
      <c r="AG424" s="205" t="str">
        <f t="shared" si="174"/>
        <v/>
      </c>
      <c r="AH424" s="234" t="str">
        <f t="shared" si="175"/>
        <v/>
      </c>
      <c r="AI424" s="205" t="str">
        <f t="shared" si="176"/>
        <v/>
      </c>
      <c r="AJ424" s="234" t="str">
        <f t="shared" si="177"/>
        <v/>
      </c>
      <c r="AK424" s="144" t="str">
        <f>IF(AM424="Row Not Used","",INDEX(SpaceTable[Row],(MATCH(B424,SpaceTable[Space Name Concatenated Helper],0))))</f>
        <v/>
      </c>
      <c r="AL424" s="238" t="str">
        <f>IF(AM424="Row Not Used","",INDEX(SpaceTable[HVAC Factor],(MATCH(B424,SpaceTable[Space Name Concatenated Helper],0))))</f>
        <v/>
      </c>
      <c r="AM424" s="520" t="str">
        <f t="shared" si="178"/>
        <v>Row Not Used</v>
      </c>
      <c r="AN424" s="512" t="e" cm="1">
        <f t="array" ref="AN424">INDEX(BallastFactorTable[Ballast Factor],MATCH(1,(BallastFactorTable[Fixture Class]=D424)*(BallastFactorTable[Fixture Category]=E424)*(BallastFactorTable[Fixture Sub-category]=F424),0))</f>
        <v>#N/A</v>
      </c>
      <c r="AO424" s="143" t="str">
        <f t="shared" si="191"/>
        <v/>
      </c>
      <c r="AP424" s="501" t="e" cm="1">
        <f t="array" ref="AP424">INDEX(BallastFactorTable[Wattage Range Name],MATCH(1,(BallastFactorTable[Fixture Class]=D424)*(BallastFactorTable[Fixture Category]=E424)*(BallastFactorTable[Fixture Sub-category]=F424),0))</f>
        <v>#N/A</v>
      </c>
      <c r="AQ424" s="515" t="str">
        <f t="shared" ca="1" si="179"/>
        <v>Okay</v>
      </c>
      <c r="AR424" s="512">
        <f t="shared" si="180"/>
        <v>0</v>
      </c>
      <c r="AS424" s="511" t="str">
        <f>IF(OR(Measures!AM424="Row Not Used",Measures!C424="Controls Only",Measures!C424="Decommissioning"),"",_xlfn.CONCAT(P424," ",Q424))</f>
        <v/>
      </c>
      <c r="AT424" s="264" t="str">
        <f t="shared" si="181"/>
        <v>None</v>
      </c>
      <c r="AU424" s="229">
        <f>IF(OR(AM424="Row Not Used",AM424="Controls Only"),0,INDEX(IncentiveRateTable[Incentive Rate],MATCH(AT424,IncentiveRateTable[Incentive Name],0)))</f>
        <v>0</v>
      </c>
      <c r="AV424" s="133" t="str">
        <f>IF(OR(AM424="Row Not Used",AM424="Controls Only"),"None",INDEX(IncentiveRateTable[Incentive Unit],MATCH(AT424,IncentiveRateTable[Incentive Name],0)))</f>
        <v>None</v>
      </c>
      <c r="AW424" s="578">
        <f t="shared" si="192"/>
        <v>0</v>
      </c>
      <c r="AX424" s="264" t="str">
        <f t="shared" si="182"/>
        <v>None</v>
      </c>
      <c r="AY424" s="229">
        <f>IF(OR(AM424="Row Not Used",AM424="Fixtures Only",AM424="Decommissioning"),0,INDEX(IncentiveRateTable[Incentive Rate],MATCH(AX424,IncentiveRateTable[Incentive Name],0)))</f>
        <v>0</v>
      </c>
      <c r="AZ424" s="133" t="str">
        <f>IF(OR(AM424="Row Not Used",AM424="Fixtures Only",AM424="Decommissioning"),"None",INDEX(IncentiveRateTable[Incentive Unit],MATCH(AX424,IncentiveRateTable[Incentive Name],0)))</f>
        <v>None</v>
      </c>
      <c r="BA424" s="465">
        <f t="shared" si="183"/>
        <v>0</v>
      </c>
      <c r="BB424" s="264" t="e" cm="1">
        <f t="array" ref="BB424">INDEX(BallastFactorTable[Commercial BPA Reference Number],MATCH(1,(BallastFactorTable[Fixture Class]=J424)*(BallastFactorTable[Fixture Category]=K424)*(BallastFactorTable[Fixture Sub-category]=L424),0))</f>
        <v>#N/A</v>
      </c>
      <c r="BC424" s="133" t="e" cm="1">
        <f t="array" ref="BC424">INDEX(BallastFactorTable[Industrial BPA Reference Number],MATCH(1,(BallastFactorTable[Fixture Class]=J424)*(BallastFactorTable[Fixture Category]=K424)*(BallastFactorTable[Fixture Sub-category]=L424),0))</f>
        <v>#N/A</v>
      </c>
      <c r="BD424" s="264" t="str">
        <f t="shared" si="184"/>
        <v>Sector is blank</v>
      </c>
      <c r="BE424" s="269" t="str">
        <f>IF(ISBLANK(SectorField),"Sector is blank",IF(AM424="Row Not Used","",IF(OR(R424="No Controls",ISBLANK(R424)),"",INDEX(ControlsBPARefNoTable[Reference Number],MATCH(SectorField,ControlsBPARefNoTable[Sector],0)))))</f>
        <v>Sector is blank</v>
      </c>
      <c r="BF424" s="530" t="str">
        <f t="shared" si="185"/>
        <v/>
      </c>
      <c r="BG424" s="132" t="str">
        <f t="shared" si="186"/>
        <v/>
      </c>
      <c r="BH424" s="531" t="str">
        <f t="shared" si="187"/>
        <v/>
      </c>
      <c r="BI424" s="532"/>
      <c r="BJ424" s="538" t="str">
        <f t="shared" si="193"/>
        <v/>
      </c>
      <c r="BK424" s="539" t="str">
        <f t="shared" si="194"/>
        <v/>
      </c>
      <c r="BL424" s="547" t="str">
        <f t="shared" si="195"/>
        <v/>
      </c>
    </row>
    <row r="425" spans="1:64" x14ac:dyDescent="0.3">
      <c r="A425" s="133">
        <v>418</v>
      </c>
      <c r="B425" s="294"/>
      <c r="C425" s="313"/>
      <c r="D425" s="292"/>
      <c r="E425" s="284"/>
      <c r="F425" s="284"/>
      <c r="G425" s="295"/>
      <c r="H425" s="296"/>
      <c r="I425" s="297"/>
      <c r="J425" s="292"/>
      <c r="K425" s="284"/>
      <c r="L425" s="284"/>
      <c r="M425" s="295"/>
      <c r="N425" s="296"/>
      <c r="O425" s="296"/>
      <c r="P425" s="284"/>
      <c r="Q425" s="298"/>
      <c r="R425" s="292"/>
      <c r="S425" s="299"/>
      <c r="T425" s="300"/>
      <c r="U425" s="317" t="str">
        <f t="shared" si="169"/>
        <v/>
      </c>
      <c r="V425" s="301"/>
      <c r="W425" s="136" t="str">
        <f t="shared" si="170"/>
        <v/>
      </c>
      <c r="X425" s="588" t="str">
        <f t="shared" si="188"/>
        <v/>
      </c>
      <c r="Y425" s="580"/>
      <c r="Z425" s="251" t="str">
        <f t="shared" si="171"/>
        <v/>
      </c>
      <c r="AA425" s="138" t="str">
        <f t="shared" si="196"/>
        <v/>
      </c>
      <c r="AB425" s="243" t="str">
        <f t="shared" si="189"/>
        <v/>
      </c>
      <c r="AC425" s="141" t="str">
        <f t="shared" si="172"/>
        <v/>
      </c>
      <c r="AD425" s="138" t="str">
        <f t="shared" si="190"/>
        <v/>
      </c>
      <c r="AE425" s="243" t="str">
        <f t="shared" si="173"/>
        <v/>
      </c>
      <c r="AF425" s="342" t="str">
        <f>IF(AM425="Row Not Used","",INDEX(SpaceTable[Annual Hours],(MATCH(B425,SpaceTable[Space Name Concatenated Helper],0))))</f>
        <v/>
      </c>
      <c r="AG425" s="205" t="str">
        <f t="shared" si="174"/>
        <v/>
      </c>
      <c r="AH425" s="234" t="str">
        <f t="shared" si="175"/>
        <v/>
      </c>
      <c r="AI425" s="205" t="str">
        <f t="shared" si="176"/>
        <v/>
      </c>
      <c r="AJ425" s="234" t="str">
        <f t="shared" si="177"/>
        <v/>
      </c>
      <c r="AK425" s="144" t="str">
        <f>IF(AM425="Row Not Used","",INDEX(SpaceTable[Row],(MATCH(B425,SpaceTable[Space Name Concatenated Helper],0))))</f>
        <v/>
      </c>
      <c r="AL425" s="238" t="str">
        <f>IF(AM425="Row Not Used","",INDEX(SpaceTable[HVAC Factor],(MATCH(B425,SpaceTable[Space Name Concatenated Helper],0))))</f>
        <v/>
      </c>
      <c r="AM425" s="520" t="str">
        <f t="shared" si="178"/>
        <v>Row Not Used</v>
      </c>
      <c r="AN425" s="512" t="e" cm="1">
        <f t="array" ref="AN425">INDEX(BallastFactorTable[Ballast Factor],MATCH(1,(BallastFactorTable[Fixture Class]=D425)*(BallastFactorTable[Fixture Category]=E425)*(BallastFactorTable[Fixture Sub-category]=F425),0))</f>
        <v>#N/A</v>
      </c>
      <c r="AO425" s="143" t="str">
        <f t="shared" si="191"/>
        <v/>
      </c>
      <c r="AP425" s="501" t="e" cm="1">
        <f t="array" ref="AP425">INDEX(BallastFactorTable[Wattage Range Name],MATCH(1,(BallastFactorTable[Fixture Class]=D425)*(BallastFactorTable[Fixture Category]=E425)*(BallastFactorTable[Fixture Sub-category]=F425),0))</f>
        <v>#N/A</v>
      </c>
      <c r="AQ425" s="515" t="str">
        <f t="shared" ca="1" si="179"/>
        <v>Okay</v>
      </c>
      <c r="AR425" s="512">
        <f t="shared" si="180"/>
        <v>0</v>
      </c>
      <c r="AS425" s="511" t="str">
        <f>IF(OR(Measures!AM425="Row Not Used",Measures!C425="Controls Only",Measures!C425="Decommissioning"),"",_xlfn.CONCAT(P425," ",Q425))</f>
        <v/>
      </c>
      <c r="AT425" s="264" t="str">
        <f t="shared" si="181"/>
        <v>None</v>
      </c>
      <c r="AU425" s="229">
        <f>IF(OR(AM425="Row Not Used",AM425="Controls Only"),0,INDEX(IncentiveRateTable[Incentive Rate],MATCH(AT425,IncentiveRateTable[Incentive Name],0)))</f>
        <v>0</v>
      </c>
      <c r="AV425" s="133" t="str">
        <f>IF(OR(AM425="Row Not Used",AM425="Controls Only"),"None",INDEX(IncentiveRateTable[Incentive Unit],MATCH(AT425,IncentiveRateTable[Incentive Name],0)))</f>
        <v>None</v>
      </c>
      <c r="AW425" s="578">
        <f t="shared" si="192"/>
        <v>0</v>
      </c>
      <c r="AX425" s="264" t="str">
        <f t="shared" si="182"/>
        <v>None</v>
      </c>
      <c r="AY425" s="229">
        <f>IF(OR(AM425="Row Not Used",AM425="Fixtures Only",AM425="Decommissioning"),0,INDEX(IncentiveRateTable[Incentive Rate],MATCH(AX425,IncentiveRateTable[Incentive Name],0)))</f>
        <v>0</v>
      </c>
      <c r="AZ425" s="133" t="str">
        <f>IF(OR(AM425="Row Not Used",AM425="Fixtures Only",AM425="Decommissioning"),"None",INDEX(IncentiveRateTable[Incentive Unit],MATCH(AX425,IncentiveRateTable[Incentive Name],0)))</f>
        <v>None</v>
      </c>
      <c r="BA425" s="465">
        <f t="shared" si="183"/>
        <v>0</v>
      </c>
      <c r="BB425" s="264" t="e" cm="1">
        <f t="array" ref="BB425">INDEX(BallastFactorTable[Commercial BPA Reference Number],MATCH(1,(BallastFactorTable[Fixture Class]=J425)*(BallastFactorTable[Fixture Category]=K425)*(BallastFactorTable[Fixture Sub-category]=L425),0))</f>
        <v>#N/A</v>
      </c>
      <c r="BC425" s="133" t="e" cm="1">
        <f t="array" ref="BC425">INDEX(BallastFactorTable[Industrial BPA Reference Number],MATCH(1,(BallastFactorTable[Fixture Class]=J425)*(BallastFactorTable[Fixture Category]=K425)*(BallastFactorTable[Fixture Sub-category]=L425),0))</f>
        <v>#N/A</v>
      </c>
      <c r="BD425" s="264" t="str">
        <f t="shared" si="184"/>
        <v>Sector is blank</v>
      </c>
      <c r="BE425" s="269" t="str">
        <f>IF(ISBLANK(SectorField),"Sector is blank",IF(AM425="Row Not Used","",IF(OR(R425="No Controls",ISBLANK(R425)),"",INDEX(ControlsBPARefNoTable[Reference Number],MATCH(SectorField,ControlsBPARefNoTable[Sector],0)))))</f>
        <v>Sector is blank</v>
      </c>
      <c r="BF425" s="530" t="str">
        <f t="shared" si="185"/>
        <v/>
      </c>
      <c r="BG425" s="132" t="str">
        <f t="shared" si="186"/>
        <v/>
      </c>
      <c r="BH425" s="531" t="str">
        <f t="shared" si="187"/>
        <v/>
      </c>
      <c r="BI425" s="532"/>
      <c r="BJ425" s="538" t="str">
        <f t="shared" si="193"/>
        <v/>
      </c>
      <c r="BK425" s="539" t="str">
        <f t="shared" si="194"/>
        <v/>
      </c>
      <c r="BL425" s="547" t="str">
        <f t="shared" si="195"/>
        <v/>
      </c>
    </row>
    <row r="426" spans="1:64" x14ac:dyDescent="0.3">
      <c r="A426" s="133">
        <v>419</v>
      </c>
      <c r="B426" s="294"/>
      <c r="C426" s="313"/>
      <c r="D426" s="292"/>
      <c r="E426" s="284"/>
      <c r="F426" s="284"/>
      <c r="G426" s="295"/>
      <c r="H426" s="296"/>
      <c r="I426" s="297"/>
      <c r="J426" s="292"/>
      <c r="K426" s="284"/>
      <c r="L426" s="284"/>
      <c r="M426" s="295"/>
      <c r="N426" s="296"/>
      <c r="O426" s="296"/>
      <c r="P426" s="284"/>
      <c r="Q426" s="298"/>
      <c r="R426" s="292"/>
      <c r="S426" s="299"/>
      <c r="T426" s="300"/>
      <c r="U426" s="317" t="str">
        <f t="shared" si="169"/>
        <v/>
      </c>
      <c r="V426" s="301"/>
      <c r="W426" s="137" t="str">
        <f t="shared" si="170"/>
        <v/>
      </c>
      <c r="X426" s="589" t="str">
        <f t="shared" si="188"/>
        <v/>
      </c>
      <c r="Y426" s="581"/>
      <c r="Z426" s="251" t="str">
        <f t="shared" si="171"/>
        <v/>
      </c>
      <c r="AA426" s="138" t="str">
        <f t="shared" si="196"/>
        <v/>
      </c>
      <c r="AB426" s="243" t="str">
        <f t="shared" si="189"/>
        <v/>
      </c>
      <c r="AC426" s="141" t="str">
        <f t="shared" si="172"/>
        <v/>
      </c>
      <c r="AD426" s="138" t="str">
        <f t="shared" si="190"/>
        <v/>
      </c>
      <c r="AE426" s="243" t="str">
        <f t="shared" si="173"/>
        <v/>
      </c>
      <c r="AF426" s="342" t="str">
        <f>IF(AM426="Row Not Used","",INDEX(SpaceTable[Annual Hours],(MATCH(B426,SpaceTable[Space Name Concatenated Helper],0))))</f>
        <v/>
      </c>
      <c r="AG426" s="205" t="str">
        <f t="shared" si="174"/>
        <v/>
      </c>
      <c r="AH426" s="234" t="str">
        <f t="shared" si="175"/>
        <v/>
      </c>
      <c r="AI426" s="205" t="str">
        <f t="shared" si="176"/>
        <v/>
      </c>
      <c r="AJ426" s="234" t="str">
        <f t="shared" si="177"/>
        <v/>
      </c>
      <c r="AK426" s="144" t="str">
        <f>IF(AM426="Row Not Used","",INDEX(SpaceTable[Row],(MATCH(B426,SpaceTable[Space Name Concatenated Helper],0))))</f>
        <v/>
      </c>
      <c r="AL426" s="238" t="str">
        <f>IF(AM426="Row Not Used","",INDEX(SpaceTable[HVAC Factor],(MATCH(B426,SpaceTable[Space Name Concatenated Helper],0))))</f>
        <v/>
      </c>
      <c r="AM426" s="520" t="str">
        <f t="shared" si="178"/>
        <v>Row Not Used</v>
      </c>
      <c r="AN426" s="512" t="e" cm="1">
        <f t="array" ref="AN426">INDEX(BallastFactorTable[Ballast Factor],MATCH(1,(BallastFactorTable[Fixture Class]=D426)*(BallastFactorTable[Fixture Category]=E426)*(BallastFactorTable[Fixture Sub-category]=F426),0))</f>
        <v>#N/A</v>
      </c>
      <c r="AO426" s="143" t="str">
        <f t="shared" si="191"/>
        <v/>
      </c>
      <c r="AP426" s="501" t="e" cm="1">
        <f t="array" ref="AP426">INDEX(BallastFactorTable[Wattage Range Name],MATCH(1,(BallastFactorTable[Fixture Class]=D426)*(BallastFactorTable[Fixture Category]=E426)*(BallastFactorTable[Fixture Sub-category]=F426),0))</f>
        <v>#N/A</v>
      </c>
      <c r="AQ426" s="515" t="str">
        <f t="shared" ca="1" si="179"/>
        <v>Okay</v>
      </c>
      <c r="AR426" s="512">
        <f t="shared" si="180"/>
        <v>0</v>
      </c>
      <c r="AS426" s="511" t="str">
        <f>IF(OR(Measures!AM426="Row Not Used",Measures!C426="Controls Only",Measures!C426="Decommissioning"),"",_xlfn.CONCAT(P426," ",Q426))</f>
        <v/>
      </c>
      <c r="AT426" s="264" t="str">
        <f t="shared" si="181"/>
        <v>None</v>
      </c>
      <c r="AU426" s="229">
        <f>IF(OR(AM426="Row Not Used",AM426="Controls Only"),0,INDEX(IncentiveRateTable[Incentive Rate],MATCH(AT426,IncentiveRateTable[Incentive Name],0)))</f>
        <v>0</v>
      </c>
      <c r="AV426" s="133" t="str">
        <f>IF(OR(AM426="Row Not Used",AM426="Controls Only"),"None",INDEX(IncentiveRateTable[Incentive Unit],MATCH(AT426,IncentiveRateTable[Incentive Name],0)))</f>
        <v>None</v>
      </c>
      <c r="AW426" s="578">
        <f t="shared" si="192"/>
        <v>0</v>
      </c>
      <c r="AX426" s="264" t="str">
        <f t="shared" si="182"/>
        <v>None</v>
      </c>
      <c r="AY426" s="229">
        <f>IF(OR(AM426="Row Not Used",AM426="Fixtures Only",AM426="Decommissioning"),0,INDEX(IncentiveRateTable[Incentive Rate],MATCH(AX426,IncentiveRateTable[Incentive Name],0)))</f>
        <v>0</v>
      </c>
      <c r="AZ426" s="133" t="str">
        <f>IF(OR(AM426="Row Not Used",AM426="Fixtures Only",AM426="Decommissioning"),"None",INDEX(IncentiveRateTable[Incentive Unit],MATCH(AX426,IncentiveRateTable[Incentive Name],0)))</f>
        <v>None</v>
      </c>
      <c r="BA426" s="465">
        <f t="shared" si="183"/>
        <v>0</v>
      </c>
      <c r="BB426" s="264" t="e" cm="1">
        <f t="array" ref="BB426">INDEX(BallastFactorTable[Commercial BPA Reference Number],MATCH(1,(BallastFactorTable[Fixture Class]=J426)*(BallastFactorTable[Fixture Category]=K426)*(BallastFactorTable[Fixture Sub-category]=L426),0))</f>
        <v>#N/A</v>
      </c>
      <c r="BC426" s="133" t="e" cm="1">
        <f t="array" ref="BC426">INDEX(BallastFactorTable[Industrial BPA Reference Number],MATCH(1,(BallastFactorTable[Fixture Class]=J426)*(BallastFactorTable[Fixture Category]=K426)*(BallastFactorTable[Fixture Sub-category]=L426),0))</f>
        <v>#N/A</v>
      </c>
      <c r="BD426" s="264" t="str">
        <f t="shared" si="184"/>
        <v>Sector is blank</v>
      </c>
      <c r="BE426" s="269" t="str">
        <f>IF(ISBLANK(SectorField),"Sector is blank",IF(AM426="Row Not Used","",IF(OR(R426="No Controls",ISBLANK(R426)),"",INDEX(ControlsBPARefNoTable[Reference Number],MATCH(SectorField,ControlsBPARefNoTable[Sector],0)))))</f>
        <v>Sector is blank</v>
      </c>
      <c r="BF426" s="530" t="str">
        <f t="shared" si="185"/>
        <v/>
      </c>
      <c r="BG426" s="132" t="str">
        <f t="shared" si="186"/>
        <v/>
      </c>
      <c r="BH426" s="531" t="str">
        <f t="shared" si="187"/>
        <v/>
      </c>
      <c r="BI426" s="532"/>
      <c r="BJ426" s="538" t="str">
        <f t="shared" si="193"/>
        <v/>
      </c>
      <c r="BK426" s="539" t="str">
        <f t="shared" si="194"/>
        <v/>
      </c>
      <c r="BL426" s="547" t="str">
        <f t="shared" si="195"/>
        <v/>
      </c>
    </row>
    <row r="427" spans="1:64" x14ac:dyDescent="0.3">
      <c r="A427" s="133">
        <v>420</v>
      </c>
      <c r="B427" s="294"/>
      <c r="C427" s="313"/>
      <c r="D427" s="292"/>
      <c r="E427" s="284"/>
      <c r="F427" s="284"/>
      <c r="G427" s="295"/>
      <c r="H427" s="296"/>
      <c r="I427" s="297"/>
      <c r="J427" s="292"/>
      <c r="K427" s="284"/>
      <c r="L427" s="284"/>
      <c r="M427" s="295"/>
      <c r="N427" s="296"/>
      <c r="O427" s="296"/>
      <c r="P427" s="284"/>
      <c r="Q427" s="298"/>
      <c r="R427" s="292"/>
      <c r="S427" s="299"/>
      <c r="T427" s="300"/>
      <c r="U427" s="317" t="str">
        <f t="shared" si="169"/>
        <v/>
      </c>
      <c r="V427" s="301"/>
      <c r="W427" s="136" t="str">
        <f t="shared" si="170"/>
        <v/>
      </c>
      <c r="X427" s="588" t="str">
        <f t="shared" si="188"/>
        <v/>
      </c>
      <c r="Y427" s="580"/>
      <c r="Z427" s="251" t="str">
        <f t="shared" si="171"/>
        <v/>
      </c>
      <c r="AA427" s="138" t="str">
        <f t="shared" si="196"/>
        <v/>
      </c>
      <c r="AB427" s="243" t="str">
        <f t="shared" si="189"/>
        <v/>
      </c>
      <c r="AC427" s="141" t="str">
        <f t="shared" si="172"/>
        <v/>
      </c>
      <c r="AD427" s="138" t="str">
        <f t="shared" si="190"/>
        <v/>
      </c>
      <c r="AE427" s="243" t="str">
        <f t="shared" si="173"/>
        <v/>
      </c>
      <c r="AF427" s="342" t="str">
        <f>IF(AM427="Row Not Used","",INDEX(SpaceTable[Annual Hours],(MATCH(B427,SpaceTable[Space Name Concatenated Helper],0))))</f>
        <v/>
      </c>
      <c r="AG427" s="205" t="str">
        <f t="shared" si="174"/>
        <v/>
      </c>
      <c r="AH427" s="234" t="str">
        <f t="shared" si="175"/>
        <v/>
      </c>
      <c r="AI427" s="205" t="str">
        <f t="shared" si="176"/>
        <v/>
      </c>
      <c r="AJ427" s="234" t="str">
        <f t="shared" si="177"/>
        <v/>
      </c>
      <c r="AK427" s="144" t="str">
        <f>IF(AM427="Row Not Used","",INDEX(SpaceTable[Row],(MATCH(B427,SpaceTable[Space Name Concatenated Helper],0))))</f>
        <v/>
      </c>
      <c r="AL427" s="238" t="str">
        <f>IF(AM427="Row Not Used","",INDEX(SpaceTable[HVAC Factor],(MATCH(B427,SpaceTable[Space Name Concatenated Helper],0))))</f>
        <v/>
      </c>
      <c r="AM427" s="520" t="str">
        <f t="shared" si="178"/>
        <v>Row Not Used</v>
      </c>
      <c r="AN427" s="512" t="e" cm="1">
        <f t="array" ref="AN427">INDEX(BallastFactorTable[Ballast Factor],MATCH(1,(BallastFactorTable[Fixture Class]=D427)*(BallastFactorTable[Fixture Category]=E427)*(BallastFactorTable[Fixture Sub-category]=F427),0))</f>
        <v>#N/A</v>
      </c>
      <c r="AO427" s="143" t="str">
        <f t="shared" si="191"/>
        <v/>
      </c>
      <c r="AP427" s="501" t="e" cm="1">
        <f t="array" ref="AP427">INDEX(BallastFactorTable[Wattage Range Name],MATCH(1,(BallastFactorTable[Fixture Class]=D427)*(BallastFactorTable[Fixture Category]=E427)*(BallastFactorTable[Fixture Sub-category]=F427),0))</f>
        <v>#N/A</v>
      </c>
      <c r="AQ427" s="515" t="str">
        <f t="shared" ca="1" si="179"/>
        <v>Okay</v>
      </c>
      <c r="AR427" s="512">
        <f t="shared" si="180"/>
        <v>0</v>
      </c>
      <c r="AS427" s="511" t="str">
        <f>IF(OR(Measures!AM427="Row Not Used",Measures!C427="Controls Only",Measures!C427="Decommissioning"),"",_xlfn.CONCAT(P427," ",Q427))</f>
        <v/>
      </c>
      <c r="AT427" s="264" t="str">
        <f t="shared" si="181"/>
        <v>None</v>
      </c>
      <c r="AU427" s="229">
        <f>IF(OR(AM427="Row Not Used",AM427="Controls Only"),0,INDEX(IncentiveRateTable[Incentive Rate],MATCH(AT427,IncentiveRateTable[Incentive Name],0)))</f>
        <v>0</v>
      </c>
      <c r="AV427" s="133" t="str">
        <f>IF(OR(AM427="Row Not Used",AM427="Controls Only"),"None",INDEX(IncentiveRateTable[Incentive Unit],MATCH(AT427,IncentiveRateTable[Incentive Name],0)))</f>
        <v>None</v>
      </c>
      <c r="AW427" s="578">
        <f t="shared" si="192"/>
        <v>0</v>
      </c>
      <c r="AX427" s="264" t="str">
        <f t="shared" si="182"/>
        <v>None</v>
      </c>
      <c r="AY427" s="229">
        <f>IF(OR(AM427="Row Not Used",AM427="Fixtures Only",AM427="Decommissioning"),0,INDEX(IncentiveRateTable[Incentive Rate],MATCH(AX427,IncentiveRateTable[Incentive Name],0)))</f>
        <v>0</v>
      </c>
      <c r="AZ427" s="133" t="str">
        <f>IF(OR(AM427="Row Not Used",AM427="Fixtures Only",AM427="Decommissioning"),"None",INDEX(IncentiveRateTable[Incentive Unit],MATCH(AX427,IncentiveRateTable[Incentive Name],0)))</f>
        <v>None</v>
      </c>
      <c r="BA427" s="465">
        <f t="shared" si="183"/>
        <v>0</v>
      </c>
      <c r="BB427" s="264" t="e" cm="1">
        <f t="array" ref="BB427">INDEX(BallastFactorTable[Commercial BPA Reference Number],MATCH(1,(BallastFactorTable[Fixture Class]=J427)*(BallastFactorTable[Fixture Category]=K427)*(BallastFactorTable[Fixture Sub-category]=L427),0))</f>
        <v>#N/A</v>
      </c>
      <c r="BC427" s="133" t="e" cm="1">
        <f t="array" ref="BC427">INDEX(BallastFactorTable[Industrial BPA Reference Number],MATCH(1,(BallastFactorTable[Fixture Class]=J427)*(BallastFactorTable[Fixture Category]=K427)*(BallastFactorTable[Fixture Sub-category]=L427),0))</f>
        <v>#N/A</v>
      </c>
      <c r="BD427" s="264" t="str">
        <f t="shared" si="184"/>
        <v>Sector is blank</v>
      </c>
      <c r="BE427" s="269" t="str">
        <f>IF(ISBLANK(SectorField),"Sector is blank",IF(AM427="Row Not Used","",IF(OR(R427="No Controls",ISBLANK(R427)),"",INDEX(ControlsBPARefNoTable[Reference Number],MATCH(SectorField,ControlsBPARefNoTable[Sector],0)))))</f>
        <v>Sector is blank</v>
      </c>
      <c r="BF427" s="530" t="str">
        <f t="shared" si="185"/>
        <v/>
      </c>
      <c r="BG427" s="132" t="str">
        <f t="shared" si="186"/>
        <v/>
      </c>
      <c r="BH427" s="531" t="str">
        <f t="shared" si="187"/>
        <v/>
      </c>
      <c r="BI427" s="532"/>
      <c r="BJ427" s="538" t="str">
        <f t="shared" si="193"/>
        <v/>
      </c>
      <c r="BK427" s="539" t="str">
        <f t="shared" si="194"/>
        <v/>
      </c>
      <c r="BL427" s="547" t="str">
        <f t="shared" si="195"/>
        <v/>
      </c>
    </row>
    <row r="428" spans="1:64" x14ac:dyDescent="0.3">
      <c r="A428" s="133">
        <v>421</v>
      </c>
      <c r="B428" s="294"/>
      <c r="C428" s="313"/>
      <c r="D428" s="292"/>
      <c r="E428" s="284"/>
      <c r="F428" s="284"/>
      <c r="G428" s="295"/>
      <c r="H428" s="296"/>
      <c r="I428" s="297"/>
      <c r="J428" s="292"/>
      <c r="K428" s="284"/>
      <c r="L428" s="284"/>
      <c r="M428" s="295"/>
      <c r="N428" s="296"/>
      <c r="O428" s="296"/>
      <c r="P428" s="284"/>
      <c r="Q428" s="298"/>
      <c r="R428" s="292"/>
      <c r="S428" s="299"/>
      <c r="T428" s="300"/>
      <c r="U428" s="317" t="str">
        <f t="shared" si="169"/>
        <v/>
      </c>
      <c r="V428" s="301"/>
      <c r="W428" s="137" t="str">
        <f t="shared" si="170"/>
        <v/>
      </c>
      <c r="X428" s="589" t="str">
        <f t="shared" si="188"/>
        <v/>
      </c>
      <c r="Y428" s="581"/>
      <c r="Z428" s="251" t="str">
        <f t="shared" si="171"/>
        <v/>
      </c>
      <c r="AA428" s="138" t="str">
        <f t="shared" si="196"/>
        <v/>
      </c>
      <c r="AB428" s="243" t="str">
        <f t="shared" si="189"/>
        <v/>
      </c>
      <c r="AC428" s="141" t="str">
        <f t="shared" si="172"/>
        <v/>
      </c>
      <c r="AD428" s="138" t="str">
        <f t="shared" si="190"/>
        <v/>
      </c>
      <c r="AE428" s="243" t="str">
        <f t="shared" si="173"/>
        <v/>
      </c>
      <c r="AF428" s="342" t="str">
        <f>IF(AM428="Row Not Used","",INDEX(SpaceTable[Annual Hours],(MATCH(B428,SpaceTable[Space Name Concatenated Helper],0))))</f>
        <v/>
      </c>
      <c r="AG428" s="205" t="str">
        <f t="shared" si="174"/>
        <v/>
      </c>
      <c r="AH428" s="234" t="str">
        <f t="shared" si="175"/>
        <v/>
      </c>
      <c r="AI428" s="205" t="str">
        <f t="shared" si="176"/>
        <v/>
      </c>
      <c r="AJ428" s="234" t="str">
        <f t="shared" si="177"/>
        <v/>
      </c>
      <c r="AK428" s="144" t="str">
        <f>IF(AM428="Row Not Used","",INDEX(SpaceTable[Row],(MATCH(B428,SpaceTable[Space Name Concatenated Helper],0))))</f>
        <v/>
      </c>
      <c r="AL428" s="238" t="str">
        <f>IF(AM428="Row Not Used","",INDEX(SpaceTable[HVAC Factor],(MATCH(B428,SpaceTable[Space Name Concatenated Helper],0))))</f>
        <v/>
      </c>
      <c r="AM428" s="520" t="str">
        <f t="shared" si="178"/>
        <v>Row Not Used</v>
      </c>
      <c r="AN428" s="512" t="e" cm="1">
        <f t="array" ref="AN428">INDEX(BallastFactorTable[Ballast Factor],MATCH(1,(BallastFactorTable[Fixture Class]=D428)*(BallastFactorTable[Fixture Category]=E428)*(BallastFactorTable[Fixture Sub-category]=F428),0))</f>
        <v>#N/A</v>
      </c>
      <c r="AO428" s="143" t="str">
        <f t="shared" si="191"/>
        <v/>
      </c>
      <c r="AP428" s="501" t="e" cm="1">
        <f t="array" ref="AP428">INDEX(BallastFactorTable[Wattage Range Name],MATCH(1,(BallastFactorTable[Fixture Class]=D428)*(BallastFactorTable[Fixture Category]=E428)*(BallastFactorTable[Fixture Sub-category]=F428),0))</f>
        <v>#N/A</v>
      </c>
      <c r="AQ428" s="515" t="str">
        <f t="shared" ca="1" si="179"/>
        <v>Okay</v>
      </c>
      <c r="AR428" s="512">
        <f t="shared" si="180"/>
        <v>0</v>
      </c>
      <c r="AS428" s="511" t="str">
        <f>IF(OR(Measures!AM428="Row Not Used",Measures!C428="Controls Only",Measures!C428="Decommissioning"),"",_xlfn.CONCAT(P428," ",Q428))</f>
        <v/>
      </c>
      <c r="AT428" s="264" t="str">
        <f t="shared" si="181"/>
        <v>None</v>
      </c>
      <c r="AU428" s="229">
        <f>IF(OR(AM428="Row Not Used",AM428="Controls Only"),0,INDEX(IncentiveRateTable[Incentive Rate],MATCH(AT428,IncentiveRateTable[Incentive Name],0)))</f>
        <v>0</v>
      </c>
      <c r="AV428" s="133" t="str">
        <f>IF(OR(AM428="Row Not Used",AM428="Controls Only"),"None",INDEX(IncentiveRateTable[Incentive Unit],MATCH(AT428,IncentiveRateTable[Incentive Name],0)))</f>
        <v>None</v>
      </c>
      <c r="AW428" s="578">
        <f t="shared" si="192"/>
        <v>0</v>
      </c>
      <c r="AX428" s="264" t="str">
        <f t="shared" si="182"/>
        <v>None</v>
      </c>
      <c r="AY428" s="229">
        <f>IF(OR(AM428="Row Not Used",AM428="Fixtures Only",AM428="Decommissioning"),0,INDEX(IncentiveRateTable[Incentive Rate],MATCH(AX428,IncentiveRateTable[Incentive Name],0)))</f>
        <v>0</v>
      </c>
      <c r="AZ428" s="133" t="str">
        <f>IF(OR(AM428="Row Not Used",AM428="Fixtures Only",AM428="Decommissioning"),"None",INDEX(IncentiveRateTable[Incentive Unit],MATCH(AX428,IncentiveRateTable[Incentive Name],0)))</f>
        <v>None</v>
      </c>
      <c r="BA428" s="465">
        <f t="shared" si="183"/>
        <v>0</v>
      </c>
      <c r="BB428" s="264" t="e" cm="1">
        <f t="array" ref="BB428">INDEX(BallastFactorTable[Commercial BPA Reference Number],MATCH(1,(BallastFactorTable[Fixture Class]=J428)*(BallastFactorTable[Fixture Category]=K428)*(BallastFactorTable[Fixture Sub-category]=L428),0))</f>
        <v>#N/A</v>
      </c>
      <c r="BC428" s="133" t="e" cm="1">
        <f t="array" ref="BC428">INDEX(BallastFactorTable[Industrial BPA Reference Number],MATCH(1,(BallastFactorTable[Fixture Class]=J428)*(BallastFactorTable[Fixture Category]=K428)*(BallastFactorTable[Fixture Sub-category]=L428),0))</f>
        <v>#N/A</v>
      </c>
      <c r="BD428" s="264" t="str">
        <f t="shared" si="184"/>
        <v>Sector is blank</v>
      </c>
      <c r="BE428" s="269" t="str">
        <f>IF(ISBLANK(SectorField),"Sector is blank",IF(AM428="Row Not Used","",IF(OR(R428="No Controls",ISBLANK(R428)),"",INDEX(ControlsBPARefNoTable[Reference Number],MATCH(SectorField,ControlsBPARefNoTable[Sector],0)))))</f>
        <v>Sector is blank</v>
      </c>
      <c r="BF428" s="530" t="str">
        <f t="shared" si="185"/>
        <v/>
      </c>
      <c r="BG428" s="132" t="str">
        <f t="shared" si="186"/>
        <v/>
      </c>
      <c r="BH428" s="531" t="str">
        <f t="shared" si="187"/>
        <v/>
      </c>
      <c r="BI428" s="532"/>
      <c r="BJ428" s="538" t="str">
        <f t="shared" si="193"/>
        <v/>
      </c>
      <c r="BK428" s="539" t="str">
        <f t="shared" si="194"/>
        <v/>
      </c>
      <c r="BL428" s="547" t="str">
        <f t="shared" si="195"/>
        <v/>
      </c>
    </row>
    <row r="429" spans="1:64" x14ac:dyDescent="0.3">
      <c r="A429" s="133">
        <v>422</v>
      </c>
      <c r="B429" s="294"/>
      <c r="C429" s="313"/>
      <c r="D429" s="292"/>
      <c r="E429" s="284"/>
      <c r="F429" s="284"/>
      <c r="G429" s="295"/>
      <c r="H429" s="296"/>
      <c r="I429" s="297"/>
      <c r="J429" s="292"/>
      <c r="K429" s="284"/>
      <c r="L429" s="284"/>
      <c r="M429" s="295"/>
      <c r="N429" s="296"/>
      <c r="O429" s="296"/>
      <c r="P429" s="284"/>
      <c r="Q429" s="298"/>
      <c r="R429" s="292"/>
      <c r="S429" s="299"/>
      <c r="T429" s="300"/>
      <c r="U429" s="317" t="str">
        <f t="shared" si="169"/>
        <v/>
      </c>
      <c r="V429" s="301"/>
      <c r="W429" s="136" t="str">
        <f t="shared" si="170"/>
        <v/>
      </c>
      <c r="X429" s="588" t="str">
        <f t="shared" si="188"/>
        <v/>
      </c>
      <c r="Y429" s="580"/>
      <c r="Z429" s="251" t="str">
        <f t="shared" si="171"/>
        <v/>
      </c>
      <c r="AA429" s="138" t="str">
        <f t="shared" si="196"/>
        <v/>
      </c>
      <c r="AB429" s="243" t="str">
        <f t="shared" si="189"/>
        <v/>
      </c>
      <c r="AC429" s="141" t="str">
        <f t="shared" si="172"/>
        <v/>
      </c>
      <c r="AD429" s="138" t="str">
        <f t="shared" si="190"/>
        <v/>
      </c>
      <c r="AE429" s="243" t="str">
        <f t="shared" si="173"/>
        <v/>
      </c>
      <c r="AF429" s="342" t="str">
        <f>IF(AM429="Row Not Used","",INDEX(SpaceTable[Annual Hours],(MATCH(B429,SpaceTable[Space Name Concatenated Helper],0))))</f>
        <v/>
      </c>
      <c r="AG429" s="205" t="str">
        <f t="shared" si="174"/>
        <v/>
      </c>
      <c r="AH429" s="234" t="str">
        <f t="shared" si="175"/>
        <v/>
      </c>
      <c r="AI429" s="205" t="str">
        <f t="shared" si="176"/>
        <v/>
      </c>
      <c r="AJ429" s="234" t="str">
        <f t="shared" si="177"/>
        <v/>
      </c>
      <c r="AK429" s="144" t="str">
        <f>IF(AM429="Row Not Used","",INDEX(SpaceTable[Row],(MATCH(B429,SpaceTable[Space Name Concatenated Helper],0))))</f>
        <v/>
      </c>
      <c r="AL429" s="238" t="str">
        <f>IF(AM429="Row Not Used","",INDEX(SpaceTable[HVAC Factor],(MATCH(B429,SpaceTable[Space Name Concatenated Helper],0))))</f>
        <v/>
      </c>
      <c r="AM429" s="520" t="str">
        <f t="shared" si="178"/>
        <v>Row Not Used</v>
      </c>
      <c r="AN429" s="512" t="e" cm="1">
        <f t="array" ref="AN429">INDEX(BallastFactorTable[Ballast Factor],MATCH(1,(BallastFactorTable[Fixture Class]=D429)*(BallastFactorTable[Fixture Category]=E429)*(BallastFactorTable[Fixture Sub-category]=F429),0))</f>
        <v>#N/A</v>
      </c>
      <c r="AO429" s="143" t="str">
        <f t="shared" si="191"/>
        <v/>
      </c>
      <c r="AP429" s="501" t="e" cm="1">
        <f t="array" ref="AP429">INDEX(BallastFactorTable[Wattage Range Name],MATCH(1,(BallastFactorTable[Fixture Class]=D429)*(BallastFactorTable[Fixture Category]=E429)*(BallastFactorTable[Fixture Sub-category]=F429),0))</f>
        <v>#N/A</v>
      </c>
      <c r="AQ429" s="515" t="str">
        <f t="shared" ca="1" si="179"/>
        <v>Okay</v>
      </c>
      <c r="AR429" s="512">
        <f t="shared" si="180"/>
        <v>0</v>
      </c>
      <c r="AS429" s="511" t="str">
        <f>IF(OR(Measures!AM429="Row Not Used",Measures!C429="Controls Only",Measures!C429="Decommissioning"),"",_xlfn.CONCAT(P429," ",Q429))</f>
        <v/>
      </c>
      <c r="AT429" s="264" t="str">
        <f t="shared" si="181"/>
        <v>None</v>
      </c>
      <c r="AU429" s="229">
        <f>IF(OR(AM429="Row Not Used",AM429="Controls Only"),0,INDEX(IncentiveRateTable[Incentive Rate],MATCH(AT429,IncentiveRateTable[Incentive Name],0)))</f>
        <v>0</v>
      </c>
      <c r="AV429" s="133" t="str">
        <f>IF(OR(AM429="Row Not Used",AM429="Controls Only"),"None",INDEX(IncentiveRateTable[Incentive Unit],MATCH(AT429,IncentiveRateTable[Incentive Name],0)))</f>
        <v>None</v>
      </c>
      <c r="AW429" s="578">
        <f t="shared" si="192"/>
        <v>0</v>
      </c>
      <c r="AX429" s="264" t="str">
        <f t="shared" si="182"/>
        <v>None</v>
      </c>
      <c r="AY429" s="229">
        <f>IF(OR(AM429="Row Not Used",AM429="Fixtures Only",AM429="Decommissioning"),0,INDEX(IncentiveRateTable[Incentive Rate],MATCH(AX429,IncentiveRateTable[Incentive Name],0)))</f>
        <v>0</v>
      </c>
      <c r="AZ429" s="133" t="str">
        <f>IF(OR(AM429="Row Not Used",AM429="Fixtures Only",AM429="Decommissioning"),"None",INDEX(IncentiveRateTable[Incentive Unit],MATCH(AX429,IncentiveRateTable[Incentive Name],0)))</f>
        <v>None</v>
      </c>
      <c r="BA429" s="465">
        <f t="shared" si="183"/>
        <v>0</v>
      </c>
      <c r="BB429" s="264" t="e" cm="1">
        <f t="array" ref="BB429">INDEX(BallastFactorTable[Commercial BPA Reference Number],MATCH(1,(BallastFactorTable[Fixture Class]=J429)*(BallastFactorTable[Fixture Category]=K429)*(BallastFactorTable[Fixture Sub-category]=L429),0))</f>
        <v>#N/A</v>
      </c>
      <c r="BC429" s="133" t="e" cm="1">
        <f t="array" ref="BC429">INDEX(BallastFactorTable[Industrial BPA Reference Number],MATCH(1,(BallastFactorTable[Fixture Class]=J429)*(BallastFactorTable[Fixture Category]=K429)*(BallastFactorTable[Fixture Sub-category]=L429),0))</f>
        <v>#N/A</v>
      </c>
      <c r="BD429" s="264" t="str">
        <f t="shared" si="184"/>
        <v>Sector is blank</v>
      </c>
      <c r="BE429" s="269" t="str">
        <f>IF(ISBLANK(SectorField),"Sector is blank",IF(AM429="Row Not Used","",IF(OR(R429="No Controls",ISBLANK(R429)),"",INDEX(ControlsBPARefNoTable[Reference Number],MATCH(SectorField,ControlsBPARefNoTable[Sector],0)))))</f>
        <v>Sector is blank</v>
      </c>
      <c r="BF429" s="530" t="str">
        <f t="shared" si="185"/>
        <v/>
      </c>
      <c r="BG429" s="132" t="str">
        <f t="shared" si="186"/>
        <v/>
      </c>
      <c r="BH429" s="531" t="str">
        <f t="shared" si="187"/>
        <v/>
      </c>
      <c r="BI429" s="532"/>
      <c r="BJ429" s="538" t="str">
        <f t="shared" si="193"/>
        <v/>
      </c>
      <c r="BK429" s="539" t="str">
        <f t="shared" si="194"/>
        <v/>
      </c>
      <c r="BL429" s="547" t="str">
        <f t="shared" si="195"/>
        <v/>
      </c>
    </row>
    <row r="430" spans="1:64" x14ac:dyDescent="0.3">
      <c r="A430" s="133">
        <v>423</v>
      </c>
      <c r="B430" s="294"/>
      <c r="C430" s="313"/>
      <c r="D430" s="292"/>
      <c r="E430" s="284"/>
      <c r="F430" s="284"/>
      <c r="G430" s="295"/>
      <c r="H430" s="296"/>
      <c r="I430" s="297"/>
      <c r="J430" s="292"/>
      <c r="K430" s="284"/>
      <c r="L430" s="284"/>
      <c r="M430" s="295"/>
      <c r="N430" s="296"/>
      <c r="O430" s="296"/>
      <c r="P430" s="284"/>
      <c r="Q430" s="298"/>
      <c r="R430" s="292"/>
      <c r="S430" s="299"/>
      <c r="T430" s="300"/>
      <c r="U430" s="317" t="str">
        <f t="shared" si="169"/>
        <v/>
      </c>
      <c r="V430" s="301"/>
      <c r="W430" s="137" t="str">
        <f t="shared" si="170"/>
        <v/>
      </c>
      <c r="X430" s="589" t="str">
        <f t="shared" si="188"/>
        <v/>
      </c>
      <c r="Y430" s="581"/>
      <c r="Z430" s="251" t="str">
        <f t="shared" si="171"/>
        <v/>
      </c>
      <c r="AA430" s="138" t="str">
        <f t="shared" si="196"/>
        <v/>
      </c>
      <c r="AB430" s="243" t="str">
        <f t="shared" si="189"/>
        <v/>
      </c>
      <c r="AC430" s="141" t="str">
        <f t="shared" si="172"/>
        <v/>
      </c>
      <c r="AD430" s="138" t="str">
        <f t="shared" si="190"/>
        <v/>
      </c>
      <c r="AE430" s="243" t="str">
        <f t="shared" si="173"/>
        <v/>
      </c>
      <c r="AF430" s="342" t="str">
        <f>IF(AM430="Row Not Used","",INDEX(SpaceTable[Annual Hours],(MATCH(B430,SpaceTable[Space Name Concatenated Helper],0))))</f>
        <v/>
      </c>
      <c r="AG430" s="205" t="str">
        <f t="shared" si="174"/>
        <v/>
      </c>
      <c r="AH430" s="234" t="str">
        <f t="shared" si="175"/>
        <v/>
      </c>
      <c r="AI430" s="205" t="str">
        <f t="shared" si="176"/>
        <v/>
      </c>
      <c r="AJ430" s="234" t="str">
        <f t="shared" si="177"/>
        <v/>
      </c>
      <c r="AK430" s="144" t="str">
        <f>IF(AM430="Row Not Used","",INDEX(SpaceTable[Row],(MATCH(B430,SpaceTable[Space Name Concatenated Helper],0))))</f>
        <v/>
      </c>
      <c r="AL430" s="238" t="str">
        <f>IF(AM430="Row Not Used","",INDEX(SpaceTable[HVAC Factor],(MATCH(B430,SpaceTable[Space Name Concatenated Helper],0))))</f>
        <v/>
      </c>
      <c r="AM430" s="520" t="str">
        <f t="shared" si="178"/>
        <v>Row Not Used</v>
      </c>
      <c r="AN430" s="512" t="e" cm="1">
        <f t="array" ref="AN430">INDEX(BallastFactorTable[Ballast Factor],MATCH(1,(BallastFactorTable[Fixture Class]=D430)*(BallastFactorTable[Fixture Category]=E430)*(BallastFactorTable[Fixture Sub-category]=F430),0))</f>
        <v>#N/A</v>
      </c>
      <c r="AO430" s="143" t="str">
        <f t="shared" si="191"/>
        <v/>
      </c>
      <c r="AP430" s="501" t="e" cm="1">
        <f t="array" ref="AP430">INDEX(BallastFactorTable[Wattage Range Name],MATCH(1,(BallastFactorTable[Fixture Class]=D430)*(BallastFactorTable[Fixture Category]=E430)*(BallastFactorTable[Fixture Sub-category]=F430),0))</f>
        <v>#N/A</v>
      </c>
      <c r="AQ430" s="515" t="str">
        <f t="shared" ca="1" si="179"/>
        <v>Okay</v>
      </c>
      <c r="AR430" s="512">
        <f t="shared" si="180"/>
        <v>0</v>
      </c>
      <c r="AS430" s="511" t="str">
        <f>IF(OR(Measures!AM430="Row Not Used",Measures!C430="Controls Only",Measures!C430="Decommissioning"),"",_xlfn.CONCAT(P430," ",Q430))</f>
        <v/>
      </c>
      <c r="AT430" s="264" t="str">
        <f t="shared" si="181"/>
        <v>None</v>
      </c>
      <c r="AU430" s="229">
        <f>IF(OR(AM430="Row Not Used",AM430="Controls Only"),0,INDEX(IncentiveRateTable[Incentive Rate],MATCH(AT430,IncentiveRateTable[Incentive Name],0)))</f>
        <v>0</v>
      </c>
      <c r="AV430" s="133" t="str">
        <f>IF(OR(AM430="Row Not Used",AM430="Controls Only"),"None",INDEX(IncentiveRateTable[Incentive Unit],MATCH(AT430,IncentiveRateTable[Incentive Name],0)))</f>
        <v>None</v>
      </c>
      <c r="AW430" s="578">
        <f t="shared" si="192"/>
        <v>0</v>
      </c>
      <c r="AX430" s="264" t="str">
        <f t="shared" si="182"/>
        <v>None</v>
      </c>
      <c r="AY430" s="229">
        <f>IF(OR(AM430="Row Not Used",AM430="Fixtures Only",AM430="Decommissioning"),0,INDEX(IncentiveRateTable[Incentive Rate],MATCH(AX430,IncentiveRateTable[Incentive Name],0)))</f>
        <v>0</v>
      </c>
      <c r="AZ430" s="133" t="str">
        <f>IF(OR(AM430="Row Not Used",AM430="Fixtures Only",AM430="Decommissioning"),"None",INDEX(IncentiveRateTable[Incentive Unit],MATCH(AX430,IncentiveRateTable[Incentive Name],0)))</f>
        <v>None</v>
      </c>
      <c r="BA430" s="465">
        <f t="shared" si="183"/>
        <v>0</v>
      </c>
      <c r="BB430" s="264" t="e" cm="1">
        <f t="array" ref="BB430">INDEX(BallastFactorTable[Commercial BPA Reference Number],MATCH(1,(BallastFactorTable[Fixture Class]=J430)*(BallastFactorTable[Fixture Category]=K430)*(BallastFactorTable[Fixture Sub-category]=L430),0))</f>
        <v>#N/A</v>
      </c>
      <c r="BC430" s="133" t="e" cm="1">
        <f t="array" ref="BC430">INDEX(BallastFactorTable[Industrial BPA Reference Number],MATCH(1,(BallastFactorTable[Fixture Class]=J430)*(BallastFactorTable[Fixture Category]=K430)*(BallastFactorTable[Fixture Sub-category]=L430),0))</f>
        <v>#N/A</v>
      </c>
      <c r="BD430" s="264" t="str">
        <f t="shared" si="184"/>
        <v>Sector is blank</v>
      </c>
      <c r="BE430" s="269" t="str">
        <f>IF(ISBLANK(SectorField),"Sector is blank",IF(AM430="Row Not Used","",IF(OR(R430="No Controls",ISBLANK(R430)),"",INDEX(ControlsBPARefNoTable[Reference Number],MATCH(SectorField,ControlsBPARefNoTable[Sector],0)))))</f>
        <v>Sector is blank</v>
      </c>
      <c r="BF430" s="530" t="str">
        <f t="shared" si="185"/>
        <v/>
      </c>
      <c r="BG430" s="132" t="str">
        <f t="shared" si="186"/>
        <v/>
      </c>
      <c r="BH430" s="531" t="str">
        <f t="shared" si="187"/>
        <v/>
      </c>
      <c r="BI430" s="532"/>
      <c r="BJ430" s="538" t="str">
        <f t="shared" si="193"/>
        <v/>
      </c>
      <c r="BK430" s="539" t="str">
        <f t="shared" si="194"/>
        <v/>
      </c>
      <c r="BL430" s="547" t="str">
        <f t="shared" si="195"/>
        <v/>
      </c>
    </row>
    <row r="431" spans="1:64" x14ac:dyDescent="0.3">
      <c r="A431" s="133">
        <v>424</v>
      </c>
      <c r="B431" s="294"/>
      <c r="C431" s="313"/>
      <c r="D431" s="292"/>
      <c r="E431" s="284"/>
      <c r="F431" s="284"/>
      <c r="G431" s="295"/>
      <c r="H431" s="296"/>
      <c r="I431" s="297"/>
      <c r="J431" s="292"/>
      <c r="K431" s="284"/>
      <c r="L431" s="284"/>
      <c r="M431" s="295"/>
      <c r="N431" s="296"/>
      <c r="O431" s="296"/>
      <c r="P431" s="284"/>
      <c r="Q431" s="298"/>
      <c r="R431" s="292"/>
      <c r="S431" s="299"/>
      <c r="T431" s="300"/>
      <c r="U431" s="317" t="str">
        <f t="shared" si="169"/>
        <v/>
      </c>
      <c r="V431" s="301"/>
      <c r="W431" s="136" t="str">
        <f t="shared" si="170"/>
        <v/>
      </c>
      <c r="X431" s="588" t="str">
        <f t="shared" si="188"/>
        <v/>
      </c>
      <c r="Y431" s="580"/>
      <c r="Z431" s="251" t="str">
        <f t="shared" si="171"/>
        <v/>
      </c>
      <c r="AA431" s="138" t="str">
        <f t="shared" si="196"/>
        <v/>
      </c>
      <c r="AB431" s="243" t="str">
        <f t="shared" si="189"/>
        <v/>
      </c>
      <c r="AC431" s="141" t="str">
        <f t="shared" si="172"/>
        <v/>
      </c>
      <c r="AD431" s="138" t="str">
        <f t="shared" si="190"/>
        <v/>
      </c>
      <c r="AE431" s="243" t="str">
        <f t="shared" si="173"/>
        <v/>
      </c>
      <c r="AF431" s="342" t="str">
        <f>IF(AM431="Row Not Used","",INDEX(SpaceTable[Annual Hours],(MATCH(B431,SpaceTable[Space Name Concatenated Helper],0))))</f>
        <v/>
      </c>
      <c r="AG431" s="205" t="str">
        <f t="shared" si="174"/>
        <v/>
      </c>
      <c r="AH431" s="234" t="str">
        <f t="shared" si="175"/>
        <v/>
      </c>
      <c r="AI431" s="205" t="str">
        <f t="shared" si="176"/>
        <v/>
      </c>
      <c r="AJ431" s="234" t="str">
        <f t="shared" si="177"/>
        <v/>
      </c>
      <c r="AK431" s="144" t="str">
        <f>IF(AM431="Row Not Used","",INDEX(SpaceTable[Row],(MATCH(B431,SpaceTable[Space Name Concatenated Helper],0))))</f>
        <v/>
      </c>
      <c r="AL431" s="238" t="str">
        <f>IF(AM431="Row Not Used","",INDEX(SpaceTable[HVAC Factor],(MATCH(B431,SpaceTable[Space Name Concatenated Helper],0))))</f>
        <v/>
      </c>
      <c r="AM431" s="520" t="str">
        <f t="shared" si="178"/>
        <v>Row Not Used</v>
      </c>
      <c r="AN431" s="512" t="e" cm="1">
        <f t="array" ref="AN431">INDEX(BallastFactorTable[Ballast Factor],MATCH(1,(BallastFactorTable[Fixture Class]=D431)*(BallastFactorTable[Fixture Category]=E431)*(BallastFactorTable[Fixture Sub-category]=F431),0))</f>
        <v>#N/A</v>
      </c>
      <c r="AO431" s="143" t="str">
        <f t="shared" si="191"/>
        <v/>
      </c>
      <c r="AP431" s="501" t="e" cm="1">
        <f t="array" ref="AP431">INDEX(BallastFactorTable[Wattage Range Name],MATCH(1,(BallastFactorTable[Fixture Class]=D431)*(BallastFactorTable[Fixture Category]=E431)*(BallastFactorTable[Fixture Sub-category]=F431),0))</f>
        <v>#N/A</v>
      </c>
      <c r="AQ431" s="515" t="str">
        <f t="shared" ca="1" si="179"/>
        <v>Okay</v>
      </c>
      <c r="AR431" s="512">
        <f t="shared" si="180"/>
        <v>0</v>
      </c>
      <c r="AS431" s="511" t="str">
        <f>IF(OR(Measures!AM431="Row Not Used",Measures!C431="Controls Only",Measures!C431="Decommissioning"),"",_xlfn.CONCAT(P431," ",Q431))</f>
        <v/>
      </c>
      <c r="AT431" s="264" t="str">
        <f t="shared" si="181"/>
        <v>None</v>
      </c>
      <c r="AU431" s="229">
        <f>IF(OR(AM431="Row Not Used",AM431="Controls Only"),0,INDEX(IncentiveRateTable[Incentive Rate],MATCH(AT431,IncentiveRateTable[Incentive Name],0)))</f>
        <v>0</v>
      </c>
      <c r="AV431" s="133" t="str">
        <f>IF(OR(AM431="Row Not Used",AM431="Controls Only"),"None",INDEX(IncentiveRateTable[Incentive Unit],MATCH(AT431,IncentiveRateTable[Incentive Name],0)))</f>
        <v>None</v>
      </c>
      <c r="AW431" s="578">
        <f t="shared" si="192"/>
        <v>0</v>
      </c>
      <c r="AX431" s="264" t="str">
        <f t="shared" si="182"/>
        <v>None</v>
      </c>
      <c r="AY431" s="229">
        <f>IF(OR(AM431="Row Not Used",AM431="Fixtures Only",AM431="Decommissioning"),0,INDEX(IncentiveRateTable[Incentive Rate],MATCH(AX431,IncentiveRateTable[Incentive Name],0)))</f>
        <v>0</v>
      </c>
      <c r="AZ431" s="133" t="str">
        <f>IF(OR(AM431="Row Not Used",AM431="Fixtures Only",AM431="Decommissioning"),"None",INDEX(IncentiveRateTable[Incentive Unit],MATCH(AX431,IncentiveRateTable[Incentive Name],0)))</f>
        <v>None</v>
      </c>
      <c r="BA431" s="465">
        <f t="shared" si="183"/>
        <v>0</v>
      </c>
      <c r="BB431" s="264" t="e" cm="1">
        <f t="array" ref="BB431">INDEX(BallastFactorTable[Commercial BPA Reference Number],MATCH(1,(BallastFactorTable[Fixture Class]=J431)*(BallastFactorTable[Fixture Category]=K431)*(BallastFactorTable[Fixture Sub-category]=L431),0))</f>
        <v>#N/A</v>
      </c>
      <c r="BC431" s="133" t="e" cm="1">
        <f t="array" ref="BC431">INDEX(BallastFactorTable[Industrial BPA Reference Number],MATCH(1,(BallastFactorTable[Fixture Class]=J431)*(BallastFactorTable[Fixture Category]=K431)*(BallastFactorTable[Fixture Sub-category]=L431),0))</f>
        <v>#N/A</v>
      </c>
      <c r="BD431" s="264" t="str">
        <f t="shared" si="184"/>
        <v>Sector is blank</v>
      </c>
      <c r="BE431" s="269" t="str">
        <f>IF(ISBLANK(SectorField),"Sector is blank",IF(AM431="Row Not Used","",IF(OR(R431="No Controls",ISBLANK(R431)),"",INDEX(ControlsBPARefNoTable[Reference Number],MATCH(SectorField,ControlsBPARefNoTable[Sector],0)))))</f>
        <v>Sector is blank</v>
      </c>
      <c r="BF431" s="530" t="str">
        <f t="shared" si="185"/>
        <v/>
      </c>
      <c r="BG431" s="132" t="str">
        <f t="shared" si="186"/>
        <v/>
      </c>
      <c r="BH431" s="531" t="str">
        <f t="shared" si="187"/>
        <v/>
      </c>
      <c r="BI431" s="532"/>
      <c r="BJ431" s="538" t="str">
        <f t="shared" si="193"/>
        <v/>
      </c>
      <c r="BK431" s="539" t="str">
        <f t="shared" si="194"/>
        <v/>
      </c>
      <c r="BL431" s="547" t="str">
        <f t="shared" si="195"/>
        <v/>
      </c>
    </row>
    <row r="432" spans="1:64" x14ac:dyDescent="0.3">
      <c r="A432" s="133">
        <v>425</v>
      </c>
      <c r="B432" s="294"/>
      <c r="C432" s="313"/>
      <c r="D432" s="292"/>
      <c r="E432" s="284"/>
      <c r="F432" s="284"/>
      <c r="G432" s="295"/>
      <c r="H432" s="296"/>
      <c r="I432" s="297"/>
      <c r="J432" s="292"/>
      <c r="K432" s="284"/>
      <c r="L432" s="284"/>
      <c r="M432" s="295"/>
      <c r="N432" s="296"/>
      <c r="O432" s="296"/>
      <c r="P432" s="284"/>
      <c r="Q432" s="298"/>
      <c r="R432" s="292"/>
      <c r="S432" s="299"/>
      <c r="T432" s="300"/>
      <c r="U432" s="317" t="str">
        <f t="shared" si="169"/>
        <v/>
      </c>
      <c r="V432" s="301"/>
      <c r="W432" s="137" t="str">
        <f t="shared" si="170"/>
        <v/>
      </c>
      <c r="X432" s="589" t="str">
        <f t="shared" si="188"/>
        <v/>
      </c>
      <c r="Y432" s="581"/>
      <c r="Z432" s="251" t="str">
        <f t="shared" si="171"/>
        <v/>
      </c>
      <c r="AA432" s="138" t="str">
        <f t="shared" si="196"/>
        <v/>
      </c>
      <c r="AB432" s="243" t="str">
        <f t="shared" si="189"/>
        <v/>
      </c>
      <c r="AC432" s="141" t="str">
        <f t="shared" si="172"/>
        <v/>
      </c>
      <c r="AD432" s="138" t="str">
        <f t="shared" si="190"/>
        <v/>
      </c>
      <c r="AE432" s="243" t="str">
        <f t="shared" si="173"/>
        <v/>
      </c>
      <c r="AF432" s="342" t="str">
        <f>IF(AM432="Row Not Used","",INDEX(SpaceTable[Annual Hours],(MATCH(B432,SpaceTable[Space Name Concatenated Helper],0))))</f>
        <v/>
      </c>
      <c r="AG432" s="205" t="str">
        <f t="shared" si="174"/>
        <v/>
      </c>
      <c r="AH432" s="234" t="str">
        <f t="shared" si="175"/>
        <v/>
      </c>
      <c r="AI432" s="205" t="str">
        <f t="shared" si="176"/>
        <v/>
      </c>
      <c r="AJ432" s="234" t="str">
        <f t="shared" si="177"/>
        <v/>
      </c>
      <c r="AK432" s="144" t="str">
        <f>IF(AM432="Row Not Used","",INDEX(SpaceTable[Row],(MATCH(B432,SpaceTable[Space Name Concatenated Helper],0))))</f>
        <v/>
      </c>
      <c r="AL432" s="238" t="str">
        <f>IF(AM432="Row Not Used","",INDEX(SpaceTable[HVAC Factor],(MATCH(B432,SpaceTable[Space Name Concatenated Helper],0))))</f>
        <v/>
      </c>
      <c r="AM432" s="520" t="str">
        <f t="shared" si="178"/>
        <v>Row Not Used</v>
      </c>
      <c r="AN432" s="512" t="e" cm="1">
        <f t="array" ref="AN432">INDEX(BallastFactorTable[Ballast Factor],MATCH(1,(BallastFactorTable[Fixture Class]=D432)*(BallastFactorTable[Fixture Category]=E432)*(BallastFactorTable[Fixture Sub-category]=F432),0))</f>
        <v>#N/A</v>
      </c>
      <c r="AO432" s="143" t="str">
        <f t="shared" si="191"/>
        <v/>
      </c>
      <c r="AP432" s="501" t="e" cm="1">
        <f t="array" ref="AP432">INDEX(BallastFactorTable[Wattage Range Name],MATCH(1,(BallastFactorTable[Fixture Class]=D432)*(BallastFactorTable[Fixture Category]=E432)*(BallastFactorTable[Fixture Sub-category]=F432),0))</f>
        <v>#N/A</v>
      </c>
      <c r="AQ432" s="515" t="str">
        <f t="shared" ca="1" si="179"/>
        <v>Okay</v>
      </c>
      <c r="AR432" s="512">
        <f t="shared" si="180"/>
        <v>0</v>
      </c>
      <c r="AS432" s="511" t="str">
        <f>IF(OR(Measures!AM432="Row Not Used",Measures!C432="Controls Only",Measures!C432="Decommissioning"),"",_xlfn.CONCAT(P432," ",Q432))</f>
        <v/>
      </c>
      <c r="AT432" s="264" t="str">
        <f t="shared" si="181"/>
        <v>None</v>
      </c>
      <c r="AU432" s="229">
        <f>IF(OR(AM432="Row Not Used",AM432="Controls Only"),0,INDEX(IncentiveRateTable[Incentive Rate],MATCH(AT432,IncentiveRateTable[Incentive Name],0)))</f>
        <v>0</v>
      </c>
      <c r="AV432" s="133" t="str">
        <f>IF(OR(AM432="Row Not Used",AM432="Controls Only"),"None",INDEX(IncentiveRateTable[Incentive Unit],MATCH(AT432,IncentiveRateTable[Incentive Name],0)))</f>
        <v>None</v>
      </c>
      <c r="AW432" s="578">
        <f t="shared" si="192"/>
        <v>0</v>
      </c>
      <c r="AX432" s="264" t="str">
        <f t="shared" si="182"/>
        <v>None</v>
      </c>
      <c r="AY432" s="229">
        <f>IF(OR(AM432="Row Not Used",AM432="Fixtures Only",AM432="Decommissioning"),0,INDEX(IncentiveRateTable[Incentive Rate],MATCH(AX432,IncentiveRateTable[Incentive Name],0)))</f>
        <v>0</v>
      </c>
      <c r="AZ432" s="133" t="str">
        <f>IF(OR(AM432="Row Not Used",AM432="Fixtures Only",AM432="Decommissioning"),"None",INDEX(IncentiveRateTable[Incentive Unit],MATCH(AX432,IncentiveRateTable[Incentive Name],0)))</f>
        <v>None</v>
      </c>
      <c r="BA432" s="465">
        <f t="shared" si="183"/>
        <v>0</v>
      </c>
      <c r="BB432" s="264" t="e" cm="1">
        <f t="array" ref="BB432">INDEX(BallastFactorTable[Commercial BPA Reference Number],MATCH(1,(BallastFactorTable[Fixture Class]=J432)*(BallastFactorTable[Fixture Category]=K432)*(BallastFactorTable[Fixture Sub-category]=L432),0))</f>
        <v>#N/A</v>
      </c>
      <c r="BC432" s="133" t="e" cm="1">
        <f t="array" ref="BC432">INDEX(BallastFactorTable[Industrial BPA Reference Number],MATCH(1,(BallastFactorTable[Fixture Class]=J432)*(BallastFactorTable[Fixture Category]=K432)*(BallastFactorTable[Fixture Sub-category]=L432),0))</f>
        <v>#N/A</v>
      </c>
      <c r="BD432" s="264" t="str">
        <f t="shared" si="184"/>
        <v>Sector is blank</v>
      </c>
      <c r="BE432" s="269" t="str">
        <f>IF(ISBLANK(SectorField),"Sector is blank",IF(AM432="Row Not Used","",IF(OR(R432="No Controls",ISBLANK(R432)),"",INDEX(ControlsBPARefNoTable[Reference Number],MATCH(SectorField,ControlsBPARefNoTable[Sector],0)))))</f>
        <v>Sector is blank</v>
      </c>
      <c r="BF432" s="530" t="str">
        <f t="shared" si="185"/>
        <v/>
      </c>
      <c r="BG432" s="132" t="str">
        <f t="shared" si="186"/>
        <v/>
      </c>
      <c r="BH432" s="531" t="str">
        <f t="shared" si="187"/>
        <v/>
      </c>
      <c r="BI432" s="532"/>
      <c r="BJ432" s="538" t="str">
        <f t="shared" si="193"/>
        <v/>
      </c>
      <c r="BK432" s="539" t="str">
        <f t="shared" si="194"/>
        <v/>
      </c>
      <c r="BL432" s="547" t="str">
        <f t="shared" si="195"/>
        <v/>
      </c>
    </row>
    <row r="433" spans="1:64" x14ac:dyDescent="0.3">
      <c r="A433" s="133">
        <v>426</v>
      </c>
      <c r="B433" s="294"/>
      <c r="C433" s="313"/>
      <c r="D433" s="292"/>
      <c r="E433" s="284"/>
      <c r="F433" s="284"/>
      <c r="G433" s="295"/>
      <c r="H433" s="296"/>
      <c r="I433" s="297"/>
      <c r="J433" s="292"/>
      <c r="K433" s="284"/>
      <c r="L433" s="284"/>
      <c r="M433" s="295"/>
      <c r="N433" s="296"/>
      <c r="O433" s="296"/>
      <c r="P433" s="284"/>
      <c r="Q433" s="298"/>
      <c r="R433" s="292"/>
      <c r="S433" s="299"/>
      <c r="T433" s="300"/>
      <c r="U433" s="317" t="str">
        <f t="shared" si="169"/>
        <v/>
      </c>
      <c r="V433" s="301"/>
      <c r="W433" s="136" t="str">
        <f t="shared" si="170"/>
        <v/>
      </c>
      <c r="X433" s="588" t="str">
        <f t="shared" si="188"/>
        <v/>
      </c>
      <c r="Y433" s="580"/>
      <c r="Z433" s="251" t="str">
        <f t="shared" si="171"/>
        <v/>
      </c>
      <c r="AA433" s="138" t="str">
        <f t="shared" si="196"/>
        <v/>
      </c>
      <c r="AB433" s="243" t="str">
        <f t="shared" si="189"/>
        <v/>
      </c>
      <c r="AC433" s="141" t="str">
        <f t="shared" si="172"/>
        <v/>
      </c>
      <c r="AD433" s="138" t="str">
        <f t="shared" si="190"/>
        <v/>
      </c>
      <c r="AE433" s="243" t="str">
        <f t="shared" si="173"/>
        <v/>
      </c>
      <c r="AF433" s="342" t="str">
        <f>IF(AM433="Row Not Used","",INDEX(SpaceTable[Annual Hours],(MATCH(B433,SpaceTable[Space Name Concatenated Helper],0))))</f>
        <v/>
      </c>
      <c r="AG433" s="205" t="str">
        <f t="shared" si="174"/>
        <v/>
      </c>
      <c r="AH433" s="234" t="str">
        <f t="shared" si="175"/>
        <v/>
      </c>
      <c r="AI433" s="205" t="str">
        <f t="shared" si="176"/>
        <v/>
      </c>
      <c r="AJ433" s="234" t="str">
        <f t="shared" si="177"/>
        <v/>
      </c>
      <c r="AK433" s="144" t="str">
        <f>IF(AM433="Row Not Used","",INDEX(SpaceTable[Row],(MATCH(B433,SpaceTable[Space Name Concatenated Helper],0))))</f>
        <v/>
      </c>
      <c r="AL433" s="238" t="str">
        <f>IF(AM433="Row Not Used","",INDEX(SpaceTable[HVAC Factor],(MATCH(B433,SpaceTable[Space Name Concatenated Helper],0))))</f>
        <v/>
      </c>
      <c r="AM433" s="520" t="str">
        <f t="shared" si="178"/>
        <v>Row Not Used</v>
      </c>
      <c r="AN433" s="512" t="e" cm="1">
        <f t="array" ref="AN433">INDEX(BallastFactorTable[Ballast Factor],MATCH(1,(BallastFactorTable[Fixture Class]=D433)*(BallastFactorTable[Fixture Category]=E433)*(BallastFactorTable[Fixture Sub-category]=F433),0))</f>
        <v>#N/A</v>
      </c>
      <c r="AO433" s="143" t="str">
        <f t="shared" si="191"/>
        <v/>
      </c>
      <c r="AP433" s="501" t="e" cm="1">
        <f t="array" ref="AP433">INDEX(BallastFactorTable[Wattage Range Name],MATCH(1,(BallastFactorTable[Fixture Class]=D433)*(BallastFactorTable[Fixture Category]=E433)*(BallastFactorTable[Fixture Sub-category]=F433),0))</f>
        <v>#N/A</v>
      </c>
      <c r="AQ433" s="515" t="str">
        <f t="shared" ca="1" si="179"/>
        <v>Okay</v>
      </c>
      <c r="AR433" s="512">
        <f t="shared" si="180"/>
        <v>0</v>
      </c>
      <c r="AS433" s="511" t="str">
        <f>IF(OR(Measures!AM433="Row Not Used",Measures!C433="Controls Only",Measures!C433="Decommissioning"),"",_xlfn.CONCAT(P433," ",Q433))</f>
        <v/>
      </c>
      <c r="AT433" s="264" t="str">
        <f t="shared" si="181"/>
        <v>None</v>
      </c>
      <c r="AU433" s="229">
        <f>IF(OR(AM433="Row Not Used",AM433="Controls Only"),0,INDEX(IncentiveRateTable[Incentive Rate],MATCH(AT433,IncentiveRateTable[Incentive Name],0)))</f>
        <v>0</v>
      </c>
      <c r="AV433" s="133" t="str">
        <f>IF(OR(AM433="Row Not Used",AM433="Controls Only"),"None",INDEX(IncentiveRateTable[Incentive Unit],MATCH(AT433,IncentiveRateTable[Incentive Name],0)))</f>
        <v>None</v>
      </c>
      <c r="AW433" s="578">
        <f t="shared" si="192"/>
        <v>0</v>
      </c>
      <c r="AX433" s="264" t="str">
        <f t="shared" si="182"/>
        <v>None</v>
      </c>
      <c r="AY433" s="229">
        <f>IF(OR(AM433="Row Not Used",AM433="Fixtures Only",AM433="Decommissioning"),0,INDEX(IncentiveRateTable[Incentive Rate],MATCH(AX433,IncentiveRateTable[Incentive Name],0)))</f>
        <v>0</v>
      </c>
      <c r="AZ433" s="133" t="str">
        <f>IF(OR(AM433="Row Not Used",AM433="Fixtures Only",AM433="Decommissioning"),"None",INDEX(IncentiveRateTable[Incentive Unit],MATCH(AX433,IncentiveRateTable[Incentive Name],0)))</f>
        <v>None</v>
      </c>
      <c r="BA433" s="465">
        <f t="shared" si="183"/>
        <v>0</v>
      </c>
      <c r="BB433" s="264" t="e" cm="1">
        <f t="array" ref="BB433">INDEX(BallastFactorTable[Commercial BPA Reference Number],MATCH(1,(BallastFactorTable[Fixture Class]=J433)*(BallastFactorTable[Fixture Category]=K433)*(BallastFactorTable[Fixture Sub-category]=L433),0))</f>
        <v>#N/A</v>
      </c>
      <c r="BC433" s="133" t="e" cm="1">
        <f t="array" ref="BC433">INDEX(BallastFactorTable[Industrial BPA Reference Number],MATCH(1,(BallastFactorTable[Fixture Class]=J433)*(BallastFactorTable[Fixture Category]=K433)*(BallastFactorTable[Fixture Sub-category]=L433),0))</f>
        <v>#N/A</v>
      </c>
      <c r="BD433" s="264" t="str">
        <f t="shared" si="184"/>
        <v>Sector is blank</v>
      </c>
      <c r="BE433" s="269" t="str">
        <f>IF(ISBLANK(SectorField),"Sector is blank",IF(AM433="Row Not Used","",IF(OR(R433="No Controls",ISBLANK(R433)),"",INDEX(ControlsBPARefNoTable[Reference Number],MATCH(SectorField,ControlsBPARefNoTable[Sector],0)))))</f>
        <v>Sector is blank</v>
      </c>
      <c r="BF433" s="530" t="str">
        <f t="shared" si="185"/>
        <v/>
      </c>
      <c r="BG433" s="132" t="str">
        <f t="shared" si="186"/>
        <v/>
      </c>
      <c r="BH433" s="531" t="str">
        <f t="shared" si="187"/>
        <v/>
      </c>
      <c r="BI433" s="532"/>
      <c r="BJ433" s="538" t="str">
        <f t="shared" si="193"/>
        <v/>
      </c>
      <c r="BK433" s="539" t="str">
        <f t="shared" si="194"/>
        <v/>
      </c>
      <c r="BL433" s="547" t="str">
        <f t="shared" si="195"/>
        <v/>
      </c>
    </row>
    <row r="434" spans="1:64" x14ac:dyDescent="0.3">
      <c r="A434" s="133">
        <v>427</v>
      </c>
      <c r="B434" s="294"/>
      <c r="C434" s="313"/>
      <c r="D434" s="292"/>
      <c r="E434" s="284"/>
      <c r="F434" s="284"/>
      <c r="G434" s="295"/>
      <c r="H434" s="296"/>
      <c r="I434" s="297"/>
      <c r="J434" s="292"/>
      <c r="K434" s="284"/>
      <c r="L434" s="284"/>
      <c r="M434" s="295"/>
      <c r="N434" s="296"/>
      <c r="O434" s="296"/>
      <c r="P434" s="284"/>
      <c r="Q434" s="298"/>
      <c r="R434" s="292"/>
      <c r="S434" s="299"/>
      <c r="T434" s="300"/>
      <c r="U434" s="317" t="str">
        <f t="shared" si="169"/>
        <v/>
      </c>
      <c r="V434" s="301"/>
      <c r="W434" s="137" t="str">
        <f t="shared" si="170"/>
        <v/>
      </c>
      <c r="X434" s="589" t="str">
        <f t="shared" si="188"/>
        <v/>
      </c>
      <c r="Y434" s="581"/>
      <c r="Z434" s="251" t="str">
        <f t="shared" si="171"/>
        <v/>
      </c>
      <c r="AA434" s="138" t="str">
        <f t="shared" si="196"/>
        <v/>
      </c>
      <c r="AB434" s="243" t="str">
        <f t="shared" si="189"/>
        <v/>
      </c>
      <c r="AC434" s="141" t="str">
        <f t="shared" si="172"/>
        <v/>
      </c>
      <c r="AD434" s="138" t="str">
        <f t="shared" si="190"/>
        <v/>
      </c>
      <c r="AE434" s="243" t="str">
        <f t="shared" si="173"/>
        <v/>
      </c>
      <c r="AF434" s="342" t="str">
        <f>IF(AM434="Row Not Used","",INDEX(SpaceTable[Annual Hours],(MATCH(B434,SpaceTable[Space Name Concatenated Helper],0))))</f>
        <v/>
      </c>
      <c r="AG434" s="205" t="str">
        <f t="shared" si="174"/>
        <v/>
      </c>
      <c r="AH434" s="234" t="str">
        <f t="shared" si="175"/>
        <v/>
      </c>
      <c r="AI434" s="205" t="str">
        <f t="shared" si="176"/>
        <v/>
      </c>
      <c r="AJ434" s="234" t="str">
        <f t="shared" si="177"/>
        <v/>
      </c>
      <c r="AK434" s="144" t="str">
        <f>IF(AM434="Row Not Used","",INDEX(SpaceTable[Row],(MATCH(B434,SpaceTable[Space Name Concatenated Helper],0))))</f>
        <v/>
      </c>
      <c r="AL434" s="238" t="str">
        <f>IF(AM434="Row Not Used","",INDEX(SpaceTable[HVAC Factor],(MATCH(B434,SpaceTable[Space Name Concatenated Helper],0))))</f>
        <v/>
      </c>
      <c r="AM434" s="520" t="str">
        <f t="shared" si="178"/>
        <v>Row Not Used</v>
      </c>
      <c r="AN434" s="512" t="e" cm="1">
        <f t="array" ref="AN434">INDEX(BallastFactorTable[Ballast Factor],MATCH(1,(BallastFactorTable[Fixture Class]=D434)*(BallastFactorTable[Fixture Category]=E434)*(BallastFactorTable[Fixture Sub-category]=F434),0))</f>
        <v>#N/A</v>
      </c>
      <c r="AO434" s="143" t="str">
        <f t="shared" si="191"/>
        <v/>
      </c>
      <c r="AP434" s="501" t="e" cm="1">
        <f t="array" ref="AP434">INDEX(BallastFactorTable[Wattage Range Name],MATCH(1,(BallastFactorTable[Fixture Class]=D434)*(BallastFactorTable[Fixture Category]=E434)*(BallastFactorTable[Fixture Sub-category]=F434),0))</f>
        <v>#N/A</v>
      </c>
      <c r="AQ434" s="515" t="str">
        <f t="shared" ca="1" si="179"/>
        <v>Okay</v>
      </c>
      <c r="AR434" s="512">
        <f t="shared" si="180"/>
        <v>0</v>
      </c>
      <c r="AS434" s="511" t="str">
        <f>IF(OR(Measures!AM434="Row Not Used",Measures!C434="Controls Only",Measures!C434="Decommissioning"),"",_xlfn.CONCAT(P434," ",Q434))</f>
        <v/>
      </c>
      <c r="AT434" s="264" t="str">
        <f t="shared" si="181"/>
        <v>None</v>
      </c>
      <c r="AU434" s="229">
        <f>IF(OR(AM434="Row Not Used",AM434="Controls Only"),0,INDEX(IncentiveRateTable[Incentive Rate],MATCH(AT434,IncentiveRateTable[Incentive Name],0)))</f>
        <v>0</v>
      </c>
      <c r="AV434" s="133" t="str">
        <f>IF(OR(AM434="Row Not Used",AM434="Controls Only"),"None",INDEX(IncentiveRateTable[Incentive Unit],MATCH(AT434,IncentiveRateTable[Incentive Name],0)))</f>
        <v>None</v>
      </c>
      <c r="AW434" s="578">
        <f t="shared" si="192"/>
        <v>0</v>
      </c>
      <c r="AX434" s="264" t="str">
        <f t="shared" si="182"/>
        <v>None</v>
      </c>
      <c r="AY434" s="229">
        <f>IF(OR(AM434="Row Not Used",AM434="Fixtures Only",AM434="Decommissioning"),0,INDEX(IncentiveRateTable[Incentive Rate],MATCH(AX434,IncentiveRateTable[Incentive Name],0)))</f>
        <v>0</v>
      </c>
      <c r="AZ434" s="133" t="str">
        <f>IF(OR(AM434="Row Not Used",AM434="Fixtures Only",AM434="Decommissioning"),"None",INDEX(IncentiveRateTable[Incentive Unit],MATCH(AX434,IncentiveRateTable[Incentive Name],0)))</f>
        <v>None</v>
      </c>
      <c r="BA434" s="465">
        <f t="shared" si="183"/>
        <v>0</v>
      </c>
      <c r="BB434" s="264" t="e" cm="1">
        <f t="array" ref="BB434">INDEX(BallastFactorTable[Commercial BPA Reference Number],MATCH(1,(BallastFactorTable[Fixture Class]=J434)*(BallastFactorTable[Fixture Category]=K434)*(BallastFactorTable[Fixture Sub-category]=L434),0))</f>
        <v>#N/A</v>
      </c>
      <c r="BC434" s="133" t="e" cm="1">
        <f t="array" ref="BC434">INDEX(BallastFactorTable[Industrial BPA Reference Number],MATCH(1,(BallastFactorTable[Fixture Class]=J434)*(BallastFactorTable[Fixture Category]=K434)*(BallastFactorTable[Fixture Sub-category]=L434),0))</f>
        <v>#N/A</v>
      </c>
      <c r="BD434" s="264" t="str">
        <f t="shared" si="184"/>
        <v>Sector is blank</v>
      </c>
      <c r="BE434" s="269" t="str">
        <f>IF(ISBLANK(SectorField),"Sector is blank",IF(AM434="Row Not Used","",IF(OR(R434="No Controls",ISBLANK(R434)),"",INDEX(ControlsBPARefNoTable[Reference Number],MATCH(SectorField,ControlsBPARefNoTable[Sector],0)))))</f>
        <v>Sector is blank</v>
      </c>
      <c r="BF434" s="530" t="str">
        <f t="shared" si="185"/>
        <v/>
      </c>
      <c r="BG434" s="132" t="str">
        <f t="shared" si="186"/>
        <v/>
      </c>
      <c r="BH434" s="531" t="str">
        <f t="shared" si="187"/>
        <v/>
      </c>
      <c r="BI434" s="532"/>
      <c r="BJ434" s="538" t="str">
        <f t="shared" si="193"/>
        <v/>
      </c>
      <c r="BK434" s="539" t="str">
        <f t="shared" si="194"/>
        <v/>
      </c>
      <c r="BL434" s="547" t="str">
        <f t="shared" si="195"/>
        <v/>
      </c>
    </row>
    <row r="435" spans="1:64" x14ac:dyDescent="0.3">
      <c r="A435" s="133">
        <v>428</v>
      </c>
      <c r="B435" s="294"/>
      <c r="C435" s="313"/>
      <c r="D435" s="292"/>
      <c r="E435" s="284"/>
      <c r="F435" s="284"/>
      <c r="G435" s="295"/>
      <c r="H435" s="296"/>
      <c r="I435" s="297"/>
      <c r="J435" s="292"/>
      <c r="K435" s="284"/>
      <c r="L435" s="284"/>
      <c r="M435" s="295"/>
      <c r="N435" s="296"/>
      <c r="O435" s="296"/>
      <c r="P435" s="284"/>
      <c r="Q435" s="298"/>
      <c r="R435" s="292"/>
      <c r="S435" s="299"/>
      <c r="T435" s="300"/>
      <c r="U435" s="317" t="str">
        <f t="shared" si="169"/>
        <v/>
      </c>
      <c r="V435" s="301"/>
      <c r="W435" s="136" t="str">
        <f t="shared" si="170"/>
        <v/>
      </c>
      <c r="X435" s="588" t="str">
        <f t="shared" si="188"/>
        <v/>
      </c>
      <c r="Y435" s="580"/>
      <c r="Z435" s="251" t="str">
        <f t="shared" si="171"/>
        <v/>
      </c>
      <c r="AA435" s="138" t="str">
        <f t="shared" si="196"/>
        <v/>
      </c>
      <c r="AB435" s="243" t="str">
        <f t="shared" si="189"/>
        <v/>
      </c>
      <c r="AC435" s="141" t="str">
        <f t="shared" si="172"/>
        <v/>
      </c>
      <c r="AD435" s="138" t="str">
        <f t="shared" si="190"/>
        <v/>
      </c>
      <c r="AE435" s="243" t="str">
        <f t="shared" si="173"/>
        <v/>
      </c>
      <c r="AF435" s="342" t="str">
        <f>IF(AM435="Row Not Used","",INDEX(SpaceTable[Annual Hours],(MATCH(B435,SpaceTable[Space Name Concatenated Helper],0))))</f>
        <v/>
      </c>
      <c r="AG435" s="205" t="str">
        <f t="shared" si="174"/>
        <v/>
      </c>
      <c r="AH435" s="234" t="str">
        <f t="shared" si="175"/>
        <v/>
      </c>
      <c r="AI435" s="205" t="str">
        <f t="shared" si="176"/>
        <v/>
      </c>
      <c r="AJ435" s="234" t="str">
        <f t="shared" si="177"/>
        <v/>
      </c>
      <c r="AK435" s="144" t="str">
        <f>IF(AM435="Row Not Used","",INDEX(SpaceTable[Row],(MATCH(B435,SpaceTable[Space Name Concatenated Helper],0))))</f>
        <v/>
      </c>
      <c r="AL435" s="238" t="str">
        <f>IF(AM435="Row Not Used","",INDEX(SpaceTable[HVAC Factor],(MATCH(B435,SpaceTable[Space Name Concatenated Helper],0))))</f>
        <v/>
      </c>
      <c r="AM435" s="520" t="str">
        <f t="shared" si="178"/>
        <v>Row Not Used</v>
      </c>
      <c r="AN435" s="512" t="e" cm="1">
        <f t="array" ref="AN435">INDEX(BallastFactorTable[Ballast Factor],MATCH(1,(BallastFactorTable[Fixture Class]=D435)*(BallastFactorTable[Fixture Category]=E435)*(BallastFactorTable[Fixture Sub-category]=F435),0))</f>
        <v>#N/A</v>
      </c>
      <c r="AO435" s="143" t="str">
        <f t="shared" si="191"/>
        <v/>
      </c>
      <c r="AP435" s="501" t="e" cm="1">
        <f t="array" ref="AP435">INDEX(BallastFactorTable[Wattage Range Name],MATCH(1,(BallastFactorTable[Fixture Class]=D435)*(BallastFactorTable[Fixture Category]=E435)*(BallastFactorTable[Fixture Sub-category]=F435),0))</f>
        <v>#N/A</v>
      </c>
      <c r="AQ435" s="515" t="str">
        <f t="shared" ca="1" si="179"/>
        <v>Okay</v>
      </c>
      <c r="AR435" s="512">
        <f t="shared" si="180"/>
        <v>0</v>
      </c>
      <c r="AS435" s="511" t="str">
        <f>IF(OR(Measures!AM435="Row Not Used",Measures!C435="Controls Only",Measures!C435="Decommissioning"),"",_xlfn.CONCAT(P435," ",Q435))</f>
        <v/>
      </c>
      <c r="AT435" s="264" t="str">
        <f t="shared" si="181"/>
        <v>None</v>
      </c>
      <c r="AU435" s="229">
        <f>IF(OR(AM435="Row Not Used",AM435="Controls Only"),0,INDEX(IncentiveRateTable[Incentive Rate],MATCH(AT435,IncentiveRateTable[Incentive Name],0)))</f>
        <v>0</v>
      </c>
      <c r="AV435" s="133" t="str">
        <f>IF(OR(AM435="Row Not Used",AM435="Controls Only"),"None",INDEX(IncentiveRateTable[Incentive Unit],MATCH(AT435,IncentiveRateTable[Incentive Name],0)))</f>
        <v>None</v>
      </c>
      <c r="AW435" s="578">
        <f t="shared" si="192"/>
        <v>0</v>
      </c>
      <c r="AX435" s="264" t="str">
        <f t="shared" si="182"/>
        <v>None</v>
      </c>
      <c r="AY435" s="229">
        <f>IF(OR(AM435="Row Not Used",AM435="Fixtures Only",AM435="Decommissioning"),0,INDEX(IncentiveRateTable[Incentive Rate],MATCH(AX435,IncentiveRateTable[Incentive Name],0)))</f>
        <v>0</v>
      </c>
      <c r="AZ435" s="133" t="str">
        <f>IF(OR(AM435="Row Not Used",AM435="Fixtures Only",AM435="Decommissioning"),"None",INDEX(IncentiveRateTable[Incentive Unit],MATCH(AX435,IncentiveRateTable[Incentive Name],0)))</f>
        <v>None</v>
      </c>
      <c r="BA435" s="465">
        <f t="shared" si="183"/>
        <v>0</v>
      </c>
      <c r="BB435" s="264" t="e" cm="1">
        <f t="array" ref="BB435">INDEX(BallastFactorTable[Commercial BPA Reference Number],MATCH(1,(BallastFactorTable[Fixture Class]=J435)*(BallastFactorTable[Fixture Category]=K435)*(BallastFactorTable[Fixture Sub-category]=L435),0))</f>
        <v>#N/A</v>
      </c>
      <c r="BC435" s="133" t="e" cm="1">
        <f t="array" ref="BC435">INDEX(BallastFactorTable[Industrial BPA Reference Number],MATCH(1,(BallastFactorTable[Fixture Class]=J435)*(BallastFactorTable[Fixture Category]=K435)*(BallastFactorTable[Fixture Sub-category]=L435),0))</f>
        <v>#N/A</v>
      </c>
      <c r="BD435" s="264" t="str">
        <f t="shared" si="184"/>
        <v>Sector is blank</v>
      </c>
      <c r="BE435" s="269" t="str">
        <f>IF(ISBLANK(SectorField),"Sector is blank",IF(AM435="Row Not Used","",IF(OR(R435="No Controls",ISBLANK(R435)),"",INDEX(ControlsBPARefNoTable[Reference Number],MATCH(SectorField,ControlsBPARefNoTable[Sector],0)))))</f>
        <v>Sector is blank</v>
      </c>
      <c r="BF435" s="530" t="str">
        <f t="shared" si="185"/>
        <v/>
      </c>
      <c r="BG435" s="132" t="str">
        <f t="shared" si="186"/>
        <v/>
      </c>
      <c r="BH435" s="531" t="str">
        <f t="shared" si="187"/>
        <v/>
      </c>
      <c r="BI435" s="532"/>
      <c r="BJ435" s="538" t="str">
        <f t="shared" si="193"/>
        <v/>
      </c>
      <c r="BK435" s="539" t="str">
        <f t="shared" si="194"/>
        <v/>
      </c>
      <c r="BL435" s="547" t="str">
        <f t="shared" si="195"/>
        <v/>
      </c>
    </row>
    <row r="436" spans="1:64" x14ac:dyDescent="0.3">
      <c r="A436" s="133">
        <v>429</v>
      </c>
      <c r="B436" s="294"/>
      <c r="C436" s="313"/>
      <c r="D436" s="292"/>
      <c r="E436" s="284"/>
      <c r="F436" s="284"/>
      <c r="G436" s="295"/>
      <c r="H436" s="296"/>
      <c r="I436" s="297"/>
      <c r="J436" s="292"/>
      <c r="K436" s="284"/>
      <c r="L436" s="284"/>
      <c r="M436" s="295"/>
      <c r="N436" s="296"/>
      <c r="O436" s="296"/>
      <c r="P436" s="284"/>
      <c r="Q436" s="298"/>
      <c r="R436" s="292"/>
      <c r="S436" s="299"/>
      <c r="T436" s="300"/>
      <c r="U436" s="317" t="str">
        <f t="shared" si="169"/>
        <v/>
      </c>
      <c r="V436" s="301"/>
      <c r="W436" s="137" t="str">
        <f t="shared" si="170"/>
        <v/>
      </c>
      <c r="X436" s="589" t="str">
        <f t="shared" si="188"/>
        <v/>
      </c>
      <c r="Y436" s="581"/>
      <c r="Z436" s="251" t="str">
        <f t="shared" si="171"/>
        <v/>
      </c>
      <c r="AA436" s="138" t="str">
        <f t="shared" si="196"/>
        <v/>
      </c>
      <c r="AB436" s="243" t="str">
        <f t="shared" si="189"/>
        <v/>
      </c>
      <c r="AC436" s="141" t="str">
        <f t="shared" si="172"/>
        <v/>
      </c>
      <c r="AD436" s="138" t="str">
        <f t="shared" si="190"/>
        <v/>
      </c>
      <c r="AE436" s="243" t="str">
        <f t="shared" si="173"/>
        <v/>
      </c>
      <c r="AF436" s="342" t="str">
        <f>IF(AM436="Row Not Used","",INDEX(SpaceTable[Annual Hours],(MATCH(B436,SpaceTable[Space Name Concatenated Helper],0))))</f>
        <v/>
      </c>
      <c r="AG436" s="205" t="str">
        <f t="shared" si="174"/>
        <v/>
      </c>
      <c r="AH436" s="234" t="str">
        <f t="shared" si="175"/>
        <v/>
      </c>
      <c r="AI436" s="205" t="str">
        <f t="shared" si="176"/>
        <v/>
      </c>
      <c r="AJ436" s="234" t="str">
        <f t="shared" si="177"/>
        <v/>
      </c>
      <c r="AK436" s="144" t="str">
        <f>IF(AM436="Row Not Used","",INDEX(SpaceTable[Row],(MATCH(B436,SpaceTable[Space Name Concatenated Helper],0))))</f>
        <v/>
      </c>
      <c r="AL436" s="238" t="str">
        <f>IF(AM436="Row Not Used","",INDEX(SpaceTable[HVAC Factor],(MATCH(B436,SpaceTable[Space Name Concatenated Helper],0))))</f>
        <v/>
      </c>
      <c r="AM436" s="520" t="str">
        <f t="shared" si="178"/>
        <v>Row Not Used</v>
      </c>
      <c r="AN436" s="512" t="e" cm="1">
        <f t="array" ref="AN436">INDEX(BallastFactorTable[Ballast Factor],MATCH(1,(BallastFactorTable[Fixture Class]=D436)*(BallastFactorTable[Fixture Category]=E436)*(BallastFactorTable[Fixture Sub-category]=F436),0))</f>
        <v>#N/A</v>
      </c>
      <c r="AO436" s="143" t="str">
        <f t="shared" si="191"/>
        <v/>
      </c>
      <c r="AP436" s="501" t="e" cm="1">
        <f t="array" ref="AP436">INDEX(BallastFactorTable[Wattage Range Name],MATCH(1,(BallastFactorTable[Fixture Class]=D436)*(BallastFactorTable[Fixture Category]=E436)*(BallastFactorTable[Fixture Sub-category]=F436),0))</f>
        <v>#N/A</v>
      </c>
      <c r="AQ436" s="515" t="str">
        <f t="shared" ca="1" si="179"/>
        <v>Okay</v>
      </c>
      <c r="AR436" s="512">
        <f t="shared" si="180"/>
        <v>0</v>
      </c>
      <c r="AS436" s="511" t="str">
        <f>IF(OR(Measures!AM436="Row Not Used",Measures!C436="Controls Only",Measures!C436="Decommissioning"),"",_xlfn.CONCAT(P436," ",Q436))</f>
        <v/>
      </c>
      <c r="AT436" s="264" t="str">
        <f t="shared" si="181"/>
        <v>None</v>
      </c>
      <c r="AU436" s="229">
        <f>IF(OR(AM436="Row Not Used",AM436="Controls Only"),0,INDEX(IncentiveRateTable[Incentive Rate],MATCH(AT436,IncentiveRateTable[Incentive Name],0)))</f>
        <v>0</v>
      </c>
      <c r="AV436" s="133" t="str">
        <f>IF(OR(AM436="Row Not Used",AM436="Controls Only"),"None",INDEX(IncentiveRateTable[Incentive Unit],MATCH(AT436,IncentiveRateTable[Incentive Name],0)))</f>
        <v>None</v>
      </c>
      <c r="AW436" s="578">
        <f t="shared" si="192"/>
        <v>0</v>
      </c>
      <c r="AX436" s="264" t="str">
        <f t="shared" si="182"/>
        <v>None</v>
      </c>
      <c r="AY436" s="229">
        <f>IF(OR(AM436="Row Not Used",AM436="Fixtures Only",AM436="Decommissioning"),0,INDEX(IncentiveRateTable[Incentive Rate],MATCH(AX436,IncentiveRateTable[Incentive Name],0)))</f>
        <v>0</v>
      </c>
      <c r="AZ436" s="133" t="str">
        <f>IF(OR(AM436="Row Not Used",AM436="Fixtures Only",AM436="Decommissioning"),"None",INDEX(IncentiveRateTable[Incentive Unit],MATCH(AX436,IncentiveRateTable[Incentive Name],0)))</f>
        <v>None</v>
      </c>
      <c r="BA436" s="465">
        <f t="shared" si="183"/>
        <v>0</v>
      </c>
      <c r="BB436" s="264" t="e" cm="1">
        <f t="array" ref="BB436">INDEX(BallastFactorTable[Commercial BPA Reference Number],MATCH(1,(BallastFactorTable[Fixture Class]=J436)*(BallastFactorTable[Fixture Category]=K436)*(BallastFactorTable[Fixture Sub-category]=L436),0))</f>
        <v>#N/A</v>
      </c>
      <c r="BC436" s="133" t="e" cm="1">
        <f t="array" ref="BC436">INDEX(BallastFactorTable[Industrial BPA Reference Number],MATCH(1,(BallastFactorTable[Fixture Class]=J436)*(BallastFactorTable[Fixture Category]=K436)*(BallastFactorTable[Fixture Sub-category]=L436),0))</f>
        <v>#N/A</v>
      </c>
      <c r="BD436" s="264" t="str">
        <f t="shared" si="184"/>
        <v>Sector is blank</v>
      </c>
      <c r="BE436" s="269" t="str">
        <f>IF(ISBLANK(SectorField),"Sector is blank",IF(AM436="Row Not Used","",IF(OR(R436="No Controls",ISBLANK(R436)),"",INDEX(ControlsBPARefNoTable[Reference Number],MATCH(SectorField,ControlsBPARefNoTable[Sector],0)))))</f>
        <v>Sector is blank</v>
      </c>
      <c r="BF436" s="530" t="str">
        <f t="shared" si="185"/>
        <v/>
      </c>
      <c r="BG436" s="132" t="str">
        <f t="shared" si="186"/>
        <v/>
      </c>
      <c r="BH436" s="531" t="str">
        <f t="shared" si="187"/>
        <v/>
      </c>
      <c r="BI436" s="532"/>
      <c r="BJ436" s="538" t="str">
        <f t="shared" si="193"/>
        <v/>
      </c>
      <c r="BK436" s="539" t="str">
        <f t="shared" si="194"/>
        <v/>
      </c>
      <c r="BL436" s="547" t="str">
        <f t="shared" si="195"/>
        <v/>
      </c>
    </row>
    <row r="437" spans="1:64" x14ac:dyDescent="0.3">
      <c r="A437" s="133">
        <v>430</v>
      </c>
      <c r="B437" s="294"/>
      <c r="C437" s="313"/>
      <c r="D437" s="292"/>
      <c r="E437" s="284"/>
      <c r="F437" s="284"/>
      <c r="G437" s="295"/>
      <c r="H437" s="296"/>
      <c r="I437" s="297"/>
      <c r="J437" s="292"/>
      <c r="K437" s="284"/>
      <c r="L437" s="284"/>
      <c r="M437" s="295"/>
      <c r="N437" s="296"/>
      <c r="O437" s="296"/>
      <c r="P437" s="284"/>
      <c r="Q437" s="298"/>
      <c r="R437" s="292"/>
      <c r="S437" s="299"/>
      <c r="T437" s="300"/>
      <c r="U437" s="317" t="str">
        <f t="shared" si="169"/>
        <v/>
      </c>
      <c r="V437" s="301"/>
      <c r="W437" s="136" t="str">
        <f t="shared" si="170"/>
        <v/>
      </c>
      <c r="X437" s="588" t="str">
        <f t="shared" si="188"/>
        <v/>
      </c>
      <c r="Y437" s="580"/>
      <c r="Z437" s="251" t="str">
        <f t="shared" si="171"/>
        <v/>
      </c>
      <c r="AA437" s="138" t="str">
        <f t="shared" si="196"/>
        <v/>
      </c>
      <c r="AB437" s="243" t="str">
        <f t="shared" si="189"/>
        <v/>
      </c>
      <c r="AC437" s="141" t="str">
        <f t="shared" si="172"/>
        <v/>
      </c>
      <c r="AD437" s="138" t="str">
        <f t="shared" si="190"/>
        <v/>
      </c>
      <c r="AE437" s="243" t="str">
        <f t="shared" si="173"/>
        <v/>
      </c>
      <c r="AF437" s="342" t="str">
        <f>IF(AM437="Row Not Used","",INDEX(SpaceTable[Annual Hours],(MATCH(B437,SpaceTable[Space Name Concatenated Helper],0))))</f>
        <v/>
      </c>
      <c r="AG437" s="205" t="str">
        <f t="shared" si="174"/>
        <v/>
      </c>
      <c r="AH437" s="234" t="str">
        <f t="shared" si="175"/>
        <v/>
      </c>
      <c r="AI437" s="205" t="str">
        <f t="shared" si="176"/>
        <v/>
      </c>
      <c r="AJ437" s="234" t="str">
        <f t="shared" si="177"/>
        <v/>
      </c>
      <c r="AK437" s="144" t="str">
        <f>IF(AM437="Row Not Used","",INDEX(SpaceTable[Row],(MATCH(B437,SpaceTable[Space Name Concatenated Helper],0))))</f>
        <v/>
      </c>
      <c r="AL437" s="238" t="str">
        <f>IF(AM437="Row Not Used","",INDEX(SpaceTable[HVAC Factor],(MATCH(B437,SpaceTable[Space Name Concatenated Helper],0))))</f>
        <v/>
      </c>
      <c r="AM437" s="520" t="str">
        <f t="shared" si="178"/>
        <v>Row Not Used</v>
      </c>
      <c r="AN437" s="512" t="e" cm="1">
        <f t="array" ref="AN437">INDEX(BallastFactorTable[Ballast Factor],MATCH(1,(BallastFactorTable[Fixture Class]=D437)*(BallastFactorTable[Fixture Category]=E437)*(BallastFactorTable[Fixture Sub-category]=F437),0))</f>
        <v>#N/A</v>
      </c>
      <c r="AO437" s="143" t="str">
        <f t="shared" si="191"/>
        <v/>
      </c>
      <c r="AP437" s="501" t="e" cm="1">
        <f t="array" ref="AP437">INDEX(BallastFactorTable[Wattage Range Name],MATCH(1,(BallastFactorTable[Fixture Class]=D437)*(BallastFactorTable[Fixture Category]=E437)*(BallastFactorTable[Fixture Sub-category]=F437),0))</f>
        <v>#N/A</v>
      </c>
      <c r="AQ437" s="515" t="str">
        <f t="shared" ca="1" si="179"/>
        <v>Okay</v>
      </c>
      <c r="AR437" s="512">
        <f t="shared" si="180"/>
        <v>0</v>
      </c>
      <c r="AS437" s="511" t="str">
        <f>IF(OR(Measures!AM437="Row Not Used",Measures!C437="Controls Only",Measures!C437="Decommissioning"),"",_xlfn.CONCAT(P437," ",Q437))</f>
        <v/>
      </c>
      <c r="AT437" s="264" t="str">
        <f t="shared" si="181"/>
        <v>None</v>
      </c>
      <c r="AU437" s="229">
        <f>IF(OR(AM437="Row Not Used",AM437="Controls Only"),0,INDEX(IncentiveRateTable[Incentive Rate],MATCH(AT437,IncentiveRateTable[Incentive Name],0)))</f>
        <v>0</v>
      </c>
      <c r="AV437" s="133" t="str">
        <f>IF(OR(AM437="Row Not Used",AM437="Controls Only"),"None",INDEX(IncentiveRateTable[Incentive Unit],MATCH(AT437,IncentiveRateTable[Incentive Name],0)))</f>
        <v>None</v>
      </c>
      <c r="AW437" s="578">
        <f t="shared" si="192"/>
        <v>0</v>
      </c>
      <c r="AX437" s="264" t="str">
        <f t="shared" si="182"/>
        <v>None</v>
      </c>
      <c r="AY437" s="229">
        <f>IF(OR(AM437="Row Not Used",AM437="Fixtures Only",AM437="Decommissioning"),0,INDEX(IncentiveRateTable[Incentive Rate],MATCH(AX437,IncentiveRateTable[Incentive Name],0)))</f>
        <v>0</v>
      </c>
      <c r="AZ437" s="133" t="str">
        <f>IF(OR(AM437="Row Not Used",AM437="Fixtures Only",AM437="Decommissioning"),"None",INDEX(IncentiveRateTable[Incentive Unit],MATCH(AX437,IncentiveRateTable[Incentive Name],0)))</f>
        <v>None</v>
      </c>
      <c r="BA437" s="465">
        <f t="shared" si="183"/>
        <v>0</v>
      </c>
      <c r="BB437" s="264" t="e" cm="1">
        <f t="array" ref="BB437">INDEX(BallastFactorTable[Commercial BPA Reference Number],MATCH(1,(BallastFactorTable[Fixture Class]=J437)*(BallastFactorTable[Fixture Category]=K437)*(BallastFactorTable[Fixture Sub-category]=L437),0))</f>
        <v>#N/A</v>
      </c>
      <c r="BC437" s="133" t="e" cm="1">
        <f t="array" ref="BC437">INDEX(BallastFactorTable[Industrial BPA Reference Number],MATCH(1,(BallastFactorTable[Fixture Class]=J437)*(BallastFactorTable[Fixture Category]=K437)*(BallastFactorTable[Fixture Sub-category]=L437),0))</f>
        <v>#N/A</v>
      </c>
      <c r="BD437" s="264" t="str">
        <f t="shared" si="184"/>
        <v>Sector is blank</v>
      </c>
      <c r="BE437" s="269" t="str">
        <f>IF(ISBLANK(SectorField),"Sector is blank",IF(AM437="Row Not Used","",IF(OR(R437="No Controls",ISBLANK(R437)),"",INDEX(ControlsBPARefNoTable[Reference Number],MATCH(SectorField,ControlsBPARefNoTable[Sector],0)))))</f>
        <v>Sector is blank</v>
      </c>
      <c r="BF437" s="530" t="str">
        <f t="shared" si="185"/>
        <v/>
      </c>
      <c r="BG437" s="132" t="str">
        <f t="shared" si="186"/>
        <v/>
      </c>
      <c r="BH437" s="531" t="str">
        <f t="shared" si="187"/>
        <v/>
      </c>
      <c r="BI437" s="532"/>
      <c r="BJ437" s="538" t="str">
        <f t="shared" si="193"/>
        <v/>
      </c>
      <c r="BK437" s="539" t="str">
        <f t="shared" si="194"/>
        <v/>
      </c>
      <c r="BL437" s="547" t="str">
        <f t="shared" si="195"/>
        <v/>
      </c>
    </row>
    <row r="438" spans="1:64" x14ac:dyDescent="0.3">
      <c r="A438" s="133">
        <v>431</v>
      </c>
      <c r="B438" s="294"/>
      <c r="C438" s="313"/>
      <c r="D438" s="292"/>
      <c r="E438" s="284"/>
      <c r="F438" s="284"/>
      <c r="G438" s="295"/>
      <c r="H438" s="296"/>
      <c r="I438" s="297"/>
      <c r="J438" s="292"/>
      <c r="K438" s="284"/>
      <c r="L438" s="284"/>
      <c r="M438" s="295"/>
      <c r="N438" s="296"/>
      <c r="O438" s="296"/>
      <c r="P438" s="284"/>
      <c r="Q438" s="298"/>
      <c r="R438" s="292"/>
      <c r="S438" s="299"/>
      <c r="T438" s="300"/>
      <c r="U438" s="317" t="str">
        <f t="shared" si="169"/>
        <v/>
      </c>
      <c r="V438" s="301"/>
      <c r="W438" s="137" t="str">
        <f t="shared" si="170"/>
        <v/>
      </c>
      <c r="X438" s="589" t="str">
        <f t="shared" si="188"/>
        <v/>
      </c>
      <c r="Y438" s="581"/>
      <c r="Z438" s="251" t="str">
        <f t="shared" si="171"/>
        <v/>
      </c>
      <c r="AA438" s="138" t="str">
        <f t="shared" si="196"/>
        <v/>
      </c>
      <c r="AB438" s="243" t="str">
        <f t="shared" si="189"/>
        <v/>
      </c>
      <c r="AC438" s="141" t="str">
        <f t="shared" si="172"/>
        <v/>
      </c>
      <c r="AD438" s="138" t="str">
        <f t="shared" si="190"/>
        <v/>
      </c>
      <c r="AE438" s="243" t="str">
        <f t="shared" si="173"/>
        <v/>
      </c>
      <c r="AF438" s="342" t="str">
        <f>IF(AM438="Row Not Used","",INDEX(SpaceTable[Annual Hours],(MATCH(B438,SpaceTable[Space Name Concatenated Helper],0))))</f>
        <v/>
      </c>
      <c r="AG438" s="205" t="str">
        <f t="shared" si="174"/>
        <v/>
      </c>
      <c r="AH438" s="234" t="str">
        <f t="shared" si="175"/>
        <v/>
      </c>
      <c r="AI438" s="205" t="str">
        <f t="shared" si="176"/>
        <v/>
      </c>
      <c r="AJ438" s="234" t="str">
        <f t="shared" si="177"/>
        <v/>
      </c>
      <c r="AK438" s="144" t="str">
        <f>IF(AM438="Row Not Used","",INDEX(SpaceTable[Row],(MATCH(B438,SpaceTable[Space Name Concatenated Helper],0))))</f>
        <v/>
      </c>
      <c r="AL438" s="238" t="str">
        <f>IF(AM438="Row Not Used","",INDEX(SpaceTable[HVAC Factor],(MATCH(B438,SpaceTable[Space Name Concatenated Helper],0))))</f>
        <v/>
      </c>
      <c r="AM438" s="520" t="str">
        <f t="shared" si="178"/>
        <v>Row Not Used</v>
      </c>
      <c r="AN438" s="512" t="e" cm="1">
        <f t="array" ref="AN438">INDEX(BallastFactorTable[Ballast Factor],MATCH(1,(BallastFactorTable[Fixture Class]=D438)*(BallastFactorTable[Fixture Category]=E438)*(BallastFactorTable[Fixture Sub-category]=F438),0))</f>
        <v>#N/A</v>
      </c>
      <c r="AO438" s="143" t="str">
        <f t="shared" si="191"/>
        <v/>
      </c>
      <c r="AP438" s="501" t="e" cm="1">
        <f t="array" ref="AP438">INDEX(BallastFactorTable[Wattage Range Name],MATCH(1,(BallastFactorTable[Fixture Class]=D438)*(BallastFactorTable[Fixture Category]=E438)*(BallastFactorTable[Fixture Sub-category]=F438),0))</f>
        <v>#N/A</v>
      </c>
      <c r="AQ438" s="515" t="str">
        <f t="shared" ca="1" si="179"/>
        <v>Okay</v>
      </c>
      <c r="AR438" s="512">
        <f t="shared" si="180"/>
        <v>0</v>
      </c>
      <c r="AS438" s="511" t="str">
        <f>IF(OR(Measures!AM438="Row Not Used",Measures!C438="Controls Only",Measures!C438="Decommissioning"),"",_xlfn.CONCAT(P438," ",Q438))</f>
        <v/>
      </c>
      <c r="AT438" s="264" t="str">
        <f t="shared" si="181"/>
        <v>None</v>
      </c>
      <c r="AU438" s="229">
        <f>IF(OR(AM438="Row Not Used",AM438="Controls Only"),0,INDEX(IncentiveRateTable[Incentive Rate],MATCH(AT438,IncentiveRateTable[Incentive Name],0)))</f>
        <v>0</v>
      </c>
      <c r="AV438" s="133" t="str">
        <f>IF(OR(AM438="Row Not Used",AM438="Controls Only"),"None",INDEX(IncentiveRateTable[Incentive Unit],MATCH(AT438,IncentiveRateTable[Incentive Name],0)))</f>
        <v>None</v>
      </c>
      <c r="AW438" s="578">
        <f t="shared" si="192"/>
        <v>0</v>
      </c>
      <c r="AX438" s="264" t="str">
        <f t="shared" si="182"/>
        <v>None</v>
      </c>
      <c r="AY438" s="229">
        <f>IF(OR(AM438="Row Not Used",AM438="Fixtures Only",AM438="Decommissioning"),0,INDEX(IncentiveRateTable[Incentive Rate],MATCH(AX438,IncentiveRateTable[Incentive Name],0)))</f>
        <v>0</v>
      </c>
      <c r="AZ438" s="133" t="str">
        <f>IF(OR(AM438="Row Not Used",AM438="Fixtures Only",AM438="Decommissioning"),"None",INDEX(IncentiveRateTable[Incentive Unit],MATCH(AX438,IncentiveRateTable[Incentive Name],0)))</f>
        <v>None</v>
      </c>
      <c r="BA438" s="465">
        <f t="shared" si="183"/>
        <v>0</v>
      </c>
      <c r="BB438" s="264" t="e" cm="1">
        <f t="array" ref="BB438">INDEX(BallastFactorTable[Commercial BPA Reference Number],MATCH(1,(BallastFactorTable[Fixture Class]=J438)*(BallastFactorTable[Fixture Category]=K438)*(BallastFactorTable[Fixture Sub-category]=L438),0))</f>
        <v>#N/A</v>
      </c>
      <c r="BC438" s="133" t="e" cm="1">
        <f t="array" ref="BC438">INDEX(BallastFactorTable[Industrial BPA Reference Number],MATCH(1,(BallastFactorTable[Fixture Class]=J438)*(BallastFactorTable[Fixture Category]=K438)*(BallastFactorTable[Fixture Sub-category]=L438),0))</f>
        <v>#N/A</v>
      </c>
      <c r="BD438" s="264" t="str">
        <f t="shared" si="184"/>
        <v>Sector is blank</v>
      </c>
      <c r="BE438" s="269" t="str">
        <f>IF(ISBLANK(SectorField),"Sector is blank",IF(AM438="Row Not Used","",IF(OR(R438="No Controls",ISBLANK(R438)),"",INDEX(ControlsBPARefNoTable[Reference Number],MATCH(SectorField,ControlsBPARefNoTable[Sector],0)))))</f>
        <v>Sector is blank</v>
      </c>
      <c r="BF438" s="530" t="str">
        <f t="shared" si="185"/>
        <v/>
      </c>
      <c r="BG438" s="132" t="str">
        <f t="shared" si="186"/>
        <v/>
      </c>
      <c r="BH438" s="531" t="str">
        <f t="shared" si="187"/>
        <v/>
      </c>
      <c r="BI438" s="532"/>
      <c r="BJ438" s="538" t="str">
        <f t="shared" si="193"/>
        <v/>
      </c>
      <c r="BK438" s="539" t="str">
        <f t="shared" si="194"/>
        <v/>
      </c>
      <c r="BL438" s="547" t="str">
        <f t="shared" si="195"/>
        <v/>
      </c>
    </row>
    <row r="439" spans="1:64" x14ac:dyDescent="0.3">
      <c r="A439" s="133">
        <v>432</v>
      </c>
      <c r="B439" s="294"/>
      <c r="C439" s="313"/>
      <c r="D439" s="292"/>
      <c r="E439" s="284"/>
      <c r="F439" s="284"/>
      <c r="G439" s="295"/>
      <c r="H439" s="296"/>
      <c r="I439" s="297"/>
      <c r="J439" s="292"/>
      <c r="K439" s="284"/>
      <c r="L439" s="284"/>
      <c r="M439" s="295"/>
      <c r="N439" s="296"/>
      <c r="O439" s="296"/>
      <c r="P439" s="284"/>
      <c r="Q439" s="298"/>
      <c r="R439" s="292"/>
      <c r="S439" s="299"/>
      <c r="T439" s="300"/>
      <c r="U439" s="317" t="str">
        <f t="shared" si="169"/>
        <v/>
      </c>
      <c r="V439" s="301"/>
      <c r="W439" s="136" t="str">
        <f t="shared" si="170"/>
        <v/>
      </c>
      <c r="X439" s="588" t="str">
        <f t="shared" si="188"/>
        <v/>
      </c>
      <c r="Y439" s="580"/>
      <c r="Z439" s="251" t="str">
        <f t="shared" si="171"/>
        <v/>
      </c>
      <c r="AA439" s="138" t="str">
        <f t="shared" si="196"/>
        <v/>
      </c>
      <c r="AB439" s="243" t="str">
        <f t="shared" si="189"/>
        <v/>
      </c>
      <c r="AC439" s="141" t="str">
        <f t="shared" si="172"/>
        <v/>
      </c>
      <c r="AD439" s="138" t="str">
        <f t="shared" si="190"/>
        <v/>
      </c>
      <c r="AE439" s="243" t="str">
        <f t="shared" si="173"/>
        <v/>
      </c>
      <c r="AF439" s="342" t="str">
        <f>IF(AM439="Row Not Used","",INDEX(SpaceTable[Annual Hours],(MATCH(B439,SpaceTable[Space Name Concatenated Helper],0))))</f>
        <v/>
      </c>
      <c r="AG439" s="205" t="str">
        <f t="shared" si="174"/>
        <v/>
      </c>
      <c r="AH439" s="234" t="str">
        <f t="shared" si="175"/>
        <v/>
      </c>
      <c r="AI439" s="205" t="str">
        <f t="shared" si="176"/>
        <v/>
      </c>
      <c r="AJ439" s="234" t="str">
        <f t="shared" si="177"/>
        <v/>
      </c>
      <c r="AK439" s="144" t="str">
        <f>IF(AM439="Row Not Used","",INDEX(SpaceTable[Row],(MATCH(B439,SpaceTable[Space Name Concatenated Helper],0))))</f>
        <v/>
      </c>
      <c r="AL439" s="238" t="str">
        <f>IF(AM439="Row Not Used","",INDEX(SpaceTable[HVAC Factor],(MATCH(B439,SpaceTable[Space Name Concatenated Helper],0))))</f>
        <v/>
      </c>
      <c r="AM439" s="520" t="str">
        <f t="shared" si="178"/>
        <v>Row Not Used</v>
      </c>
      <c r="AN439" s="512" t="e" cm="1">
        <f t="array" ref="AN439">INDEX(BallastFactorTable[Ballast Factor],MATCH(1,(BallastFactorTable[Fixture Class]=D439)*(BallastFactorTable[Fixture Category]=E439)*(BallastFactorTable[Fixture Sub-category]=F439),0))</f>
        <v>#N/A</v>
      </c>
      <c r="AO439" s="143" t="str">
        <f t="shared" si="191"/>
        <v/>
      </c>
      <c r="AP439" s="501" t="e" cm="1">
        <f t="array" ref="AP439">INDEX(BallastFactorTable[Wattage Range Name],MATCH(1,(BallastFactorTable[Fixture Class]=D439)*(BallastFactorTable[Fixture Category]=E439)*(BallastFactorTable[Fixture Sub-category]=F439),0))</f>
        <v>#N/A</v>
      </c>
      <c r="AQ439" s="515" t="str">
        <f t="shared" ca="1" si="179"/>
        <v>Okay</v>
      </c>
      <c r="AR439" s="512">
        <f t="shared" si="180"/>
        <v>0</v>
      </c>
      <c r="AS439" s="511" t="str">
        <f>IF(OR(Measures!AM439="Row Not Used",Measures!C439="Controls Only",Measures!C439="Decommissioning"),"",_xlfn.CONCAT(P439," ",Q439))</f>
        <v/>
      </c>
      <c r="AT439" s="264" t="str">
        <f t="shared" si="181"/>
        <v>None</v>
      </c>
      <c r="AU439" s="229">
        <f>IF(OR(AM439="Row Not Used",AM439="Controls Only"),0,INDEX(IncentiveRateTable[Incentive Rate],MATCH(AT439,IncentiveRateTable[Incentive Name],0)))</f>
        <v>0</v>
      </c>
      <c r="AV439" s="133" t="str">
        <f>IF(OR(AM439="Row Not Used",AM439="Controls Only"),"None",INDEX(IncentiveRateTable[Incentive Unit],MATCH(AT439,IncentiveRateTable[Incentive Name],0)))</f>
        <v>None</v>
      </c>
      <c r="AW439" s="578">
        <f t="shared" si="192"/>
        <v>0</v>
      </c>
      <c r="AX439" s="264" t="str">
        <f t="shared" si="182"/>
        <v>None</v>
      </c>
      <c r="AY439" s="229">
        <f>IF(OR(AM439="Row Not Used",AM439="Fixtures Only",AM439="Decommissioning"),0,INDEX(IncentiveRateTable[Incentive Rate],MATCH(AX439,IncentiveRateTable[Incentive Name],0)))</f>
        <v>0</v>
      </c>
      <c r="AZ439" s="133" t="str">
        <f>IF(OR(AM439="Row Not Used",AM439="Fixtures Only",AM439="Decommissioning"),"None",INDEX(IncentiveRateTable[Incentive Unit],MATCH(AX439,IncentiveRateTable[Incentive Name],0)))</f>
        <v>None</v>
      </c>
      <c r="BA439" s="465">
        <f t="shared" si="183"/>
        <v>0</v>
      </c>
      <c r="BB439" s="264" t="e" cm="1">
        <f t="array" ref="BB439">INDEX(BallastFactorTable[Commercial BPA Reference Number],MATCH(1,(BallastFactorTable[Fixture Class]=J439)*(BallastFactorTable[Fixture Category]=K439)*(BallastFactorTable[Fixture Sub-category]=L439),0))</f>
        <v>#N/A</v>
      </c>
      <c r="BC439" s="133" t="e" cm="1">
        <f t="array" ref="BC439">INDEX(BallastFactorTable[Industrial BPA Reference Number],MATCH(1,(BallastFactorTable[Fixture Class]=J439)*(BallastFactorTable[Fixture Category]=K439)*(BallastFactorTable[Fixture Sub-category]=L439),0))</f>
        <v>#N/A</v>
      </c>
      <c r="BD439" s="264" t="str">
        <f t="shared" si="184"/>
        <v>Sector is blank</v>
      </c>
      <c r="BE439" s="269" t="str">
        <f>IF(ISBLANK(SectorField),"Sector is blank",IF(AM439="Row Not Used","",IF(OR(R439="No Controls",ISBLANK(R439)),"",INDEX(ControlsBPARefNoTable[Reference Number],MATCH(SectorField,ControlsBPARefNoTable[Sector],0)))))</f>
        <v>Sector is blank</v>
      </c>
      <c r="BF439" s="530" t="str">
        <f t="shared" si="185"/>
        <v/>
      </c>
      <c r="BG439" s="132" t="str">
        <f t="shared" si="186"/>
        <v/>
      </c>
      <c r="BH439" s="531" t="str">
        <f t="shared" si="187"/>
        <v/>
      </c>
      <c r="BI439" s="532"/>
      <c r="BJ439" s="538" t="str">
        <f t="shared" si="193"/>
        <v/>
      </c>
      <c r="BK439" s="539" t="str">
        <f t="shared" si="194"/>
        <v/>
      </c>
      <c r="BL439" s="547" t="str">
        <f t="shared" si="195"/>
        <v/>
      </c>
    </row>
    <row r="440" spans="1:64" x14ac:dyDescent="0.3">
      <c r="A440" s="133">
        <v>433</v>
      </c>
      <c r="B440" s="294"/>
      <c r="C440" s="313"/>
      <c r="D440" s="292"/>
      <c r="E440" s="284"/>
      <c r="F440" s="284"/>
      <c r="G440" s="295"/>
      <c r="H440" s="296"/>
      <c r="I440" s="297"/>
      <c r="J440" s="292"/>
      <c r="K440" s="284"/>
      <c r="L440" s="284"/>
      <c r="M440" s="295"/>
      <c r="N440" s="296"/>
      <c r="O440" s="296"/>
      <c r="P440" s="284"/>
      <c r="Q440" s="298"/>
      <c r="R440" s="292"/>
      <c r="S440" s="299"/>
      <c r="T440" s="300"/>
      <c r="U440" s="317" t="str">
        <f t="shared" si="169"/>
        <v/>
      </c>
      <c r="V440" s="301"/>
      <c r="W440" s="137" t="str">
        <f t="shared" si="170"/>
        <v/>
      </c>
      <c r="X440" s="589" t="str">
        <f t="shared" si="188"/>
        <v/>
      </c>
      <c r="Y440" s="581"/>
      <c r="Z440" s="251" t="str">
        <f t="shared" si="171"/>
        <v/>
      </c>
      <c r="AA440" s="138" t="str">
        <f t="shared" si="196"/>
        <v/>
      </c>
      <c r="AB440" s="243" t="str">
        <f t="shared" si="189"/>
        <v/>
      </c>
      <c r="AC440" s="141" t="str">
        <f t="shared" si="172"/>
        <v/>
      </c>
      <c r="AD440" s="138" t="str">
        <f t="shared" si="190"/>
        <v/>
      </c>
      <c r="AE440" s="243" t="str">
        <f t="shared" si="173"/>
        <v/>
      </c>
      <c r="AF440" s="342" t="str">
        <f>IF(AM440="Row Not Used","",INDEX(SpaceTable[Annual Hours],(MATCH(B440,SpaceTable[Space Name Concatenated Helper],0))))</f>
        <v/>
      </c>
      <c r="AG440" s="205" t="str">
        <f t="shared" si="174"/>
        <v/>
      </c>
      <c r="AH440" s="234" t="str">
        <f t="shared" si="175"/>
        <v/>
      </c>
      <c r="AI440" s="205" t="str">
        <f t="shared" si="176"/>
        <v/>
      </c>
      <c r="AJ440" s="234" t="str">
        <f t="shared" si="177"/>
        <v/>
      </c>
      <c r="AK440" s="144" t="str">
        <f>IF(AM440="Row Not Used","",INDEX(SpaceTable[Row],(MATCH(B440,SpaceTable[Space Name Concatenated Helper],0))))</f>
        <v/>
      </c>
      <c r="AL440" s="238" t="str">
        <f>IF(AM440="Row Not Used","",INDEX(SpaceTable[HVAC Factor],(MATCH(B440,SpaceTable[Space Name Concatenated Helper],0))))</f>
        <v/>
      </c>
      <c r="AM440" s="520" t="str">
        <f t="shared" si="178"/>
        <v>Row Not Used</v>
      </c>
      <c r="AN440" s="512" t="e" cm="1">
        <f t="array" ref="AN440">INDEX(BallastFactorTable[Ballast Factor],MATCH(1,(BallastFactorTable[Fixture Class]=D440)*(BallastFactorTable[Fixture Category]=E440)*(BallastFactorTable[Fixture Sub-category]=F440),0))</f>
        <v>#N/A</v>
      </c>
      <c r="AO440" s="143" t="str">
        <f t="shared" si="191"/>
        <v/>
      </c>
      <c r="AP440" s="501" t="e" cm="1">
        <f t="array" ref="AP440">INDEX(BallastFactorTable[Wattage Range Name],MATCH(1,(BallastFactorTable[Fixture Class]=D440)*(BallastFactorTable[Fixture Category]=E440)*(BallastFactorTable[Fixture Sub-category]=F440),0))</f>
        <v>#N/A</v>
      </c>
      <c r="AQ440" s="515" t="str">
        <f t="shared" ca="1" si="179"/>
        <v>Okay</v>
      </c>
      <c r="AR440" s="512">
        <f t="shared" si="180"/>
        <v>0</v>
      </c>
      <c r="AS440" s="511" t="str">
        <f>IF(OR(Measures!AM440="Row Not Used",Measures!C440="Controls Only",Measures!C440="Decommissioning"),"",_xlfn.CONCAT(P440," ",Q440))</f>
        <v/>
      </c>
      <c r="AT440" s="264" t="str">
        <f t="shared" si="181"/>
        <v>None</v>
      </c>
      <c r="AU440" s="229">
        <f>IF(OR(AM440="Row Not Used",AM440="Controls Only"),0,INDEX(IncentiveRateTable[Incentive Rate],MATCH(AT440,IncentiveRateTable[Incentive Name],0)))</f>
        <v>0</v>
      </c>
      <c r="AV440" s="133" t="str">
        <f>IF(OR(AM440="Row Not Used",AM440="Controls Only"),"None",INDEX(IncentiveRateTable[Incentive Unit],MATCH(AT440,IncentiveRateTable[Incentive Name],0)))</f>
        <v>None</v>
      </c>
      <c r="AW440" s="578">
        <f t="shared" si="192"/>
        <v>0</v>
      </c>
      <c r="AX440" s="264" t="str">
        <f t="shared" si="182"/>
        <v>None</v>
      </c>
      <c r="AY440" s="229">
        <f>IF(OR(AM440="Row Not Used",AM440="Fixtures Only",AM440="Decommissioning"),0,INDEX(IncentiveRateTable[Incentive Rate],MATCH(AX440,IncentiveRateTable[Incentive Name],0)))</f>
        <v>0</v>
      </c>
      <c r="AZ440" s="133" t="str">
        <f>IF(OR(AM440="Row Not Used",AM440="Fixtures Only",AM440="Decommissioning"),"None",INDEX(IncentiveRateTable[Incentive Unit],MATCH(AX440,IncentiveRateTable[Incentive Name],0)))</f>
        <v>None</v>
      </c>
      <c r="BA440" s="465">
        <f t="shared" si="183"/>
        <v>0</v>
      </c>
      <c r="BB440" s="264" t="e" cm="1">
        <f t="array" ref="BB440">INDEX(BallastFactorTable[Commercial BPA Reference Number],MATCH(1,(BallastFactorTable[Fixture Class]=J440)*(BallastFactorTable[Fixture Category]=K440)*(BallastFactorTable[Fixture Sub-category]=L440),0))</f>
        <v>#N/A</v>
      </c>
      <c r="BC440" s="133" t="e" cm="1">
        <f t="array" ref="BC440">INDEX(BallastFactorTable[Industrial BPA Reference Number],MATCH(1,(BallastFactorTable[Fixture Class]=J440)*(BallastFactorTable[Fixture Category]=K440)*(BallastFactorTable[Fixture Sub-category]=L440),0))</f>
        <v>#N/A</v>
      </c>
      <c r="BD440" s="264" t="str">
        <f t="shared" si="184"/>
        <v>Sector is blank</v>
      </c>
      <c r="BE440" s="269" t="str">
        <f>IF(ISBLANK(SectorField),"Sector is blank",IF(AM440="Row Not Used","",IF(OR(R440="No Controls",ISBLANK(R440)),"",INDEX(ControlsBPARefNoTable[Reference Number],MATCH(SectorField,ControlsBPARefNoTable[Sector],0)))))</f>
        <v>Sector is blank</v>
      </c>
      <c r="BF440" s="530" t="str">
        <f t="shared" si="185"/>
        <v/>
      </c>
      <c r="BG440" s="132" t="str">
        <f t="shared" si="186"/>
        <v/>
      </c>
      <c r="BH440" s="531" t="str">
        <f t="shared" si="187"/>
        <v/>
      </c>
      <c r="BI440" s="532"/>
      <c r="BJ440" s="538" t="str">
        <f t="shared" si="193"/>
        <v/>
      </c>
      <c r="BK440" s="539" t="str">
        <f t="shared" si="194"/>
        <v/>
      </c>
      <c r="BL440" s="547" t="str">
        <f t="shared" si="195"/>
        <v/>
      </c>
    </row>
    <row r="441" spans="1:64" x14ac:dyDescent="0.3">
      <c r="A441" s="133">
        <v>434</v>
      </c>
      <c r="B441" s="294"/>
      <c r="C441" s="313"/>
      <c r="D441" s="292"/>
      <c r="E441" s="284"/>
      <c r="F441" s="284"/>
      <c r="G441" s="295"/>
      <c r="H441" s="296"/>
      <c r="I441" s="297"/>
      <c r="J441" s="292"/>
      <c r="K441" s="284"/>
      <c r="L441" s="284"/>
      <c r="M441" s="295"/>
      <c r="N441" s="296"/>
      <c r="O441" s="296"/>
      <c r="P441" s="284"/>
      <c r="Q441" s="298"/>
      <c r="R441" s="292"/>
      <c r="S441" s="299"/>
      <c r="T441" s="300"/>
      <c r="U441" s="317" t="str">
        <f t="shared" si="169"/>
        <v/>
      </c>
      <c r="V441" s="301"/>
      <c r="W441" s="136" t="str">
        <f t="shared" si="170"/>
        <v/>
      </c>
      <c r="X441" s="588" t="str">
        <f t="shared" si="188"/>
        <v/>
      </c>
      <c r="Y441" s="580"/>
      <c r="Z441" s="251" t="str">
        <f t="shared" si="171"/>
        <v/>
      </c>
      <c r="AA441" s="138" t="str">
        <f t="shared" si="196"/>
        <v/>
      </c>
      <c r="AB441" s="243" t="str">
        <f t="shared" si="189"/>
        <v/>
      </c>
      <c r="AC441" s="141" t="str">
        <f t="shared" si="172"/>
        <v/>
      </c>
      <c r="AD441" s="138" t="str">
        <f t="shared" si="190"/>
        <v/>
      </c>
      <c r="AE441" s="243" t="str">
        <f t="shared" si="173"/>
        <v/>
      </c>
      <c r="AF441" s="342" t="str">
        <f>IF(AM441="Row Not Used","",INDEX(SpaceTable[Annual Hours],(MATCH(B441,SpaceTable[Space Name Concatenated Helper],0))))</f>
        <v/>
      </c>
      <c r="AG441" s="205" t="str">
        <f t="shared" si="174"/>
        <v/>
      </c>
      <c r="AH441" s="234" t="str">
        <f t="shared" si="175"/>
        <v/>
      </c>
      <c r="AI441" s="205" t="str">
        <f t="shared" si="176"/>
        <v/>
      </c>
      <c r="AJ441" s="234" t="str">
        <f t="shared" si="177"/>
        <v/>
      </c>
      <c r="AK441" s="144" t="str">
        <f>IF(AM441="Row Not Used","",INDEX(SpaceTable[Row],(MATCH(B441,SpaceTable[Space Name Concatenated Helper],0))))</f>
        <v/>
      </c>
      <c r="AL441" s="238" t="str">
        <f>IF(AM441="Row Not Used","",INDEX(SpaceTable[HVAC Factor],(MATCH(B441,SpaceTable[Space Name Concatenated Helper],0))))</f>
        <v/>
      </c>
      <c r="AM441" s="520" t="str">
        <f t="shared" si="178"/>
        <v>Row Not Used</v>
      </c>
      <c r="AN441" s="512" t="e" cm="1">
        <f t="array" ref="AN441">INDEX(BallastFactorTable[Ballast Factor],MATCH(1,(BallastFactorTable[Fixture Class]=D441)*(BallastFactorTable[Fixture Category]=E441)*(BallastFactorTable[Fixture Sub-category]=F441),0))</f>
        <v>#N/A</v>
      </c>
      <c r="AO441" s="143" t="str">
        <f t="shared" si="191"/>
        <v/>
      </c>
      <c r="AP441" s="501" t="e" cm="1">
        <f t="array" ref="AP441">INDEX(BallastFactorTable[Wattage Range Name],MATCH(1,(BallastFactorTable[Fixture Class]=D441)*(BallastFactorTable[Fixture Category]=E441)*(BallastFactorTable[Fixture Sub-category]=F441),0))</f>
        <v>#N/A</v>
      </c>
      <c r="AQ441" s="515" t="str">
        <f t="shared" ca="1" si="179"/>
        <v>Okay</v>
      </c>
      <c r="AR441" s="512">
        <f t="shared" si="180"/>
        <v>0</v>
      </c>
      <c r="AS441" s="511" t="str">
        <f>IF(OR(Measures!AM441="Row Not Used",Measures!C441="Controls Only",Measures!C441="Decommissioning"),"",_xlfn.CONCAT(P441," ",Q441))</f>
        <v/>
      </c>
      <c r="AT441" s="264" t="str">
        <f t="shared" si="181"/>
        <v>None</v>
      </c>
      <c r="AU441" s="229">
        <f>IF(OR(AM441="Row Not Used",AM441="Controls Only"),0,INDEX(IncentiveRateTable[Incentive Rate],MATCH(AT441,IncentiveRateTable[Incentive Name],0)))</f>
        <v>0</v>
      </c>
      <c r="AV441" s="133" t="str">
        <f>IF(OR(AM441="Row Not Used",AM441="Controls Only"),"None",INDEX(IncentiveRateTable[Incentive Unit],MATCH(AT441,IncentiveRateTable[Incentive Name],0)))</f>
        <v>None</v>
      </c>
      <c r="AW441" s="578">
        <f t="shared" si="192"/>
        <v>0</v>
      </c>
      <c r="AX441" s="264" t="str">
        <f t="shared" si="182"/>
        <v>None</v>
      </c>
      <c r="AY441" s="229">
        <f>IF(OR(AM441="Row Not Used",AM441="Fixtures Only",AM441="Decommissioning"),0,INDEX(IncentiveRateTable[Incentive Rate],MATCH(AX441,IncentiveRateTable[Incentive Name],0)))</f>
        <v>0</v>
      </c>
      <c r="AZ441" s="133" t="str">
        <f>IF(OR(AM441="Row Not Used",AM441="Fixtures Only",AM441="Decommissioning"),"None",INDEX(IncentiveRateTable[Incentive Unit],MATCH(AX441,IncentiveRateTable[Incentive Name],0)))</f>
        <v>None</v>
      </c>
      <c r="BA441" s="465">
        <f t="shared" si="183"/>
        <v>0</v>
      </c>
      <c r="BB441" s="264" t="e" cm="1">
        <f t="array" ref="BB441">INDEX(BallastFactorTable[Commercial BPA Reference Number],MATCH(1,(BallastFactorTable[Fixture Class]=J441)*(BallastFactorTable[Fixture Category]=K441)*(BallastFactorTable[Fixture Sub-category]=L441),0))</f>
        <v>#N/A</v>
      </c>
      <c r="BC441" s="133" t="e" cm="1">
        <f t="array" ref="BC441">INDEX(BallastFactorTable[Industrial BPA Reference Number],MATCH(1,(BallastFactorTable[Fixture Class]=J441)*(BallastFactorTable[Fixture Category]=K441)*(BallastFactorTable[Fixture Sub-category]=L441),0))</f>
        <v>#N/A</v>
      </c>
      <c r="BD441" s="264" t="str">
        <f t="shared" si="184"/>
        <v>Sector is blank</v>
      </c>
      <c r="BE441" s="269" t="str">
        <f>IF(ISBLANK(SectorField),"Sector is blank",IF(AM441="Row Not Used","",IF(OR(R441="No Controls",ISBLANK(R441)),"",INDEX(ControlsBPARefNoTable[Reference Number],MATCH(SectorField,ControlsBPARefNoTable[Sector],0)))))</f>
        <v>Sector is blank</v>
      </c>
      <c r="BF441" s="530" t="str">
        <f t="shared" si="185"/>
        <v/>
      </c>
      <c r="BG441" s="132" t="str">
        <f t="shared" si="186"/>
        <v/>
      </c>
      <c r="BH441" s="531" t="str">
        <f t="shared" si="187"/>
        <v/>
      </c>
      <c r="BI441" s="532"/>
      <c r="BJ441" s="538" t="str">
        <f t="shared" si="193"/>
        <v/>
      </c>
      <c r="BK441" s="539" t="str">
        <f t="shared" si="194"/>
        <v/>
      </c>
      <c r="BL441" s="547" t="str">
        <f t="shared" si="195"/>
        <v/>
      </c>
    </row>
    <row r="442" spans="1:64" x14ac:dyDescent="0.3">
      <c r="A442" s="133">
        <v>435</v>
      </c>
      <c r="B442" s="294"/>
      <c r="C442" s="313"/>
      <c r="D442" s="292"/>
      <c r="E442" s="284"/>
      <c r="F442" s="284"/>
      <c r="G442" s="295"/>
      <c r="H442" s="296"/>
      <c r="I442" s="297"/>
      <c r="J442" s="292"/>
      <c r="K442" s="284"/>
      <c r="L442" s="284"/>
      <c r="M442" s="295"/>
      <c r="N442" s="296"/>
      <c r="O442" s="296"/>
      <c r="P442" s="284"/>
      <c r="Q442" s="298"/>
      <c r="R442" s="292"/>
      <c r="S442" s="299"/>
      <c r="T442" s="300"/>
      <c r="U442" s="317" t="str">
        <f t="shared" si="169"/>
        <v/>
      </c>
      <c r="V442" s="301"/>
      <c r="W442" s="137" t="str">
        <f t="shared" si="170"/>
        <v/>
      </c>
      <c r="X442" s="589" t="str">
        <f t="shared" si="188"/>
        <v/>
      </c>
      <c r="Y442" s="581"/>
      <c r="Z442" s="251" t="str">
        <f t="shared" si="171"/>
        <v/>
      </c>
      <c r="AA442" s="138" t="str">
        <f t="shared" si="196"/>
        <v/>
      </c>
      <c r="AB442" s="243" t="str">
        <f t="shared" si="189"/>
        <v/>
      </c>
      <c r="AC442" s="141" t="str">
        <f t="shared" si="172"/>
        <v/>
      </c>
      <c r="AD442" s="138" t="str">
        <f t="shared" si="190"/>
        <v/>
      </c>
      <c r="AE442" s="243" t="str">
        <f t="shared" si="173"/>
        <v/>
      </c>
      <c r="AF442" s="342" t="str">
        <f>IF(AM442="Row Not Used","",INDEX(SpaceTable[Annual Hours],(MATCH(B442,SpaceTable[Space Name Concatenated Helper],0))))</f>
        <v/>
      </c>
      <c r="AG442" s="205" t="str">
        <f t="shared" si="174"/>
        <v/>
      </c>
      <c r="AH442" s="234" t="str">
        <f t="shared" si="175"/>
        <v/>
      </c>
      <c r="AI442" s="205" t="str">
        <f t="shared" si="176"/>
        <v/>
      </c>
      <c r="AJ442" s="234" t="str">
        <f t="shared" si="177"/>
        <v/>
      </c>
      <c r="AK442" s="144" t="str">
        <f>IF(AM442="Row Not Used","",INDEX(SpaceTable[Row],(MATCH(B442,SpaceTable[Space Name Concatenated Helper],0))))</f>
        <v/>
      </c>
      <c r="AL442" s="238" t="str">
        <f>IF(AM442="Row Not Used","",INDEX(SpaceTable[HVAC Factor],(MATCH(B442,SpaceTable[Space Name Concatenated Helper],0))))</f>
        <v/>
      </c>
      <c r="AM442" s="520" t="str">
        <f t="shared" si="178"/>
        <v>Row Not Used</v>
      </c>
      <c r="AN442" s="512" t="e" cm="1">
        <f t="array" ref="AN442">INDEX(BallastFactorTable[Ballast Factor],MATCH(1,(BallastFactorTable[Fixture Class]=D442)*(BallastFactorTable[Fixture Category]=E442)*(BallastFactorTable[Fixture Sub-category]=F442),0))</f>
        <v>#N/A</v>
      </c>
      <c r="AO442" s="143" t="str">
        <f t="shared" si="191"/>
        <v/>
      </c>
      <c r="AP442" s="501" t="e" cm="1">
        <f t="array" ref="AP442">INDEX(BallastFactorTable[Wattage Range Name],MATCH(1,(BallastFactorTable[Fixture Class]=D442)*(BallastFactorTable[Fixture Category]=E442)*(BallastFactorTable[Fixture Sub-category]=F442),0))</f>
        <v>#N/A</v>
      </c>
      <c r="AQ442" s="515" t="str">
        <f t="shared" ca="1" si="179"/>
        <v>Okay</v>
      </c>
      <c r="AR442" s="512">
        <f t="shared" si="180"/>
        <v>0</v>
      </c>
      <c r="AS442" s="511" t="str">
        <f>IF(OR(Measures!AM442="Row Not Used",Measures!C442="Controls Only",Measures!C442="Decommissioning"),"",_xlfn.CONCAT(P442," ",Q442))</f>
        <v/>
      </c>
      <c r="AT442" s="264" t="str">
        <f t="shared" si="181"/>
        <v>None</v>
      </c>
      <c r="AU442" s="229">
        <f>IF(OR(AM442="Row Not Used",AM442="Controls Only"),0,INDEX(IncentiveRateTable[Incentive Rate],MATCH(AT442,IncentiveRateTable[Incentive Name],0)))</f>
        <v>0</v>
      </c>
      <c r="AV442" s="133" t="str">
        <f>IF(OR(AM442="Row Not Used",AM442="Controls Only"),"None",INDEX(IncentiveRateTable[Incentive Unit],MATCH(AT442,IncentiveRateTable[Incentive Name],0)))</f>
        <v>None</v>
      </c>
      <c r="AW442" s="578">
        <f t="shared" si="192"/>
        <v>0</v>
      </c>
      <c r="AX442" s="264" t="str">
        <f t="shared" si="182"/>
        <v>None</v>
      </c>
      <c r="AY442" s="229">
        <f>IF(OR(AM442="Row Not Used",AM442="Fixtures Only",AM442="Decommissioning"),0,INDEX(IncentiveRateTable[Incentive Rate],MATCH(AX442,IncentiveRateTable[Incentive Name],0)))</f>
        <v>0</v>
      </c>
      <c r="AZ442" s="133" t="str">
        <f>IF(OR(AM442="Row Not Used",AM442="Fixtures Only",AM442="Decommissioning"),"None",INDEX(IncentiveRateTable[Incentive Unit],MATCH(AX442,IncentiveRateTable[Incentive Name],0)))</f>
        <v>None</v>
      </c>
      <c r="BA442" s="465">
        <f t="shared" si="183"/>
        <v>0</v>
      </c>
      <c r="BB442" s="264" t="e" cm="1">
        <f t="array" ref="BB442">INDEX(BallastFactorTable[Commercial BPA Reference Number],MATCH(1,(BallastFactorTable[Fixture Class]=J442)*(BallastFactorTable[Fixture Category]=K442)*(BallastFactorTable[Fixture Sub-category]=L442),0))</f>
        <v>#N/A</v>
      </c>
      <c r="BC442" s="133" t="e" cm="1">
        <f t="array" ref="BC442">INDEX(BallastFactorTable[Industrial BPA Reference Number],MATCH(1,(BallastFactorTable[Fixture Class]=J442)*(BallastFactorTable[Fixture Category]=K442)*(BallastFactorTable[Fixture Sub-category]=L442),0))</f>
        <v>#N/A</v>
      </c>
      <c r="BD442" s="264" t="str">
        <f t="shared" si="184"/>
        <v>Sector is blank</v>
      </c>
      <c r="BE442" s="269" t="str">
        <f>IF(ISBLANK(SectorField),"Sector is blank",IF(AM442="Row Not Used","",IF(OR(R442="No Controls",ISBLANK(R442)),"",INDEX(ControlsBPARefNoTable[Reference Number],MATCH(SectorField,ControlsBPARefNoTable[Sector],0)))))</f>
        <v>Sector is blank</v>
      </c>
      <c r="BF442" s="530" t="str">
        <f t="shared" si="185"/>
        <v/>
      </c>
      <c r="BG442" s="132" t="str">
        <f t="shared" si="186"/>
        <v/>
      </c>
      <c r="BH442" s="531" t="str">
        <f t="shared" si="187"/>
        <v/>
      </c>
      <c r="BI442" s="532"/>
      <c r="BJ442" s="538" t="str">
        <f t="shared" si="193"/>
        <v/>
      </c>
      <c r="BK442" s="539" t="str">
        <f t="shared" si="194"/>
        <v/>
      </c>
      <c r="BL442" s="547" t="str">
        <f t="shared" si="195"/>
        <v/>
      </c>
    </row>
    <row r="443" spans="1:64" x14ac:dyDescent="0.3">
      <c r="A443" s="133">
        <v>436</v>
      </c>
      <c r="B443" s="294"/>
      <c r="C443" s="313"/>
      <c r="D443" s="292"/>
      <c r="E443" s="284"/>
      <c r="F443" s="284"/>
      <c r="G443" s="295"/>
      <c r="H443" s="296"/>
      <c r="I443" s="297"/>
      <c r="J443" s="292"/>
      <c r="K443" s="284"/>
      <c r="L443" s="284"/>
      <c r="M443" s="295"/>
      <c r="N443" s="296"/>
      <c r="O443" s="296"/>
      <c r="P443" s="284"/>
      <c r="Q443" s="298"/>
      <c r="R443" s="292"/>
      <c r="S443" s="299"/>
      <c r="T443" s="300"/>
      <c r="U443" s="317" t="str">
        <f t="shared" si="169"/>
        <v/>
      </c>
      <c r="V443" s="301"/>
      <c r="W443" s="136" t="str">
        <f t="shared" si="170"/>
        <v/>
      </c>
      <c r="X443" s="588" t="str">
        <f t="shared" si="188"/>
        <v/>
      </c>
      <c r="Y443" s="580"/>
      <c r="Z443" s="251" t="str">
        <f t="shared" si="171"/>
        <v/>
      </c>
      <c r="AA443" s="138" t="str">
        <f t="shared" si="196"/>
        <v/>
      </c>
      <c r="AB443" s="243" t="str">
        <f t="shared" si="189"/>
        <v/>
      </c>
      <c r="AC443" s="141" t="str">
        <f t="shared" si="172"/>
        <v/>
      </c>
      <c r="AD443" s="138" t="str">
        <f t="shared" si="190"/>
        <v/>
      </c>
      <c r="AE443" s="243" t="str">
        <f t="shared" si="173"/>
        <v/>
      </c>
      <c r="AF443" s="342" t="str">
        <f>IF(AM443="Row Not Used","",INDEX(SpaceTable[Annual Hours],(MATCH(B443,SpaceTable[Space Name Concatenated Helper],0))))</f>
        <v/>
      </c>
      <c r="AG443" s="205" t="str">
        <f t="shared" si="174"/>
        <v/>
      </c>
      <c r="AH443" s="234" t="str">
        <f t="shared" si="175"/>
        <v/>
      </c>
      <c r="AI443" s="205" t="str">
        <f t="shared" si="176"/>
        <v/>
      </c>
      <c r="AJ443" s="234" t="str">
        <f t="shared" si="177"/>
        <v/>
      </c>
      <c r="AK443" s="144" t="str">
        <f>IF(AM443="Row Not Used","",INDEX(SpaceTable[Row],(MATCH(B443,SpaceTable[Space Name Concatenated Helper],0))))</f>
        <v/>
      </c>
      <c r="AL443" s="238" t="str">
        <f>IF(AM443="Row Not Used","",INDEX(SpaceTable[HVAC Factor],(MATCH(B443,SpaceTable[Space Name Concatenated Helper],0))))</f>
        <v/>
      </c>
      <c r="AM443" s="520" t="str">
        <f t="shared" si="178"/>
        <v>Row Not Used</v>
      </c>
      <c r="AN443" s="512" t="e" cm="1">
        <f t="array" ref="AN443">INDEX(BallastFactorTable[Ballast Factor],MATCH(1,(BallastFactorTable[Fixture Class]=D443)*(BallastFactorTable[Fixture Category]=E443)*(BallastFactorTable[Fixture Sub-category]=F443),0))</f>
        <v>#N/A</v>
      </c>
      <c r="AO443" s="143" t="str">
        <f t="shared" si="191"/>
        <v/>
      </c>
      <c r="AP443" s="501" t="e" cm="1">
        <f t="array" ref="AP443">INDEX(BallastFactorTable[Wattage Range Name],MATCH(1,(BallastFactorTable[Fixture Class]=D443)*(BallastFactorTable[Fixture Category]=E443)*(BallastFactorTable[Fixture Sub-category]=F443),0))</f>
        <v>#N/A</v>
      </c>
      <c r="AQ443" s="515" t="str">
        <f t="shared" ca="1" si="179"/>
        <v>Okay</v>
      </c>
      <c r="AR443" s="512">
        <f t="shared" si="180"/>
        <v>0</v>
      </c>
      <c r="AS443" s="511" t="str">
        <f>IF(OR(Measures!AM443="Row Not Used",Measures!C443="Controls Only",Measures!C443="Decommissioning"),"",_xlfn.CONCAT(P443," ",Q443))</f>
        <v/>
      </c>
      <c r="AT443" s="264" t="str">
        <f t="shared" si="181"/>
        <v>None</v>
      </c>
      <c r="AU443" s="229">
        <f>IF(OR(AM443="Row Not Used",AM443="Controls Only"),0,INDEX(IncentiveRateTable[Incentive Rate],MATCH(AT443,IncentiveRateTable[Incentive Name],0)))</f>
        <v>0</v>
      </c>
      <c r="AV443" s="133" t="str">
        <f>IF(OR(AM443="Row Not Used",AM443="Controls Only"),"None",INDEX(IncentiveRateTable[Incentive Unit],MATCH(AT443,IncentiveRateTable[Incentive Name],0)))</f>
        <v>None</v>
      </c>
      <c r="AW443" s="578">
        <f t="shared" si="192"/>
        <v>0</v>
      </c>
      <c r="AX443" s="264" t="str">
        <f t="shared" si="182"/>
        <v>None</v>
      </c>
      <c r="AY443" s="229">
        <f>IF(OR(AM443="Row Not Used",AM443="Fixtures Only",AM443="Decommissioning"),0,INDEX(IncentiveRateTable[Incentive Rate],MATCH(AX443,IncentiveRateTable[Incentive Name],0)))</f>
        <v>0</v>
      </c>
      <c r="AZ443" s="133" t="str">
        <f>IF(OR(AM443="Row Not Used",AM443="Fixtures Only",AM443="Decommissioning"),"None",INDEX(IncentiveRateTable[Incentive Unit],MATCH(AX443,IncentiveRateTable[Incentive Name],0)))</f>
        <v>None</v>
      </c>
      <c r="BA443" s="465">
        <f t="shared" si="183"/>
        <v>0</v>
      </c>
      <c r="BB443" s="264" t="e" cm="1">
        <f t="array" ref="BB443">INDEX(BallastFactorTable[Commercial BPA Reference Number],MATCH(1,(BallastFactorTable[Fixture Class]=J443)*(BallastFactorTable[Fixture Category]=K443)*(BallastFactorTable[Fixture Sub-category]=L443),0))</f>
        <v>#N/A</v>
      </c>
      <c r="BC443" s="133" t="e" cm="1">
        <f t="array" ref="BC443">INDEX(BallastFactorTable[Industrial BPA Reference Number],MATCH(1,(BallastFactorTable[Fixture Class]=J443)*(BallastFactorTable[Fixture Category]=K443)*(BallastFactorTable[Fixture Sub-category]=L443),0))</f>
        <v>#N/A</v>
      </c>
      <c r="BD443" s="264" t="str">
        <f t="shared" si="184"/>
        <v>Sector is blank</v>
      </c>
      <c r="BE443" s="269" t="str">
        <f>IF(ISBLANK(SectorField),"Sector is blank",IF(AM443="Row Not Used","",IF(OR(R443="No Controls",ISBLANK(R443)),"",INDEX(ControlsBPARefNoTable[Reference Number],MATCH(SectorField,ControlsBPARefNoTable[Sector],0)))))</f>
        <v>Sector is blank</v>
      </c>
      <c r="BF443" s="530" t="str">
        <f t="shared" si="185"/>
        <v/>
      </c>
      <c r="BG443" s="132" t="str">
        <f t="shared" si="186"/>
        <v/>
      </c>
      <c r="BH443" s="531" t="str">
        <f t="shared" si="187"/>
        <v/>
      </c>
      <c r="BI443" s="532"/>
      <c r="BJ443" s="538" t="str">
        <f t="shared" si="193"/>
        <v/>
      </c>
      <c r="BK443" s="539" t="str">
        <f t="shared" si="194"/>
        <v/>
      </c>
      <c r="BL443" s="547" t="str">
        <f t="shared" si="195"/>
        <v/>
      </c>
    </row>
    <row r="444" spans="1:64" x14ac:dyDescent="0.3">
      <c r="A444" s="133">
        <v>437</v>
      </c>
      <c r="B444" s="294"/>
      <c r="C444" s="313"/>
      <c r="D444" s="292"/>
      <c r="E444" s="284"/>
      <c r="F444" s="284"/>
      <c r="G444" s="295"/>
      <c r="H444" s="296"/>
      <c r="I444" s="297"/>
      <c r="J444" s="292"/>
      <c r="K444" s="284"/>
      <c r="L444" s="284"/>
      <c r="M444" s="295"/>
      <c r="N444" s="296"/>
      <c r="O444" s="296"/>
      <c r="P444" s="284"/>
      <c r="Q444" s="298"/>
      <c r="R444" s="292"/>
      <c r="S444" s="299"/>
      <c r="T444" s="300"/>
      <c r="U444" s="317" t="str">
        <f t="shared" si="169"/>
        <v/>
      </c>
      <c r="V444" s="301"/>
      <c r="W444" s="137" t="str">
        <f t="shared" si="170"/>
        <v/>
      </c>
      <c r="X444" s="589" t="str">
        <f t="shared" si="188"/>
        <v/>
      </c>
      <c r="Y444" s="581"/>
      <c r="Z444" s="251" t="str">
        <f t="shared" si="171"/>
        <v/>
      </c>
      <c r="AA444" s="138" t="str">
        <f t="shared" si="196"/>
        <v/>
      </c>
      <c r="AB444" s="243" t="str">
        <f t="shared" si="189"/>
        <v/>
      </c>
      <c r="AC444" s="141" t="str">
        <f t="shared" si="172"/>
        <v/>
      </c>
      <c r="AD444" s="138" t="str">
        <f t="shared" si="190"/>
        <v/>
      </c>
      <c r="AE444" s="243" t="str">
        <f t="shared" si="173"/>
        <v/>
      </c>
      <c r="AF444" s="342" t="str">
        <f>IF(AM444="Row Not Used","",INDEX(SpaceTable[Annual Hours],(MATCH(B444,SpaceTable[Space Name Concatenated Helper],0))))</f>
        <v/>
      </c>
      <c r="AG444" s="205" t="str">
        <f t="shared" si="174"/>
        <v/>
      </c>
      <c r="AH444" s="234" t="str">
        <f t="shared" si="175"/>
        <v/>
      </c>
      <c r="AI444" s="205" t="str">
        <f t="shared" si="176"/>
        <v/>
      </c>
      <c r="AJ444" s="234" t="str">
        <f t="shared" si="177"/>
        <v/>
      </c>
      <c r="AK444" s="144" t="str">
        <f>IF(AM444="Row Not Used","",INDEX(SpaceTable[Row],(MATCH(B444,SpaceTable[Space Name Concatenated Helper],0))))</f>
        <v/>
      </c>
      <c r="AL444" s="238" t="str">
        <f>IF(AM444="Row Not Used","",INDEX(SpaceTable[HVAC Factor],(MATCH(B444,SpaceTable[Space Name Concatenated Helper],0))))</f>
        <v/>
      </c>
      <c r="AM444" s="520" t="str">
        <f t="shared" si="178"/>
        <v>Row Not Used</v>
      </c>
      <c r="AN444" s="512" t="e" cm="1">
        <f t="array" ref="AN444">INDEX(BallastFactorTable[Ballast Factor],MATCH(1,(BallastFactorTable[Fixture Class]=D444)*(BallastFactorTable[Fixture Category]=E444)*(BallastFactorTable[Fixture Sub-category]=F444),0))</f>
        <v>#N/A</v>
      </c>
      <c r="AO444" s="143" t="str">
        <f t="shared" si="191"/>
        <v/>
      </c>
      <c r="AP444" s="501" t="e" cm="1">
        <f t="array" ref="AP444">INDEX(BallastFactorTable[Wattage Range Name],MATCH(1,(BallastFactorTable[Fixture Class]=D444)*(BallastFactorTable[Fixture Category]=E444)*(BallastFactorTable[Fixture Sub-category]=F444),0))</f>
        <v>#N/A</v>
      </c>
      <c r="AQ444" s="515" t="str">
        <f t="shared" ca="1" si="179"/>
        <v>Okay</v>
      </c>
      <c r="AR444" s="512">
        <f t="shared" si="180"/>
        <v>0</v>
      </c>
      <c r="AS444" s="511" t="str">
        <f>IF(OR(Measures!AM444="Row Not Used",Measures!C444="Controls Only",Measures!C444="Decommissioning"),"",_xlfn.CONCAT(P444," ",Q444))</f>
        <v/>
      </c>
      <c r="AT444" s="264" t="str">
        <f t="shared" si="181"/>
        <v>None</v>
      </c>
      <c r="AU444" s="229">
        <f>IF(OR(AM444="Row Not Used",AM444="Controls Only"),0,INDEX(IncentiveRateTable[Incentive Rate],MATCH(AT444,IncentiveRateTable[Incentive Name],0)))</f>
        <v>0</v>
      </c>
      <c r="AV444" s="133" t="str">
        <f>IF(OR(AM444="Row Not Used",AM444="Controls Only"),"None",INDEX(IncentiveRateTable[Incentive Unit],MATCH(AT444,IncentiveRateTable[Incentive Name],0)))</f>
        <v>None</v>
      </c>
      <c r="AW444" s="578">
        <f t="shared" si="192"/>
        <v>0</v>
      </c>
      <c r="AX444" s="264" t="str">
        <f t="shared" si="182"/>
        <v>None</v>
      </c>
      <c r="AY444" s="229">
        <f>IF(OR(AM444="Row Not Used",AM444="Fixtures Only",AM444="Decommissioning"),0,INDEX(IncentiveRateTable[Incentive Rate],MATCH(AX444,IncentiveRateTable[Incentive Name],0)))</f>
        <v>0</v>
      </c>
      <c r="AZ444" s="133" t="str">
        <f>IF(OR(AM444="Row Not Used",AM444="Fixtures Only",AM444="Decommissioning"),"None",INDEX(IncentiveRateTable[Incentive Unit],MATCH(AX444,IncentiveRateTable[Incentive Name],0)))</f>
        <v>None</v>
      </c>
      <c r="BA444" s="465">
        <f t="shared" si="183"/>
        <v>0</v>
      </c>
      <c r="BB444" s="264" t="e" cm="1">
        <f t="array" ref="BB444">INDEX(BallastFactorTable[Commercial BPA Reference Number],MATCH(1,(BallastFactorTable[Fixture Class]=J444)*(BallastFactorTable[Fixture Category]=K444)*(BallastFactorTable[Fixture Sub-category]=L444),0))</f>
        <v>#N/A</v>
      </c>
      <c r="BC444" s="133" t="e" cm="1">
        <f t="array" ref="BC444">INDEX(BallastFactorTable[Industrial BPA Reference Number],MATCH(1,(BallastFactorTable[Fixture Class]=J444)*(BallastFactorTable[Fixture Category]=K444)*(BallastFactorTable[Fixture Sub-category]=L444),0))</f>
        <v>#N/A</v>
      </c>
      <c r="BD444" s="264" t="str">
        <f t="shared" si="184"/>
        <v>Sector is blank</v>
      </c>
      <c r="BE444" s="269" t="str">
        <f>IF(ISBLANK(SectorField),"Sector is blank",IF(AM444="Row Not Used","",IF(OR(R444="No Controls",ISBLANK(R444)),"",INDEX(ControlsBPARefNoTable[Reference Number],MATCH(SectorField,ControlsBPARefNoTable[Sector],0)))))</f>
        <v>Sector is blank</v>
      </c>
      <c r="BF444" s="530" t="str">
        <f t="shared" si="185"/>
        <v/>
      </c>
      <c r="BG444" s="132" t="str">
        <f t="shared" si="186"/>
        <v/>
      </c>
      <c r="BH444" s="531" t="str">
        <f t="shared" si="187"/>
        <v/>
      </c>
      <c r="BI444" s="532"/>
      <c r="BJ444" s="538" t="str">
        <f t="shared" si="193"/>
        <v/>
      </c>
      <c r="BK444" s="539" t="str">
        <f t="shared" si="194"/>
        <v/>
      </c>
      <c r="BL444" s="547" t="str">
        <f t="shared" si="195"/>
        <v/>
      </c>
    </row>
    <row r="445" spans="1:64" x14ac:dyDescent="0.3">
      <c r="A445" s="133">
        <v>438</v>
      </c>
      <c r="B445" s="294"/>
      <c r="C445" s="313"/>
      <c r="D445" s="292"/>
      <c r="E445" s="284"/>
      <c r="F445" s="284"/>
      <c r="G445" s="295"/>
      <c r="H445" s="296"/>
      <c r="I445" s="297"/>
      <c r="J445" s="292"/>
      <c r="K445" s="284"/>
      <c r="L445" s="284"/>
      <c r="M445" s="295"/>
      <c r="N445" s="296"/>
      <c r="O445" s="296"/>
      <c r="P445" s="284"/>
      <c r="Q445" s="298"/>
      <c r="R445" s="292"/>
      <c r="S445" s="299"/>
      <c r="T445" s="300"/>
      <c r="U445" s="317" t="str">
        <f t="shared" si="169"/>
        <v/>
      </c>
      <c r="V445" s="301"/>
      <c r="W445" s="136" t="str">
        <f t="shared" si="170"/>
        <v/>
      </c>
      <c r="X445" s="588" t="str">
        <f t="shared" si="188"/>
        <v/>
      </c>
      <c r="Y445" s="580"/>
      <c r="Z445" s="251" t="str">
        <f t="shared" si="171"/>
        <v/>
      </c>
      <c r="AA445" s="138" t="str">
        <f t="shared" si="196"/>
        <v/>
      </c>
      <c r="AB445" s="243" t="str">
        <f t="shared" si="189"/>
        <v/>
      </c>
      <c r="AC445" s="141" t="str">
        <f t="shared" si="172"/>
        <v/>
      </c>
      <c r="AD445" s="138" t="str">
        <f t="shared" si="190"/>
        <v/>
      </c>
      <c r="AE445" s="243" t="str">
        <f t="shared" si="173"/>
        <v/>
      </c>
      <c r="AF445" s="342" t="str">
        <f>IF(AM445="Row Not Used","",INDEX(SpaceTable[Annual Hours],(MATCH(B445,SpaceTable[Space Name Concatenated Helper],0))))</f>
        <v/>
      </c>
      <c r="AG445" s="205" t="str">
        <f t="shared" si="174"/>
        <v/>
      </c>
      <c r="AH445" s="234" t="str">
        <f t="shared" si="175"/>
        <v/>
      </c>
      <c r="AI445" s="205" t="str">
        <f t="shared" si="176"/>
        <v/>
      </c>
      <c r="AJ445" s="234" t="str">
        <f t="shared" si="177"/>
        <v/>
      </c>
      <c r="AK445" s="144" t="str">
        <f>IF(AM445="Row Not Used","",INDEX(SpaceTable[Row],(MATCH(B445,SpaceTable[Space Name Concatenated Helper],0))))</f>
        <v/>
      </c>
      <c r="AL445" s="238" t="str">
        <f>IF(AM445="Row Not Used","",INDEX(SpaceTable[HVAC Factor],(MATCH(B445,SpaceTable[Space Name Concatenated Helper],0))))</f>
        <v/>
      </c>
      <c r="AM445" s="520" t="str">
        <f t="shared" si="178"/>
        <v>Row Not Used</v>
      </c>
      <c r="AN445" s="512" t="e" cm="1">
        <f t="array" ref="AN445">INDEX(BallastFactorTable[Ballast Factor],MATCH(1,(BallastFactorTable[Fixture Class]=D445)*(BallastFactorTable[Fixture Category]=E445)*(BallastFactorTable[Fixture Sub-category]=F445),0))</f>
        <v>#N/A</v>
      </c>
      <c r="AO445" s="143" t="str">
        <f t="shared" si="191"/>
        <v/>
      </c>
      <c r="AP445" s="501" t="e" cm="1">
        <f t="array" ref="AP445">INDEX(BallastFactorTable[Wattage Range Name],MATCH(1,(BallastFactorTable[Fixture Class]=D445)*(BallastFactorTable[Fixture Category]=E445)*(BallastFactorTable[Fixture Sub-category]=F445),0))</f>
        <v>#N/A</v>
      </c>
      <c r="AQ445" s="515" t="str">
        <f t="shared" ca="1" si="179"/>
        <v>Okay</v>
      </c>
      <c r="AR445" s="512">
        <f t="shared" si="180"/>
        <v>0</v>
      </c>
      <c r="AS445" s="511" t="str">
        <f>IF(OR(Measures!AM445="Row Not Used",Measures!C445="Controls Only",Measures!C445="Decommissioning"),"",_xlfn.CONCAT(P445," ",Q445))</f>
        <v/>
      </c>
      <c r="AT445" s="264" t="str">
        <f t="shared" si="181"/>
        <v>None</v>
      </c>
      <c r="AU445" s="229">
        <f>IF(OR(AM445="Row Not Used",AM445="Controls Only"),0,INDEX(IncentiveRateTable[Incentive Rate],MATCH(AT445,IncentiveRateTable[Incentive Name],0)))</f>
        <v>0</v>
      </c>
      <c r="AV445" s="133" t="str">
        <f>IF(OR(AM445="Row Not Used",AM445="Controls Only"),"None",INDEX(IncentiveRateTable[Incentive Unit],MATCH(AT445,IncentiveRateTable[Incentive Name],0)))</f>
        <v>None</v>
      </c>
      <c r="AW445" s="578">
        <f t="shared" si="192"/>
        <v>0</v>
      </c>
      <c r="AX445" s="264" t="str">
        <f t="shared" si="182"/>
        <v>None</v>
      </c>
      <c r="AY445" s="229">
        <f>IF(OR(AM445="Row Not Used",AM445="Fixtures Only",AM445="Decommissioning"),0,INDEX(IncentiveRateTable[Incentive Rate],MATCH(AX445,IncentiveRateTable[Incentive Name],0)))</f>
        <v>0</v>
      </c>
      <c r="AZ445" s="133" t="str">
        <f>IF(OR(AM445="Row Not Used",AM445="Fixtures Only",AM445="Decommissioning"),"None",INDEX(IncentiveRateTable[Incentive Unit],MATCH(AX445,IncentiveRateTable[Incentive Name],0)))</f>
        <v>None</v>
      </c>
      <c r="BA445" s="465">
        <f t="shared" si="183"/>
        <v>0</v>
      </c>
      <c r="BB445" s="264" t="e" cm="1">
        <f t="array" ref="BB445">INDEX(BallastFactorTable[Commercial BPA Reference Number],MATCH(1,(BallastFactorTable[Fixture Class]=J445)*(BallastFactorTable[Fixture Category]=K445)*(BallastFactorTable[Fixture Sub-category]=L445),0))</f>
        <v>#N/A</v>
      </c>
      <c r="BC445" s="133" t="e" cm="1">
        <f t="array" ref="BC445">INDEX(BallastFactorTable[Industrial BPA Reference Number],MATCH(1,(BallastFactorTable[Fixture Class]=J445)*(BallastFactorTable[Fixture Category]=K445)*(BallastFactorTable[Fixture Sub-category]=L445),0))</f>
        <v>#N/A</v>
      </c>
      <c r="BD445" s="264" t="str">
        <f t="shared" si="184"/>
        <v>Sector is blank</v>
      </c>
      <c r="BE445" s="269" t="str">
        <f>IF(ISBLANK(SectorField),"Sector is blank",IF(AM445="Row Not Used","",IF(OR(R445="No Controls",ISBLANK(R445)),"",INDEX(ControlsBPARefNoTable[Reference Number],MATCH(SectorField,ControlsBPARefNoTable[Sector],0)))))</f>
        <v>Sector is blank</v>
      </c>
      <c r="BF445" s="530" t="str">
        <f t="shared" si="185"/>
        <v/>
      </c>
      <c r="BG445" s="132" t="str">
        <f t="shared" si="186"/>
        <v/>
      </c>
      <c r="BH445" s="531" t="str">
        <f t="shared" si="187"/>
        <v/>
      </c>
      <c r="BI445" s="532"/>
      <c r="BJ445" s="538" t="str">
        <f t="shared" si="193"/>
        <v/>
      </c>
      <c r="BK445" s="539" t="str">
        <f t="shared" si="194"/>
        <v/>
      </c>
      <c r="BL445" s="547" t="str">
        <f t="shared" si="195"/>
        <v/>
      </c>
    </row>
    <row r="446" spans="1:64" x14ac:dyDescent="0.3">
      <c r="A446" s="133">
        <v>439</v>
      </c>
      <c r="B446" s="294"/>
      <c r="C446" s="313"/>
      <c r="D446" s="292"/>
      <c r="E446" s="284"/>
      <c r="F446" s="284"/>
      <c r="G446" s="295"/>
      <c r="H446" s="296"/>
      <c r="I446" s="297"/>
      <c r="J446" s="292"/>
      <c r="K446" s="284"/>
      <c r="L446" s="284"/>
      <c r="M446" s="295"/>
      <c r="N446" s="296"/>
      <c r="O446" s="296"/>
      <c r="P446" s="284"/>
      <c r="Q446" s="298"/>
      <c r="R446" s="292"/>
      <c r="S446" s="299"/>
      <c r="T446" s="300"/>
      <c r="U446" s="317" t="str">
        <f t="shared" si="169"/>
        <v/>
      </c>
      <c r="V446" s="301"/>
      <c r="W446" s="137" t="str">
        <f t="shared" si="170"/>
        <v/>
      </c>
      <c r="X446" s="589" t="str">
        <f t="shared" si="188"/>
        <v/>
      </c>
      <c r="Y446" s="581"/>
      <c r="Z446" s="251" t="str">
        <f t="shared" si="171"/>
        <v/>
      </c>
      <c r="AA446" s="138" t="str">
        <f t="shared" si="196"/>
        <v/>
      </c>
      <c r="AB446" s="243" t="str">
        <f t="shared" si="189"/>
        <v/>
      </c>
      <c r="AC446" s="141" t="str">
        <f t="shared" si="172"/>
        <v/>
      </c>
      <c r="AD446" s="138" t="str">
        <f t="shared" si="190"/>
        <v/>
      </c>
      <c r="AE446" s="243" t="str">
        <f t="shared" si="173"/>
        <v/>
      </c>
      <c r="AF446" s="342" t="str">
        <f>IF(AM446="Row Not Used","",INDEX(SpaceTable[Annual Hours],(MATCH(B446,SpaceTable[Space Name Concatenated Helper],0))))</f>
        <v/>
      </c>
      <c r="AG446" s="205" t="str">
        <f t="shared" si="174"/>
        <v/>
      </c>
      <c r="AH446" s="234" t="str">
        <f t="shared" si="175"/>
        <v/>
      </c>
      <c r="AI446" s="205" t="str">
        <f t="shared" si="176"/>
        <v/>
      </c>
      <c r="AJ446" s="234" t="str">
        <f t="shared" si="177"/>
        <v/>
      </c>
      <c r="AK446" s="144" t="str">
        <f>IF(AM446="Row Not Used","",INDEX(SpaceTable[Row],(MATCH(B446,SpaceTable[Space Name Concatenated Helper],0))))</f>
        <v/>
      </c>
      <c r="AL446" s="238" t="str">
        <f>IF(AM446="Row Not Used","",INDEX(SpaceTable[HVAC Factor],(MATCH(B446,SpaceTable[Space Name Concatenated Helper],0))))</f>
        <v/>
      </c>
      <c r="AM446" s="520" t="str">
        <f t="shared" si="178"/>
        <v>Row Not Used</v>
      </c>
      <c r="AN446" s="512" t="e" cm="1">
        <f t="array" ref="AN446">INDEX(BallastFactorTable[Ballast Factor],MATCH(1,(BallastFactorTable[Fixture Class]=D446)*(BallastFactorTable[Fixture Category]=E446)*(BallastFactorTable[Fixture Sub-category]=F446),0))</f>
        <v>#N/A</v>
      </c>
      <c r="AO446" s="143" t="str">
        <f t="shared" si="191"/>
        <v/>
      </c>
      <c r="AP446" s="501" t="e" cm="1">
        <f t="array" ref="AP446">INDEX(BallastFactorTable[Wattage Range Name],MATCH(1,(BallastFactorTable[Fixture Class]=D446)*(BallastFactorTable[Fixture Category]=E446)*(BallastFactorTable[Fixture Sub-category]=F446),0))</f>
        <v>#N/A</v>
      </c>
      <c r="AQ446" s="515" t="str">
        <f t="shared" ca="1" si="179"/>
        <v>Okay</v>
      </c>
      <c r="AR446" s="512">
        <f t="shared" si="180"/>
        <v>0</v>
      </c>
      <c r="AS446" s="511" t="str">
        <f>IF(OR(Measures!AM446="Row Not Used",Measures!C446="Controls Only",Measures!C446="Decommissioning"),"",_xlfn.CONCAT(P446," ",Q446))</f>
        <v/>
      </c>
      <c r="AT446" s="264" t="str">
        <f t="shared" si="181"/>
        <v>None</v>
      </c>
      <c r="AU446" s="229">
        <f>IF(OR(AM446="Row Not Used",AM446="Controls Only"),0,INDEX(IncentiveRateTable[Incentive Rate],MATCH(AT446,IncentiveRateTable[Incentive Name],0)))</f>
        <v>0</v>
      </c>
      <c r="AV446" s="133" t="str">
        <f>IF(OR(AM446="Row Not Used",AM446="Controls Only"),"None",INDEX(IncentiveRateTable[Incentive Unit],MATCH(AT446,IncentiveRateTable[Incentive Name],0)))</f>
        <v>None</v>
      </c>
      <c r="AW446" s="578">
        <f t="shared" si="192"/>
        <v>0</v>
      </c>
      <c r="AX446" s="264" t="str">
        <f t="shared" si="182"/>
        <v>None</v>
      </c>
      <c r="AY446" s="229">
        <f>IF(OR(AM446="Row Not Used",AM446="Fixtures Only",AM446="Decommissioning"),0,INDEX(IncentiveRateTable[Incentive Rate],MATCH(AX446,IncentiveRateTable[Incentive Name],0)))</f>
        <v>0</v>
      </c>
      <c r="AZ446" s="133" t="str">
        <f>IF(OR(AM446="Row Not Used",AM446="Fixtures Only",AM446="Decommissioning"),"None",INDEX(IncentiveRateTable[Incentive Unit],MATCH(AX446,IncentiveRateTable[Incentive Name],0)))</f>
        <v>None</v>
      </c>
      <c r="BA446" s="465">
        <f t="shared" si="183"/>
        <v>0</v>
      </c>
      <c r="BB446" s="264" t="e" cm="1">
        <f t="array" ref="BB446">INDEX(BallastFactorTable[Commercial BPA Reference Number],MATCH(1,(BallastFactorTable[Fixture Class]=J446)*(BallastFactorTable[Fixture Category]=K446)*(BallastFactorTable[Fixture Sub-category]=L446),0))</f>
        <v>#N/A</v>
      </c>
      <c r="BC446" s="133" t="e" cm="1">
        <f t="array" ref="BC446">INDEX(BallastFactorTable[Industrial BPA Reference Number],MATCH(1,(BallastFactorTable[Fixture Class]=J446)*(BallastFactorTable[Fixture Category]=K446)*(BallastFactorTable[Fixture Sub-category]=L446),0))</f>
        <v>#N/A</v>
      </c>
      <c r="BD446" s="264" t="str">
        <f t="shared" si="184"/>
        <v>Sector is blank</v>
      </c>
      <c r="BE446" s="269" t="str">
        <f>IF(ISBLANK(SectorField),"Sector is blank",IF(AM446="Row Not Used","",IF(OR(R446="No Controls",ISBLANK(R446)),"",INDEX(ControlsBPARefNoTable[Reference Number],MATCH(SectorField,ControlsBPARefNoTable[Sector],0)))))</f>
        <v>Sector is blank</v>
      </c>
      <c r="BF446" s="530" t="str">
        <f t="shared" si="185"/>
        <v/>
      </c>
      <c r="BG446" s="132" t="str">
        <f t="shared" si="186"/>
        <v/>
      </c>
      <c r="BH446" s="531" t="str">
        <f t="shared" si="187"/>
        <v/>
      </c>
      <c r="BI446" s="532"/>
      <c r="BJ446" s="538" t="str">
        <f t="shared" si="193"/>
        <v/>
      </c>
      <c r="BK446" s="539" t="str">
        <f t="shared" si="194"/>
        <v/>
      </c>
      <c r="BL446" s="547" t="str">
        <f t="shared" si="195"/>
        <v/>
      </c>
    </row>
    <row r="447" spans="1:64" x14ac:dyDescent="0.3">
      <c r="A447" s="133">
        <v>440</v>
      </c>
      <c r="B447" s="294"/>
      <c r="C447" s="313"/>
      <c r="D447" s="292"/>
      <c r="E447" s="284"/>
      <c r="F447" s="284"/>
      <c r="G447" s="295"/>
      <c r="H447" s="296"/>
      <c r="I447" s="297"/>
      <c r="J447" s="292"/>
      <c r="K447" s="284"/>
      <c r="L447" s="284"/>
      <c r="M447" s="295"/>
      <c r="N447" s="296"/>
      <c r="O447" s="296"/>
      <c r="P447" s="284"/>
      <c r="Q447" s="298"/>
      <c r="R447" s="292"/>
      <c r="S447" s="299"/>
      <c r="T447" s="300"/>
      <c r="U447" s="317" t="str">
        <f t="shared" si="169"/>
        <v/>
      </c>
      <c r="V447" s="301"/>
      <c r="W447" s="136" t="str">
        <f t="shared" si="170"/>
        <v/>
      </c>
      <c r="X447" s="588" t="str">
        <f t="shared" si="188"/>
        <v/>
      </c>
      <c r="Y447" s="580"/>
      <c r="Z447" s="251" t="str">
        <f t="shared" si="171"/>
        <v/>
      </c>
      <c r="AA447" s="138" t="str">
        <f t="shared" si="196"/>
        <v/>
      </c>
      <c r="AB447" s="243" t="str">
        <f t="shared" si="189"/>
        <v/>
      </c>
      <c r="AC447" s="141" t="str">
        <f t="shared" si="172"/>
        <v/>
      </c>
      <c r="AD447" s="138" t="str">
        <f t="shared" si="190"/>
        <v/>
      </c>
      <c r="AE447" s="243" t="str">
        <f t="shared" si="173"/>
        <v/>
      </c>
      <c r="AF447" s="342" t="str">
        <f>IF(AM447="Row Not Used","",INDEX(SpaceTable[Annual Hours],(MATCH(B447,SpaceTable[Space Name Concatenated Helper],0))))</f>
        <v/>
      </c>
      <c r="AG447" s="205" t="str">
        <f t="shared" si="174"/>
        <v/>
      </c>
      <c r="AH447" s="234" t="str">
        <f t="shared" si="175"/>
        <v/>
      </c>
      <c r="AI447" s="205" t="str">
        <f t="shared" si="176"/>
        <v/>
      </c>
      <c r="AJ447" s="234" t="str">
        <f t="shared" si="177"/>
        <v/>
      </c>
      <c r="AK447" s="144" t="str">
        <f>IF(AM447="Row Not Used","",INDEX(SpaceTable[Row],(MATCH(B447,SpaceTable[Space Name Concatenated Helper],0))))</f>
        <v/>
      </c>
      <c r="AL447" s="238" t="str">
        <f>IF(AM447="Row Not Used","",INDEX(SpaceTable[HVAC Factor],(MATCH(B447,SpaceTable[Space Name Concatenated Helper],0))))</f>
        <v/>
      </c>
      <c r="AM447" s="520" t="str">
        <f t="shared" si="178"/>
        <v>Row Not Used</v>
      </c>
      <c r="AN447" s="512" t="e" cm="1">
        <f t="array" ref="AN447">INDEX(BallastFactorTable[Ballast Factor],MATCH(1,(BallastFactorTable[Fixture Class]=D447)*(BallastFactorTable[Fixture Category]=E447)*(BallastFactorTable[Fixture Sub-category]=F447),0))</f>
        <v>#N/A</v>
      </c>
      <c r="AO447" s="143" t="str">
        <f t="shared" si="191"/>
        <v/>
      </c>
      <c r="AP447" s="501" t="e" cm="1">
        <f t="array" ref="AP447">INDEX(BallastFactorTable[Wattage Range Name],MATCH(1,(BallastFactorTable[Fixture Class]=D447)*(BallastFactorTable[Fixture Category]=E447)*(BallastFactorTable[Fixture Sub-category]=F447),0))</f>
        <v>#N/A</v>
      </c>
      <c r="AQ447" s="515" t="str">
        <f t="shared" ca="1" si="179"/>
        <v>Okay</v>
      </c>
      <c r="AR447" s="512">
        <f t="shared" si="180"/>
        <v>0</v>
      </c>
      <c r="AS447" s="511" t="str">
        <f>IF(OR(Measures!AM447="Row Not Used",Measures!C447="Controls Only",Measures!C447="Decommissioning"),"",_xlfn.CONCAT(P447," ",Q447))</f>
        <v/>
      </c>
      <c r="AT447" s="264" t="str">
        <f t="shared" si="181"/>
        <v>None</v>
      </c>
      <c r="AU447" s="229">
        <f>IF(OR(AM447="Row Not Used",AM447="Controls Only"),0,INDEX(IncentiveRateTable[Incentive Rate],MATCH(AT447,IncentiveRateTable[Incentive Name],0)))</f>
        <v>0</v>
      </c>
      <c r="AV447" s="133" t="str">
        <f>IF(OR(AM447="Row Not Used",AM447="Controls Only"),"None",INDEX(IncentiveRateTable[Incentive Unit],MATCH(AT447,IncentiveRateTable[Incentive Name],0)))</f>
        <v>None</v>
      </c>
      <c r="AW447" s="578">
        <f t="shared" si="192"/>
        <v>0</v>
      </c>
      <c r="AX447" s="264" t="str">
        <f t="shared" si="182"/>
        <v>None</v>
      </c>
      <c r="AY447" s="229">
        <f>IF(OR(AM447="Row Not Used",AM447="Fixtures Only",AM447="Decommissioning"),0,INDEX(IncentiveRateTable[Incentive Rate],MATCH(AX447,IncentiveRateTable[Incentive Name],0)))</f>
        <v>0</v>
      </c>
      <c r="AZ447" s="133" t="str">
        <f>IF(OR(AM447="Row Not Used",AM447="Fixtures Only",AM447="Decommissioning"),"None",INDEX(IncentiveRateTable[Incentive Unit],MATCH(AX447,IncentiveRateTable[Incentive Name],0)))</f>
        <v>None</v>
      </c>
      <c r="BA447" s="465">
        <f t="shared" si="183"/>
        <v>0</v>
      </c>
      <c r="BB447" s="264" t="e" cm="1">
        <f t="array" ref="BB447">INDEX(BallastFactorTable[Commercial BPA Reference Number],MATCH(1,(BallastFactorTable[Fixture Class]=J447)*(BallastFactorTable[Fixture Category]=K447)*(BallastFactorTable[Fixture Sub-category]=L447),0))</f>
        <v>#N/A</v>
      </c>
      <c r="BC447" s="133" t="e" cm="1">
        <f t="array" ref="BC447">INDEX(BallastFactorTable[Industrial BPA Reference Number],MATCH(1,(BallastFactorTable[Fixture Class]=J447)*(BallastFactorTable[Fixture Category]=K447)*(BallastFactorTable[Fixture Sub-category]=L447),0))</f>
        <v>#N/A</v>
      </c>
      <c r="BD447" s="264" t="str">
        <f t="shared" si="184"/>
        <v>Sector is blank</v>
      </c>
      <c r="BE447" s="269" t="str">
        <f>IF(ISBLANK(SectorField),"Sector is blank",IF(AM447="Row Not Used","",IF(OR(R447="No Controls",ISBLANK(R447)),"",INDEX(ControlsBPARefNoTable[Reference Number],MATCH(SectorField,ControlsBPARefNoTable[Sector],0)))))</f>
        <v>Sector is blank</v>
      </c>
      <c r="BF447" s="530" t="str">
        <f t="shared" si="185"/>
        <v/>
      </c>
      <c r="BG447" s="132" t="str">
        <f t="shared" si="186"/>
        <v/>
      </c>
      <c r="BH447" s="531" t="str">
        <f t="shared" si="187"/>
        <v/>
      </c>
      <c r="BI447" s="532"/>
      <c r="BJ447" s="538" t="str">
        <f t="shared" si="193"/>
        <v/>
      </c>
      <c r="BK447" s="539" t="str">
        <f t="shared" si="194"/>
        <v/>
      </c>
      <c r="BL447" s="547" t="str">
        <f t="shared" si="195"/>
        <v/>
      </c>
    </row>
    <row r="448" spans="1:64" x14ac:dyDescent="0.3">
      <c r="A448" s="133">
        <v>441</v>
      </c>
      <c r="B448" s="294"/>
      <c r="C448" s="313"/>
      <c r="D448" s="292"/>
      <c r="E448" s="284"/>
      <c r="F448" s="284"/>
      <c r="G448" s="295"/>
      <c r="H448" s="296"/>
      <c r="I448" s="297"/>
      <c r="J448" s="292"/>
      <c r="K448" s="284"/>
      <c r="L448" s="284"/>
      <c r="M448" s="295"/>
      <c r="N448" s="296"/>
      <c r="O448" s="296"/>
      <c r="P448" s="284"/>
      <c r="Q448" s="298"/>
      <c r="R448" s="292"/>
      <c r="S448" s="299"/>
      <c r="T448" s="300"/>
      <c r="U448" s="317" t="str">
        <f t="shared" si="169"/>
        <v/>
      </c>
      <c r="V448" s="301"/>
      <c r="W448" s="137" t="str">
        <f t="shared" si="170"/>
        <v/>
      </c>
      <c r="X448" s="589" t="str">
        <f t="shared" si="188"/>
        <v/>
      </c>
      <c r="Y448" s="581"/>
      <c r="Z448" s="251" t="str">
        <f t="shared" si="171"/>
        <v/>
      </c>
      <c r="AA448" s="138" t="str">
        <f t="shared" si="196"/>
        <v/>
      </c>
      <c r="AB448" s="243" t="str">
        <f t="shared" si="189"/>
        <v/>
      </c>
      <c r="AC448" s="141" t="str">
        <f t="shared" si="172"/>
        <v/>
      </c>
      <c r="AD448" s="138" t="str">
        <f t="shared" si="190"/>
        <v/>
      </c>
      <c r="AE448" s="243" t="str">
        <f t="shared" si="173"/>
        <v/>
      </c>
      <c r="AF448" s="342" t="str">
        <f>IF(AM448="Row Not Used","",INDEX(SpaceTable[Annual Hours],(MATCH(B448,SpaceTable[Space Name Concatenated Helper],0))))</f>
        <v/>
      </c>
      <c r="AG448" s="205" t="str">
        <f t="shared" si="174"/>
        <v/>
      </c>
      <c r="AH448" s="234" t="str">
        <f t="shared" si="175"/>
        <v/>
      </c>
      <c r="AI448" s="205" t="str">
        <f t="shared" si="176"/>
        <v/>
      </c>
      <c r="AJ448" s="234" t="str">
        <f t="shared" si="177"/>
        <v/>
      </c>
      <c r="AK448" s="144" t="str">
        <f>IF(AM448="Row Not Used","",INDEX(SpaceTable[Row],(MATCH(B448,SpaceTable[Space Name Concatenated Helper],0))))</f>
        <v/>
      </c>
      <c r="AL448" s="238" t="str">
        <f>IF(AM448="Row Not Used","",INDEX(SpaceTable[HVAC Factor],(MATCH(B448,SpaceTable[Space Name Concatenated Helper],0))))</f>
        <v/>
      </c>
      <c r="AM448" s="520" t="str">
        <f t="shared" si="178"/>
        <v>Row Not Used</v>
      </c>
      <c r="AN448" s="512" t="e" cm="1">
        <f t="array" ref="AN448">INDEX(BallastFactorTable[Ballast Factor],MATCH(1,(BallastFactorTable[Fixture Class]=D448)*(BallastFactorTable[Fixture Category]=E448)*(BallastFactorTable[Fixture Sub-category]=F448),0))</f>
        <v>#N/A</v>
      </c>
      <c r="AO448" s="143" t="str">
        <f t="shared" si="191"/>
        <v/>
      </c>
      <c r="AP448" s="501" t="e" cm="1">
        <f t="array" ref="AP448">INDEX(BallastFactorTable[Wattage Range Name],MATCH(1,(BallastFactorTable[Fixture Class]=D448)*(BallastFactorTable[Fixture Category]=E448)*(BallastFactorTable[Fixture Sub-category]=F448),0))</f>
        <v>#N/A</v>
      </c>
      <c r="AQ448" s="515" t="str">
        <f t="shared" ca="1" si="179"/>
        <v>Okay</v>
      </c>
      <c r="AR448" s="512">
        <f t="shared" si="180"/>
        <v>0</v>
      </c>
      <c r="AS448" s="511" t="str">
        <f>IF(OR(Measures!AM448="Row Not Used",Measures!C448="Controls Only",Measures!C448="Decommissioning"),"",_xlfn.CONCAT(P448," ",Q448))</f>
        <v/>
      </c>
      <c r="AT448" s="264" t="str">
        <f t="shared" si="181"/>
        <v>None</v>
      </c>
      <c r="AU448" s="229">
        <f>IF(OR(AM448="Row Not Used",AM448="Controls Only"),0,INDEX(IncentiveRateTable[Incentive Rate],MATCH(AT448,IncentiveRateTable[Incentive Name],0)))</f>
        <v>0</v>
      </c>
      <c r="AV448" s="133" t="str">
        <f>IF(OR(AM448="Row Not Used",AM448="Controls Only"),"None",INDEX(IncentiveRateTable[Incentive Unit],MATCH(AT448,IncentiveRateTable[Incentive Name],0)))</f>
        <v>None</v>
      </c>
      <c r="AW448" s="578">
        <f t="shared" si="192"/>
        <v>0</v>
      </c>
      <c r="AX448" s="264" t="str">
        <f t="shared" si="182"/>
        <v>None</v>
      </c>
      <c r="AY448" s="229">
        <f>IF(OR(AM448="Row Not Used",AM448="Fixtures Only",AM448="Decommissioning"),0,INDEX(IncentiveRateTable[Incentive Rate],MATCH(AX448,IncentiveRateTable[Incentive Name],0)))</f>
        <v>0</v>
      </c>
      <c r="AZ448" s="133" t="str">
        <f>IF(OR(AM448="Row Not Used",AM448="Fixtures Only",AM448="Decommissioning"),"None",INDEX(IncentiveRateTable[Incentive Unit],MATCH(AX448,IncentiveRateTable[Incentive Name],0)))</f>
        <v>None</v>
      </c>
      <c r="BA448" s="465">
        <f t="shared" si="183"/>
        <v>0</v>
      </c>
      <c r="BB448" s="264" t="e" cm="1">
        <f t="array" ref="BB448">INDEX(BallastFactorTable[Commercial BPA Reference Number],MATCH(1,(BallastFactorTable[Fixture Class]=J448)*(BallastFactorTable[Fixture Category]=K448)*(BallastFactorTable[Fixture Sub-category]=L448),0))</f>
        <v>#N/A</v>
      </c>
      <c r="BC448" s="133" t="e" cm="1">
        <f t="array" ref="BC448">INDEX(BallastFactorTable[Industrial BPA Reference Number],MATCH(1,(BallastFactorTable[Fixture Class]=J448)*(BallastFactorTable[Fixture Category]=K448)*(BallastFactorTable[Fixture Sub-category]=L448),0))</f>
        <v>#N/A</v>
      </c>
      <c r="BD448" s="264" t="str">
        <f t="shared" si="184"/>
        <v>Sector is blank</v>
      </c>
      <c r="BE448" s="269" t="str">
        <f>IF(ISBLANK(SectorField),"Sector is blank",IF(AM448="Row Not Used","",IF(OR(R448="No Controls",ISBLANK(R448)),"",INDEX(ControlsBPARefNoTable[Reference Number],MATCH(SectorField,ControlsBPARefNoTable[Sector],0)))))</f>
        <v>Sector is blank</v>
      </c>
      <c r="BF448" s="530" t="str">
        <f t="shared" si="185"/>
        <v/>
      </c>
      <c r="BG448" s="132" t="str">
        <f t="shared" si="186"/>
        <v/>
      </c>
      <c r="BH448" s="531" t="str">
        <f t="shared" si="187"/>
        <v/>
      </c>
      <c r="BI448" s="532"/>
      <c r="BJ448" s="538" t="str">
        <f t="shared" si="193"/>
        <v/>
      </c>
      <c r="BK448" s="539" t="str">
        <f t="shared" si="194"/>
        <v/>
      </c>
      <c r="BL448" s="547" t="str">
        <f t="shared" si="195"/>
        <v/>
      </c>
    </row>
    <row r="449" spans="1:64" x14ac:dyDescent="0.3">
      <c r="A449" s="133">
        <v>442</v>
      </c>
      <c r="B449" s="294"/>
      <c r="C449" s="313"/>
      <c r="D449" s="292"/>
      <c r="E449" s="284"/>
      <c r="F449" s="284"/>
      <c r="G449" s="295"/>
      <c r="H449" s="296"/>
      <c r="I449" s="297"/>
      <c r="J449" s="292"/>
      <c r="K449" s="284"/>
      <c r="L449" s="284"/>
      <c r="M449" s="295"/>
      <c r="N449" s="296"/>
      <c r="O449" s="296"/>
      <c r="P449" s="284"/>
      <c r="Q449" s="298"/>
      <c r="R449" s="292"/>
      <c r="S449" s="299"/>
      <c r="T449" s="300"/>
      <c r="U449" s="317" t="str">
        <f t="shared" si="169"/>
        <v/>
      </c>
      <c r="V449" s="301"/>
      <c r="W449" s="136" t="str">
        <f t="shared" si="170"/>
        <v/>
      </c>
      <c r="X449" s="588" t="str">
        <f t="shared" si="188"/>
        <v/>
      </c>
      <c r="Y449" s="580"/>
      <c r="Z449" s="251" t="str">
        <f t="shared" si="171"/>
        <v/>
      </c>
      <c r="AA449" s="138" t="str">
        <f t="shared" si="196"/>
        <v/>
      </c>
      <c r="AB449" s="243" t="str">
        <f t="shared" si="189"/>
        <v/>
      </c>
      <c r="AC449" s="141" t="str">
        <f t="shared" si="172"/>
        <v/>
      </c>
      <c r="AD449" s="138" t="str">
        <f t="shared" si="190"/>
        <v/>
      </c>
      <c r="AE449" s="243" t="str">
        <f t="shared" si="173"/>
        <v/>
      </c>
      <c r="AF449" s="342" t="str">
        <f>IF(AM449="Row Not Used","",INDEX(SpaceTable[Annual Hours],(MATCH(B449,SpaceTable[Space Name Concatenated Helper],0))))</f>
        <v/>
      </c>
      <c r="AG449" s="205" t="str">
        <f t="shared" si="174"/>
        <v/>
      </c>
      <c r="AH449" s="234" t="str">
        <f t="shared" si="175"/>
        <v/>
      </c>
      <c r="AI449" s="205" t="str">
        <f t="shared" si="176"/>
        <v/>
      </c>
      <c r="AJ449" s="234" t="str">
        <f t="shared" si="177"/>
        <v/>
      </c>
      <c r="AK449" s="144" t="str">
        <f>IF(AM449="Row Not Used","",INDEX(SpaceTable[Row],(MATCH(B449,SpaceTable[Space Name Concatenated Helper],0))))</f>
        <v/>
      </c>
      <c r="AL449" s="238" t="str">
        <f>IF(AM449="Row Not Used","",INDEX(SpaceTable[HVAC Factor],(MATCH(B449,SpaceTable[Space Name Concatenated Helper],0))))</f>
        <v/>
      </c>
      <c r="AM449" s="520" t="str">
        <f t="shared" si="178"/>
        <v>Row Not Used</v>
      </c>
      <c r="AN449" s="512" t="e" cm="1">
        <f t="array" ref="AN449">INDEX(BallastFactorTable[Ballast Factor],MATCH(1,(BallastFactorTable[Fixture Class]=D449)*(BallastFactorTable[Fixture Category]=E449)*(BallastFactorTable[Fixture Sub-category]=F449),0))</f>
        <v>#N/A</v>
      </c>
      <c r="AO449" s="143" t="str">
        <f t="shared" si="191"/>
        <v/>
      </c>
      <c r="AP449" s="501" t="e" cm="1">
        <f t="array" ref="AP449">INDEX(BallastFactorTable[Wattage Range Name],MATCH(1,(BallastFactorTable[Fixture Class]=D449)*(BallastFactorTable[Fixture Category]=E449)*(BallastFactorTable[Fixture Sub-category]=F449),0))</f>
        <v>#N/A</v>
      </c>
      <c r="AQ449" s="515" t="str">
        <f t="shared" ca="1" si="179"/>
        <v>Okay</v>
      </c>
      <c r="AR449" s="512">
        <f t="shared" si="180"/>
        <v>0</v>
      </c>
      <c r="AS449" s="511" t="str">
        <f>IF(OR(Measures!AM449="Row Not Used",Measures!C449="Controls Only",Measures!C449="Decommissioning"),"",_xlfn.CONCAT(P449," ",Q449))</f>
        <v/>
      </c>
      <c r="AT449" s="264" t="str">
        <f t="shared" si="181"/>
        <v>None</v>
      </c>
      <c r="AU449" s="229">
        <f>IF(OR(AM449="Row Not Used",AM449="Controls Only"),0,INDEX(IncentiveRateTable[Incentive Rate],MATCH(AT449,IncentiveRateTable[Incentive Name],0)))</f>
        <v>0</v>
      </c>
      <c r="AV449" s="133" t="str">
        <f>IF(OR(AM449="Row Not Used",AM449="Controls Only"),"None",INDEX(IncentiveRateTable[Incentive Unit],MATCH(AT449,IncentiveRateTable[Incentive Name],0)))</f>
        <v>None</v>
      </c>
      <c r="AW449" s="578">
        <f t="shared" si="192"/>
        <v>0</v>
      </c>
      <c r="AX449" s="264" t="str">
        <f t="shared" si="182"/>
        <v>None</v>
      </c>
      <c r="AY449" s="229">
        <f>IF(OR(AM449="Row Not Used",AM449="Fixtures Only",AM449="Decommissioning"),0,INDEX(IncentiveRateTable[Incentive Rate],MATCH(AX449,IncentiveRateTable[Incentive Name],0)))</f>
        <v>0</v>
      </c>
      <c r="AZ449" s="133" t="str">
        <f>IF(OR(AM449="Row Not Used",AM449="Fixtures Only",AM449="Decommissioning"),"None",INDEX(IncentiveRateTable[Incentive Unit],MATCH(AX449,IncentiveRateTable[Incentive Name],0)))</f>
        <v>None</v>
      </c>
      <c r="BA449" s="465">
        <f t="shared" si="183"/>
        <v>0</v>
      </c>
      <c r="BB449" s="264" t="e" cm="1">
        <f t="array" ref="BB449">INDEX(BallastFactorTable[Commercial BPA Reference Number],MATCH(1,(BallastFactorTable[Fixture Class]=J449)*(BallastFactorTable[Fixture Category]=K449)*(BallastFactorTable[Fixture Sub-category]=L449),0))</f>
        <v>#N/A</v>
      </c>
      <c r="BC449" s="133" t="e" cm="1">
        <f t="array" ref="BC449">INDEX(BallastFactorTable[Industrial BPA Reference Number],MATCH(1,(BallastFactorTable[Fixture Class]=J449)*(BallastFactorTable[Fixture Category]=K449)*(BallastFactorTable[Fixture Sub-category]=L449),0))</f>
        <v>#N/A</v>
      </c>
      <c r="BD449" s="264" t="str">
        <f t="shared" si="184"/>
        <v>Sector is blank</v>
      </c>
      <c r="BE449" s="269" t="str">
        <f>IF(ISBLANK(SectorField),"Sector is blank",IF(AM449="Row Not Used","",IF(OR(R449="No Controls",ISBLANK(R449)),"",INDEX(ControlsBPARefNoTable[Reference Number],MATCH(SectorField,ControlsBPARefNoTable[Sector],0)))))</f>
        <v>Sector is blank</v>
      </c>
      <c r="BF449" s="530" t="str">
        <f t="shared" si="185"/>
        <v/>
      </c>
      <c r="BG449" s="132" t="str">
        <f t="shared" si="186"/>
        <v/>
      </c>
      <c r="BH449" s="531" t="str">
        <f t="shared" si="187"/>
        <v/>
      </c>
      <c r="BI449" s="532"/>
      <c r="BJ449" s="538" t="str">
        <f t="shared" si="193"/>
        <v/>
      </c>
      <c r="BK449" s="539" t="str">
        <f t="shared" si="194"/>
        <v/>
      </c>
      <c r="BL449" s="547" t="str">
        <f t="shared" si="195"/>
        <v/>
      </c>
    </row>
    <row r="450" spans="1:64" x14ac:dyDescent="0.3">
      <c r="A450" s="133">
        <v>443</v>
      </c>
      <c r="B450" s="294"/>
      <c r="C450" s="313"/>
      <c r="D450" s="292"/>
      <c r="E450" s="284"/>
      <c r="F450" s="284"/>
      <c r="G450" s="295"/>
      <c r="H450" s="296"/>
      <c r="I450" s="297"/>
      <c r="J450" s="292"/>
      <c r="K450" s="284"/>
      <c r="L450" s="284"/>
      <c r="M450" s="295"/>
      <c r="N450" s="296"/>
      <c r="O450" s="296"/>
      <c r="P450" s="284"/>
      <c r="Q450" s="298"/>
      <c r="R450" s="292"/>
      <c r="S450" s="299"/>
      <c r="T450" s="300"/>
      <c r="U450" s="317" t="str">
        <f t="shared" si="169"/>
        <v/>
      </c>
      <c r="V450" s="301"/>
      <c r="W450" s="137" t="str">
        <f t="shared" si="170"/>
        <v/>
      </c>
      <c r="X450" s="589" t="str">
        <f t="shared" si="188"/>
        <v/>
      </c>
      <c r="Y450" s="581"/>
      <c r="Z450" s="251" t="str">
        <f t="shared" si="171"/>
        <v/>
      </c>
      <c r="AA450" s="138" t="str">
        <f t="shared" si="196"/>
        <v/>
      </c>
      <c r="AB450" s="243" t="str">
        <f t="shared" si="189"/>
        <v/>
      </c>
      <c r="AC450" s="141" t="str">
        <f t="shared" si="172"/>
        <v/>
      </c>
      <c r="AD450" s="138" t="str">
        <f t="shared" si="190"/>
        <v/>
      </c>
      <c r="AE450" s="243" t="str">
        <f t="shared" si="173"/>
        <v/>
      </c>
      <c r="AF450" s="342" t="str">
        <f>IF(AM450="Row Not Used","",INDEX(SpaceTable[Annual Hours],(MATCH(B450,SpaceTable[Space Name Concatenated Helper],0))))</f>
        <v/>
      </c>
      <c r="AG450" s="205" t="str">
        <f t="shared" si="174"/>
        <v/>
      </c>
      <c r="AH450" s="234" t="str">
        <f t="shared" si="175"/>
        <v/>
      </c>
      <c r="AI450" s="205" t="str">
        <f t="shared" si="176"/>
        <v/>
      </c>
      <c r="AJ450" s="234" t="str">
        <f t="shared" si="177"/>
        <v/>
      </c>
      <c r="AK450" s="144" t="str">
        <f>IF(AM450="Row Not Used","",INDEX(SpaceTable[Row],(MATCH(B450,SpaceTable[Space Name Concatenated Helper],0))))</f>
        <v/>
      </c>
      <c r="AL450" s="238" t="str">
        <f>IF(AM450="Row Not Used","",INDEX(SpaceTable[HVAC Factor],(MATCH(B450,SpaceTable[Space Name Concatenated Helper],0))))</f>
        <v/>
      </c>
      <c r="AM450" s="520" t="str">
        <f t="shared" si="178"/>
        <v>Row Not Used</v>
      </c>
      <c r="AN450" s="512" t="e" cm="1">
        <f t="array" ref="AN450">INDEX(BallastFactorTable[Ballast Factor],MATCH(1,(BallastFactorTable[Fixture Class]=D450)*(BallastFactorTable[Fixture Category]=E450)*(BallastFactorTable[Fixture Sub-category]=F450),0))</f>
        <v>#N/A</v>
      </c>
      <c r="AO450" s="143" t="str">
        <f t="shared" si="191"/>
        <v/>
      </c>
      <c r="AP450" s="501" t="e" cm="1">
        <f t="array" ref="AP450">INDEX(BallastFactorTable[Wattage Range Name],MATCH(1,(BallastFactorTable[Fixture Class]=D450)*(BallastFactorTable[Fixture Category]=E450)*(BallastFactorTable[Fixture Sub-category]=F450),0))</f>
        <v>#N/A</v>
      </c>
      <c r="AQ450" s="515" t="str">
        <f t="shared" ca="1" si="179"/>
        <v>Okay</v>
      </c>
      <c r="AR450" s="512">
        <f t="shared" si="180"/>
        <v>0</v>
      </c>
      <c r="AS450" s="511" t="str">
        <f>IF(OR(Measures!AM450="Row Not Used",Measures!C450="Controls Only",Measures!C450="Decommissioning"),"",_xlfn.CONCAT(P450," ",Q450))</f>
        <v/>
      </c>
      <c r="AT450" s="264" t="str">
        <f t="shared" si="181"/>
        <v>None</v>
      </c>
      <c r="AU450" s="229">
        <f>IF(OR(AM450="Row Not Used",AM450="Controls Only"),0,INDEX(IncentiveRateTable[Incentive Rate],MATCH(AT450,IncentiveRateTable[Incentive Name],0)))</f>
        <v>0</v>
      </c>
      <c r="AV450" s="133" t="str">
        <f>IF(OR(AM450="Row Not Used",AM450="Controls Only"),"None",INDEX(IncentiveRateTable[Incentive Unit],MATCH(AT450,IncentiveRateTable[Incentive Name],0)))</f>
        <v>None</v>
      </c>
      <c r="AW450" s="578">
        <f t="shared" si="192"/>
        <v>0</v>
      </c>
      <c r="AX450" s="264" t="str">
        <f t="shared" si="182"/>
        <v>None</v>
      </c>
      <c r="AY450" s="229">
        <f>IF(OR(AM450="Row Not Used",AM450="Fixtures Only",AM450="Decommissioning"),0,INDEX(IncentiveRateTable[Incentive Rate],MATCH(AX450,IncentiveRateTable[Incentive Name],0)))</f>
        <v>0</v>
      </c>
      <c r="AZ450" s="133" t="str">
        <f>IF(OR(AM450="Row Not Used",AM450="Fixtures Only",AM450="Decommissioning"),"None",INDEX(IncentiveRateTable[Incentive Unit],MATCH(AX450,IncentiveRateTable[Incentive Name],0)))</f>
        <v>None</v>
      </c>
      <c r="BA450" s="465">
        <f t="shared" si="183"/>
        <v>0</v>
      </c>
      <c r="BB450" s="264" t="e" cm="1">
        <f t="array" ref="BB450">INDEX(BallastFactorTable[Commercial BPA Reference Number],MATCH(1,(BallastFactorTable[Fixture Class]=J450)*(BallastFactorTable[Fixture Category]=K450)*(BallastFactorTable[Fixture Sub-category]=L450),0))</f>
        <v>#N/A</v>
      </c>
      <c r="BC450" s="133" t="e" cm="1">
        <f t="array" ref="BC450">INDEX(BallastFactorTable[Industrial BPA Reference Number],MATCH(1,(BallastFactorTable[Fixture Class]=J450)*(BallastFactorTable[Fixture Category]=K450)*(BallastFactorTable[Fixture Sub-category]=L450),0))</f>
        <v>#N/A</v>
      </c>
      <c r="BD450" s="264" t="str">
        <f t="shared" si="184"/>
        <v>Sector is blank</v>
      </c>
      <c r="BE450" s="269" t="str">
        <f>IF(ISBLANK(SectorField),"Sector is blank",IF(AM450="Row Not Used","",IF(OR(R450="No Controls",ISBLANK(R450)),"",INDEX(ControlsBPARefNoTable[Reference Number],MATCH(SectorField,ControlsBPARefNoTable[Sector],0)))))</f>
        <v>Sector is blank</v>
      </c>
      <c r="BF450" s="530" t="str">
        <f t="shared" si="185"/>
        <v/>
      </c>
      <c r="BG450" s="132" t="str">
        <f t="shared" si="186"/>
        <v/>
      </c>
      <c r="BH450" s="531" t="str">
        <f t="shared" si="187"/>
        <v/>
      </c>
      <c r="BI450" s="532"/>
      <c r="BJ450" s="538" t="str">
        <f t="shared" si="193"/>
        <v/>
      </c>
      <c r="BK450" s="539" t="str">
        <f t="shared" si="194"/>
        <v/>
      </c>
      <c r="BL450" s="547" t="str">
        <f t="shared" si="195"/>
        <v/>
      </c>
    </row>
    <row r="451" spans="1:64" x14ac:dyDescent="0.3">
      <c r="A451" s="133">
        <v>444</v>
      </c>
      <c r="B451" s="294"/>
      <c r="C451" s="313"/>
      <c r="D451" s="292"/>
      <c r="E451" s="284"/>
      <c r="F451" s="284"/>
      <c r="G451" s="295"/>
      <c r="H451" s="296"/>
      <c r="I451" s="297"/>
      <c r="J451" s="292"/>
      <c r="K451" s="284"/>
      <c r="L451" s="284"/>
      <c r="M451" s="295"/>
      <c r="N451" s="296"/>
      <c r="O451" s="296"/>
      <c r="P451" s="284"/>
      <c r="Q451" s="298"/>
      <c r="R451" s="292"/>
      <c r="S451" s="299"/>
      <c r="T451" s="300"/>
      <c r="U451" s="317" t="str">
        <f t="shared" si="169"/>
        <v/>
      </c>
      <c r="V451" s="301"/>
      <c r="W451" s="136" t="str">
        <f t="shared" si="170"/>
        <v/>
      </c>
      <c r="X451" s="588" t="str">
        <f t="shared" si="188"/>
        <v/>
      </c>
      <c r="Y451" s="580"/>
      <c r="Z451" s="251" t="str">
        <f t="shared" si="171"/>
        <v/>
      </c>
      <c r="AA451" s="138" t="str">
        <f t="shared" si="196"/>
        <v/>
      </c>
      <c r="AB451" s="243" t="str">
        <f t="shared" si="189"/>
        <v/>
      </c>
      <c r="AC451" s="141" t="str">
        <f t="shared" si="172"/>
        <v/>
      </c>
      <c r="AD451" s="138" t="str">
        <f t="shared" si="190"/>
        <v/>
      </c>
      <c r="AE451" s="243" t="str">
        <f t="shared" si="173"/>
        <v/>
      </c>
      <c r="AF451" s="342" t="str">
        <f>IF(AM451="Row Not Used","",INDEX(SpaceTable[Annual Hours],(MATCH(B451,SpaceTable[Space Name Concatenated Helper],0))))</f>
        <v/>
      </c>
      <c r="AG451" s="205" t="str">
        <f t="shared" si="174"/>
        <v/>
      </c>
      <c r="AH451" s="234" t="str">
        <f t="shared" si="175"/>
        <v/>
      </c>
      <c r="AI451" s="205" t="str">
        <f t="shared" si="176"/>
        <v/>
      </c>
      <c r="AJ451" s="234" t="str">
        <f t="shared" si="177"/>
        <v/>
      </c>
      <c r="AK451" s="144" t="str">
        <f>IF(AM451="Row Not Used","",INDEX(SpaceTable[Row],(MATCH(B451,SpaceTable[Space Name Concatenated Helper],0))))</f>
        <v/>
      </c>
      <c r="AL451" s="238" t="str">
        <f>IF(AM451="Row Not Used","",INDEX(SpaceTable[HVAC Factor],(MATCH(B451,SpaceTable[Space Name Concatenated Helper],0))))</f>
        <v/>
      </c>
      <c r="AM451" s="520" t="str">
        <f t="shared" si="178"/>
        <v>Row Not Used</v>
      </c>
      <c r="AN451" s="512" t="e" cm="1">
        <f t="array" ref="AN451">INDEX(BallastFactorTable[Ballast Factor],MATCH(1,(BallastFactorTable[Fixture Class]=D451)*(BallastFactorTable[Fixture Category]=E451)*(BallastFactorTable[Fixture Sub-category]=F451),0))</f>
        <v>#N/A</v>
      </c>
      <c r="AO451" s="143" t="str">
        <f t="shared" si="191"/>
        <v/>
      </c>
      <c r="AP451" s="501" t="e" cm="1">
        <f t="array" ref="AP451">INDEX(BallastFactorTable[Wattage Range Name],MATCH(1,(BallastFactorTable[Fixture Class]=D451)*(BallastFactorTable[Fixture Category]=E451)*(BallastFactorTable[Fixture Sub-category]=F451),0))</f>
        <v>#N/A</v>
      </c>
      <c r="AQ451" s="515" t="str">
        <f t="shared" ca="1" si="179"/>
        <v>Okay</v>
      </c>
      <c r="AR451" s="512">
        <f t="shared" si="180"/>
        <v>0</v>
      </c>
      <c r="AS451" s="511" t="str">
        <f>IF(OR(Measures!AM451="Row Not Used",Measures!C451="Controls Only",Measures!C451="Decommissioning"),"",_xlfn.CONCAT(P451," ",Q451))</f>
        <v/>
      </c>
      <c r="AT451" s="264" t="str">
        <f t="shared" si="181"/>
        <v>None</v>
      </c>
      <c r="AU451" s="229">
        <f>IF(OR(AM451="Row Not Used",AM451="Controls Only"),0,INDEX(IncentiveRateTable[Incentive Rate],MATCH(AT451,IncentiveRateTable[Incentive Name],0)))</f>
        <v>0</v>
      </c>
      <c r="AV451" s="133" t="str">
        <f>IF(OR(AM451="Row Not Used",AM451="Controls Only"),"None",INDEX(IncentiveRateTable[Incentive Unit],MATCH(AT451,IncentiveRateTable[Incentive Name],0)))</f>
        <v>None</v>
      </c>
      <c r="AW451" s="578">
        <f t="shared" si="192"/>
        <v>0</v>
      </c>
      <c r="AX451" s="264" t="str">
        <f t="shared" si="182"/>
        <v>None</v>
      </c>
      <c r="AY451" s="229">
        <f>IF(OR(AM451="Row Not Used",AM451="Fixtures Only",AM451="Decommissioning"),0,INDEX(IncentiveRateTable[Incentive Rate],MATCH(AX451,IncentiveRateTable[Incentive Name],0)))</f>
        <v>0</v>
      </c>
      <c r="AZ451" s="133" t="str">
        <f>IF(OR(AM451="Row Not Used",AM451="Fixtures Only",AM451="Decommissioning"),"None",INDEX(IncentiveRateTable[Incentive Unit],MATCH(AX451,IncentiveRateTable[Incentive Name],0)))</f>
        <v>None</v>
      </c>
      <c r="BA451" s="465">
        <f t="shared" si="183"/>
        <v>0</v>
      </c>
      <c r="BB451" s="264" t="e" cm="1">
        <f t="array" ref="BB451">INDEX(BallastFactorTable[Commercial BPA Reference Number],MATCH(1,(BallastFactorTable[Fixture Class]=J451)*(BallastFactorTable[Fixture Category]=K451)*(BallastFactorTable[Fixture Sub-category]=L451),0))</f>
        <v>#N/A</v>
      </c>
      <c r="BC451" s="133" t="e" cm="1">
        <f t="array" ref="BC451">INDEX(BallastFactorTable[Industrial BPA Reference Number],MATCH(1,(BallastFactorTable[Fixture Class]=J451)*(BallastFactorTable[Fixture Category]=K451)*(BallastFactorTable[Fixture Sub-category]=L451),0))</f>
        <v>#N/A</v>
      </c>
      <c r="BD451" s="264" t="str">
        <f t="shared" si="184"/>
        <v>Sector is blank</v>
      </c>
      <c r="BE451" s="269" t="str">
        <f>IF(ISBLANK(SectorField),"Sector is blank",IF(AM451="Row Not Used","",IF(OR(R451="No Controls",ISBLANK(R451)),"",INDEX(ControlsBPARefNoTable[Reference Number],MATCH(SectorField,ControlsBPARefNoTable[Sector],0)))))</f>
        <v>Sector is blank</v>
      </c>
      <c r="BF451" s="530" t="str">
        <f t="shared" si="185"/>
        <v/>
      </c>
      <c r="BG451" s="132" t="str">
        <f t="shared" si="186"/>
        <v/>
      </c>
      <c r="BH451" s="531" t="str">
        <f t="shared" si="187"/>
        <v/>
      </c>
      <c r="BI451" s="532"/>
      <c r="BJ451" s="538" t="str">
        <f t="shared" si="193"/>
        <v/>
      </c>
      <c r="BK451" s="539" t="str">
        <f t="shared" si="194"/>
        <v/>
      </c>
      <c r="BL451" s="547" t="str">
        <f t="shared" si="195"/>
        <v/>
      </c>
    </row>
    <row r="452" spans="1:64" x14ac:dyDescent="0.3">
      <c r="A452" s="133">
        <v>445</v>
      </c>
      <c r="B452" s="294"/>
      <c r="C452" s="313"/>
      <c r="D452" s="292"/>
      <c r="E452" s="284"/>
      <c r="F452" s="284"/>
      <c r="G452" s="295"/>
      <c r="H452" s="296"/>
      <c r="I452" s="297"/>
      <c r="J452" s="292"/>
      <c r="K452" s="284"/>
      <c r="L452" s="284"/>
      <c r="M452" s="295"/>
      <c r="N452" s="296"/>
      <c r="O452" s="296"/>
      <c r="P452" s="284"/>
      <c r="Q452" s="298"/>
      <c r="R452" s="292"/>
      <c r="S452" s="299"/>
      <c r="T452" s="300"/>
      <c r="U452" s="317" t="str">
        <f t="shared" si="169"/>
        <v/>
      </c>
      <c r="V452" s="301"/>
      <c r="W452" s="137" t="str">
        <f t="shared" si="170"/>
        <v/>
      </c>
      <c r="X452" s="589" t="str">
        <f t="shared" si="188"/>
        <v/>
      </c>
      <c r="Y452" s="581"/>
      <c r="Z452" s="251" t="str">
        <f t="shared" si="171"/>
        <v/>
      </c>
      <c r="AA452" s="138" t="str">
        <f t="shared" si="196"/>
        <v/>
      </c>
      <c r="AB452" s="243" t="str">
        <f t="shared" si="189"/>
        <v/>
      </c>
      <c r="AC452" s="141" t="str">
        <f t="shared" si="172"/>
        <v/>
      </c>
      <c r="AD452" s="138" t="str">
        <f t="shared" si="190"/>
        <v/>
      </c>
      <c r="AE452" s="243" t="str">
        <f t="shared" si="173"/>
        <v/>
      </c>
      <c r="AF452" s="342" t="str">
        <f>IF(AM452="Row Not Used","",INDEX(SpaceTable[Annual Hours],(MATCH(B452,SpaceTable[Space Name Concatenated Helper],0))))</f>
        <v/>
      </c>
      <c r="AG452" s="205" t="str">
        <f t="shared" si="174"/>
        <v/>
      </c>
      <c r="AH452" s="234" t="str">
        <f t="shared" si="175"/>
        <v/>
      </c>
      <c r="AI452" s="205" t="str">
        <f t="shared" si="176"/>
        <v/>
      </c>
      <c r="AJ452" s="234" t="str">
        <f t="shared" si="177"/>
        <v/>
      </c>
      <c r="AK452" s="144" t="str">
        <f>IF(AM452="Row Not Used","",INDEX(SpaceTable[Row],(MATCH(B452,SpaceTable[Space Name Concatenated Helper],0))))</f>
        <v/>
      </c>
      <c r="AL452" s="238" t="str">
        <f>IF(AM452="Row Not Used","",INDEX(SpaceTable[HVAC Factor],(MATCH(B452,SpaceTable[Space Name Concatenated Helper],0))))</f>
        <v/>
      </c>
      <c r="AM452" s="520" t="str">
        <f t="shared" si="178"/>
        <v>Row Not Used</v>
      </c>
      <c r="AN452" s="512" t="e" cm="1">
        <f t="array" ref="AN452">INDEX(BallastFactorTable[Ballast Factor],MATCH(1,(BallastFactorTable[Fixture Class]=D452)*(BallastFactorTable[Fixture Category]=E452)*(BallastFactorTable[Fixture Sub-category]=F452),0))</f>
        <v>#N/A</v>
      </c>
      <c r="AO452" s="143" t="str">
        <f t="shared" si="191"/>
        <v/>
      </c>
      <c r="AP452" s="501" t="e" cm="1">
        <f t="array" ref="AP452">INDEX(BallastFactorTable[Wattage Range Name],MATCH(1,(BallastFactorTable[Fixture Class]=D452)*(BallastFactorTable[Fixture Category]=E452)*(BallastFactorTable[Fixture Sub-category]=F452),0))</f>
        <v>#N/A</v>
      </c>
      <c r="AQ452" s="515" t="str">
        <f t="shared" ca="1" si="179"/>
        <v>Okay</v>
      </c>
      <c r="AR452" s="512">
        <f t="shared" si="180"/>
        <v>0</v>
      </c>
      <c r="AS452" s="511" t="str">
        <f>IF(OR(Measures!AM452="Row Not Used",Measures!C452="Controls Only",Measures!C452="Decommissioning"),"",_xlfn.CONCAT(P452," ",Q452))</f>
        <v/>
      </c>
      <c r="AT452" s="264" t="str">
        <f t="shared" si="181"/>
        <v>None</v>
      </c>
      <c r="AU452" s="229">
        <f>IF(OR(AM452="Row Not Used",AM452="Controls Only"),0,INDEX(IncentiveRateTable[Incentive Rate],MATCH(AT452,IncentiveRateTable[Incentive Name],0)))</f>
        <v>0</v>
      </c>
      <c r="AV452" s="133" t="str">
        <f>IF(OR(AM452="Row Not Used",AM452="Controls Only"),"None",INDEX(IncentiveRateTable[Incentive Unit],MATCH(AT452,IncentiveRateTable[Incentive Name],0)))</f>
        <v>None</v>
      </c>
      <c r="AW452" s="578">
        <f t="shared" si="192"/>
        <v>0</v>
      </c>
      <c r="AX452" s="264" t="str">
        <f t="shared" si="182"/>
        <v>None</v>
      </c>
      <c r="AY452" s="229">
        <f>IF(OR(AM452="Row Not Used",AM452="Fixtures Only",AM452="Decommissioning"),0,INDEX(IncentiveRateTable[Incentive Rate],MATCH(AX452,IncentiveRateTable[Incentive Name],0)))</f>
        <v>0</v>
      </c>
      <c r="AZ452" s="133" t="str">
        <f>IF(OR(AM452="Row Not Used",AM452="Fixtures Only",AM452="Decommissioning"),"None",INDEX(IncentiveRateTable[Incentive Unit],MATCH(AX452,IncentiveRateTable[Incentive Name],0)))</f>
        <v>None</v>
      </c>
      <c r="BA452" s="465">
        <f t="shared" si="183"/>
        <v>0</v>
      </c>
      <c r="BB452" s="264" t="e" cm="1">
        <f t="array" ref="BB452">INDEX(BallastFactorTable[Commercial BPA Reference Number],MATCH(1,(BallastFactorTable[Fixture Class]=J452)*(BallastFactorTable[Fixture Category]=K452)*(BallastFactorTable[Fixture Sub-category]=L452),0))</f>
        <v>#N/A</v>
      </c>
      <c r="BC452" s="133" t="e" cm="1">
        <f t="array" ref="BC452">INDEX(BallastFactorTable[Industrial BPA Reference Number],MATCH(1,(BallastFactorTable[Fixture Class]=J452)*(BallastFactorTable[Fixture Category]=K452)*(BallastFactorTable[Fixture Sub-category]=L452),0))</f>
        <v>#N/A</v>
      </c>
      <c r="BD452" s="264" t="str">
        <f t="shared" si="184"/>
        <v>Sector is blank</v>
      </c>
      <c r="BE452" s="269" t="str">
        <f>IF(ISBLANK(SectorField),"Sector is blank",IF(AM452="Row Not Used","",IF(OR(R452="No Controls",ISBLANK(R452)),"",INDEX(ControlsBPARefNoTable[Reference Number],MATCH(SectorField,ControlsBPARefNoTable[Sector],0)))))</f>
        <v>Sector is blank</v>
      </c>
      <c r="BF452" s="530" t="str">
        <f t="shared" si="185"/>
        <v/>
      </c>
      <c r="BG452" s="132" t="str">
        <f t="shared" si="186"/>
        <v/>
      </c>
      <c r="BH452" s="531" t="str">
        <f t="shared" si="187"/>
        <v/>
      </c>
      <c r="BI452" s="532"/>
      <c r="BJ452" s="538" t="str">
        <f t="shared" si="193"/>
        <v/>
      </c>
      <c r="BK452" s="539" t="str">
        <f t="shared" si="194"/>
        <v/>
      </c>
      <c r="BL452" s="547" t="str">
        <f t="shared" si="195"/>
        <v/>
      </c>
    </row>
    <row r="453" spans="1:64" x14ac:dyDescent="0.3">
      <c r="A453" s="133">
        <v>446</v>
      </c>
      <c r="B453" s="294"/>
      <c r="C453" s="313"/>
      <c r="D453" s="292"/>
      <c r="E453" s="284"/>
      <c r="F453" s="284"/>
      <c r="G453" s="295"/>
      <c r="H453" s="296"/>
      <c r="I453" s="297"/>
      <c r="J453" s="292"/>
      <c r="K453" s="284"/>
      <c r="L453" s="284"/>
      <c r="M453" s="295"/>
      <c r="N453" s="296"/>
      <c r="O453" s="296"/>
      <c r="P453" s="284"/>
      <c r="Q453" s="298"/>
      <c r="R453" s="292"/>
      <c r="S453" s="299"/>
      <c r="T453" s="300"/>
      <c r="U453" s="317" t="str">
        <f t="shared" si="169"/>
        <v/>
      </c>
      <c r="V453" s="301"/>
      <c r="W453" s="136" t="str">
        <f t="shared" si="170"/>
        <v/>
      </c>
      <c r="X453" s="588" t="str">
        <f t="shared" si="188"/>
        <v/>
      </c>
      <c r="Y453" s="580"/>
      <c r="Z453" s="251" t="str">
        <f t="shared" si="171"/>
        <v/>
      </c>
      <c r="AA453" s="138" t="str">
        <f t="shared" si="196"/>
        <v/>
      </c>
      <c r="AB453" s="243" t="str">
        <f t="shared" si="189"/>
        <v/>
      </c>
      <c r="AC453" s="141" t="str">
        <f t="shared" si="172"/>
        <v/>
      </c>
      <c r="AD453" s="138" t="str">
        <f t="shared" si="190"/>
        <v/>
      </c>
      <c r="AE453" s="243" t="str">
        <f t="shared" si="173"/>
        <v/>
      </c>
      <c r="AF453" s="342" t="str">
        <f>IF(AM453="Row Not Used","",INDEX(SpaceTable[Annual Hours],(MATCH(B453,SpaceTable[Space Name Concatenated Helper],0))))</f>
        <v/>
      </c>
      <c r="AG453" s="205" t="str">
        <f t="shared" si="174"/>
        <v/>
      </c>
      <c r="AH453" s="234" t="str">
        <f t="shared" si="175"/>
        <v/>
      </c>
      <c r="AI453" s="205" t="str">
        <f t="shared" si="176"/>
        <v/>
      </c>
      <c r="AJ453" s="234" t="str">
        <f t="shared" si="177"/>
        <v/>
      </c>
      <c r="AK453" s="144" t="str">
        <f>IF(AM453="Row Not Used","",INDEX(SpaceTable[Row],(MATCH(B453,SpaceTable[Space Name Concatenated Helper],0))))</f>
        <v/>
      </c>
      <c r="AL453" s="238" t="str">
        <f>IF(AM453="Row Not Used","",INDEX(SpaceTable[HVAC Factor],(MATCH(B453,SpaceTable[Space Name Concatenated Helper],0))))</f>
        <v/>
      </c>
      <c r="AM453" s="520" t="str">
        <f t="shared" si="178"/>
        <v>Row Not Used</v>
      </c>
      <c r="AN453" s="512" t="e" cm="1">
        <f t="array" ref="AN453">INDEX(BallastFactorTable[Ballast Factor],MATCH(1,(BallastFactorTable[Fixture Class]=D453)*(BallastFactorTable[Fixture Category]=E453)*(BallastFactorTable[Fixture Sub-category]=F453),0))</f>
        <v>#N/A</v>
      </c>
      <c r="AO453" s="143" t="str">
        <f t="shared" si="191"/>
        <v/>
      </c>
      <c r="AP453" s="501" t="e" cm="1">
        <f t="array" ref="AP453">INDEX(BallastFactorTable[Wattage Range Name],MATCH(1,(BallastFactorTable[Fixture Class]=D453)*(BallastFactorTable[Fixture Category]=E453)*(BallastFactorTable[Fixture Sub-category]=F453),0))</f>
        <v>#N/A</v>
      </c>
      <c r="AQ453" s="515" t="str">
        <f t="shared" ca="1" si="179"/>
        <v>Okay</v>
      </c>
      <c r="AR453" s="512">
        <f t="shared" si="180"/>
        <v>0</v>
      </c>
      <c r="AS453" s="511" t="str">
        <f>IF(OR(Measures!AM453="Row Not Used",Measures!C453="Controls Only",Measures!C453="Decommissioning"),"",_xlfn.CONCAT(P453," ",Q453))</f>
        <v/>
      </c>
      <c r="AT453" s="264" t="str">
        <f t="shared" si="181"/>
        <v>None</v>
      </c>
      <c r="AU453" s="229">
        <f>IF(OR(AM453="Row Not Used",AM453="Controls Only"),0,INDEX(IncentiveRateTable[Incentive Rate],MATCH(AT453,IncentiveRateTable[Incentive Name],0)))</f>
        <v>0</v>
      </c>
      <c r="AV453" s="133" t="str">
        <f>IF(OR(AM453="Row Not Used",AM453="Controls Only"),"None",INDEX(IncentiveRateTable[Incentive Unit],MATCH(AT453,IncentiveRateTable[Incentive Name],0)))</f>
        <v>None</v>
      </c>
      <c r="AW453" s="578">
        <f t="shared" si="192"/>
        <v>0</v>
      </c>
      <c r="AX453" s="264" t="str">
        <f t="shared" si="182"/>
        <v>None</v>
      </c>
      <c r="AY453" s="229">
        <f>IF(OR(AM453="Row Not Used",AM453="Fixtures Only",AM453="Decommissioning"),0,INDEX(IncentiveRateTable[Incentive Rate],MATCH(AX453,IncentiveRateTable[Incentive Name],0)))</f>
        <v>0</v>
      </c>
      <c r="AZ453" s="133" t="str">
        <f>IF(OR(AM453="Row Not Used",AM453="Fixtures Only",AM453="Decommissioning"),"None",INDEX(IncentiveRateTable[Incentive Unit],MATCH(AX453,IncentiveRateTable[Incentive Name],0)))</f>
        <v>None</v>
      </c>
      <c r="BA453" s="465">
        <f t="shared" si="183"/>
        <v>0</v>
      </c>
      <c r="BB453" s="264" t="e" cm="1">
        <f t="array" ref="BB453">INDEX(BallastFactorTable[Commercial BPA Reference Number],MATCH(1,(BallastFactorTable[Fixture Class]=J453)*(BallastFactorTable[Fixture Category]=K453)*(BallastFactorTable[Fixture Sub-category]=L453),0))</f>
        <v>#N/A</v>
      </c>
      <c r="BC453" s="133" t="e" cm="1">
        <f t="array" ref="BC453">INDEX(BallastFactorTable[Industrial BPA Reference Number],MATCH(1,(BallastFactorTable[Fixture Class]=J453)*(BallastFactorTable[Fixture Category]=K453)*(BallastFactorTable[Fixture Sub-category]=L453),0))</f>
        <v>#N/A</v>
      </c>
      <c r="BD453" s="264" t="str">
        <f t="shared" si="184"/>
        <v>Sector is blank</v>
      </c>
      <c r="BE453" s="269" t="str">
        <f>IF(ISBLANK(SectorField),"Sector is blank",IF(AM453="Row Not Used","",IF(OR(R453="No Controls",ISBLANK(R453)),"",INDEX(ControlsBPARefNoTable[Reference Number],MATCH(SectorField,ControlsBPARefNoTable[Sector],0)))))</f>
        <v>Sector is blank</v>
      </c>
      <c r="BF453" s="530" t="str">
        <f t="shared" si="185"/>
        <v/>
      </c>
      <c r="BG453" s="132" t="str">
        <f t="shared" si="186"/>
        <v/>
      </c>
      <c r="BH453" s="531" t="str">
        <f t="shared" si="187"/>
        <v/>
      </c>
      <c r="BI453" s="532"/>
      <c r="BJ453" s="538" t="str">
        <f t="shared" si="193"/>
        <v/>
      </c>
      <c r="BK453" s="539" t="str">
        <f t="shared" si="194"/>
        <v/>
      </c>
      <c r="BL453" s="547" t="str">
        <f t="shared" si="195"/>
        <v/>
      </c>
    </row>
    <row r="454" spans="1:64" x14ac:dyDescent="0.3">
      <c r="A454" s="133">
        <v>447</v>
      </c>
      <c r="B454" s="294"/>
      <c r="C454" s="313"/>
      <c r="D454" s="292"/>
      <c r="E454" s="284"/>
      <c r="F454" s="284"/>
      <c r="G454" s="295"/>
      <c r="H454" s="296"/>
      <c r="I454" s="297"/>
      <c r="J454" s="292"/>
      <c r="K454" s="284"/>
      <c r="L454" s="284"/>
      <c r="M454" s="295"/>
      <c r="N454" s="296"/>
      <c r="O454" s="296"/>
      <c r="P454" s="284"/>
      <c r="Q454" s="298"/>
      <c r="R454" s="292"/>
      <c r="S454" s="299"/>
      <c r="T454" s="300"/>
      <c r="U454" s="317" t="str">
        <f t="shared" si="169"/>
        <v/>
      </c>
      <c r="V454" s="301"/>
      <c r="W454" s="137" t="str">
        <f t="shared" si="170"/>
        <v/>
      </c>
      <c r="X454" s="589" t="str">
        <f t="shared" si="188"/>
        <v/>
      </c>
      <c r="Y454" s="581"/>
      <c r="Z454" s="251" t="str">
        <f t="shared" si="171"/>
        <v/>
      </c>
      <c r="AA454" s="138" t="str">
        <f t="shared" si="196"/>
        <v/>
      </c>
      <c r="AB454" s="243" t="str">
        <f t="shared" si="189"/>
        <v/>
      </c>
      <c r="AC454" s="141" t="str">
        <f t="shared" si="172"/>
        <v/>
      </c>
      <c r="AD454" s="138" t="str">
        <f t="shared" si="190"/>
        <v/>
      </c>
      <c r="AE454" s="243" t="str">
        <f t="shared" si="173"/>
        <v/>
      </c>
      <c r="AF454" s="342" t="str">
        <f>IF(AM454="Row Not Used","",INDEX(SpaceTable[Annual Hours],(MATCH(B454,SpaceTable[Space Name Concatenated Helper],0))))</f>
        <v/>
      </c>
      <c r="AG454" s="205" t="str">
        <f t="shared" si="174"/>
        <v/>
      </c>
      <c r="AH454" s="234" t="str">
        <f t="shared" si="175"/>
        <v/>
      </c>
      <c r="AI454" s="205" t="str">
        <f t="shared" si="176"/>
        <v/>
      </c>
      <c r="AJ454" s="234" t="str">
        <f t="shared" si="177"/>
        <v/>
      </c>
      <c r="AK454" s="144" t="str">
        <f>IF(AM454="Row Not Used","",INDEX(SpaceTable[Row],(MATCH(B454,SpaceTable[Space Name Concatenated Helper],0))))</f>
        <v/>
      </c>
      <c r="AL454" s="238" t="str">
        <f>IF(AM454="Row Not Used","",INDEX(SpaceTable[HVAC Factor],(MATCH(B454,SpaceTable[Space Name Concatenated Helper],0))))</f>
        <v/>
      </c>
      <c r="AM454" s="520" t="str">
        <f t="shared" si="178"/>
        <v>Row Not Used</v>
      </c>
      <c r="AN454" s="512" t="e" cm="1">
        <f t="array" ref="AN454">INDEX(BallastFactorTable[Ballast Factor],MATCH(1,(BallastFactorTable[Fixture Class]=D454)*(BallastFactorTable[Fixture Category]=E454)*(BallastFactorTable[Fixture Sub-category]=F454),0))</f>
        <v>#N/A</v>
      </c>
      <c r="AO454" s="143" t="str">
        <f t="shared" si="191"/>
        <v/>
      </c>
      <c r="AP454" s="501" t="e" cm="1">
        <f t="array" ref="AP454">INDEX(BallastFactorTable[Wattage Range Name],MATCH(1,(BallastFactorTable[Fixture Class]=D454)*(BallastFactorTable[Fixture Category]=E454)*(BallastFactorTable[Fixture Sub-category]=F454),0))</f>
        <v>#N/A</v>
      </c>
      <c r="AQ454" s="515" t="str">
        <f t="shared" ca="1" si="179"/>
        <v>Okay</v>
      </c>
      <c r="AR454" s="512">
        <f t="shared" si="180"/>
        <v>0</v>
      </c>
      <c r="AS454" s="511" t="str">
        <f>IF(OR(Measures!AM454="Row Not Used",Measures!C454="Controls Only",Measures!C454="Decommissioning"),"",_xlfn.CONCAT(P454," ",Q454))</f>
        <v/>
      </c>
      <c r="AT454" s="264" t="str">
        <f t="shared" si="181"/>
        <v>None</v>
      </c>
      <c r="AU454" s="229">
        <f>IF(OR(AM454="Row Not Used",AM454="Controls Only"),0,INDEX(IncentiveRateTable[Incentive Rate],MATCH(AT454,IncentiveRateTable[Incentive Name],0)))</f>
        <v>0</v>
      </c>
      <c r="AV454" s="133" t="str">
        <f>IF(OR(AM454="Row Not Used",AM454="Controls Only"),"None",INDEX(IncentiveRateTable[Incentive Unit],MATCH(AT454,IncentiveRateTable[Incentive Name],0)))</f>
        <v>None</v>
      </c>
      <c r="AW454" s="578">
        <f t="shared" si="192"/>
        <v>0</v>
      </c>
      <c r="AX454" s="264" t="str">
        <f t="shared" si="182"/>
        <v>None</v>
      </c>
      <c r="AY454" s="229">
        <f>IF(OR(AM454="Row Not Used",AM454="Fixtures Only",AM454="Decommissioning"),0,INDEX(IncentiveRateTable[Incentive Rate],MATCH(AX454,IncentiveRateTable[Incentive Name],0)))</f>
        <v>0</v>
      </c>
      <c r="AZ454" s="133" t="str">
        <f>IF(OR(AM454="Row Not Used",AM454="Fixtures Only",AM454="Decommissioning"),"None",INDEX(IncentiveRateTable[Incentive Unit],MATCH(AX454,IncentiveRateTable[Incentive Name],0)))</f>
        <v>None</v>
      </c>
      <c r="BA454" s="465">
        <f t="shared" si="183"/>
        <v>0</v>
      </c>
      <c r="BB454" s="264" t="e" cm="1">
        <f t="array" ref="BB454">INDEX(BallastFactorTable[Commercial BPA Reference Number],MATCH(1,(BallastFactorTable[Fixture Class]=J454)*(BallastFactorTable[Fixture Category]=K454)*(BallastFactorTable[Fixture Sub-category]=L454),0))</f>
        <v>#N/A</v>
      </c>
      <c r="BC454" s="133" t="e" cm="1">
        <f t="array" ref="BC454">INDEX(BallastFactorTable[Industrial BPA Reference Number],MATCH(1,(BallastFactorTable[Fixture Class]=J454)*(BallastFactorTable[Fixture Category]=K454)*(BallastFactorTable[Fixture Sub-category]=L454),0))</f>
        <v>#N/A</v>
      </c>
      <c r="BD454" s="264" t="str">
        <f t="shared" si="184"/>
        <v>Sector is blank</v>
      </c>
      <c r="BE454" s="269" t="str">
        <f>IF(ISBLANK(SectorField),"Sector is blank",IF(AM454="Row Not Used","",IF(OR(R454="No Controls",ISBLANK(R454)),"",INDEX(ControlsBPARefNoTable[Reference Number],MATCH(SectorField,ControlsBPARefNoTable[Sector],0)))))</f>
        <v>Sector is blank</v>
      </c>
      <c r="BF454" s="530" t="str">
        <f t="shared" si="185"/>
        <v/>
      </c>
      <c r="BG454" s="132" t="str">
        <f t="shared" si="186"/>
        <v/>
      </c>
      <c r="BH454" s="531" t="str">
        <f t="shared" si="187"/>
        <v/>
      </c>
      <c r="BI454" s="532"/>
      <c r="BJ454" s="538" t="str">
        <f t="shared" si="193"/>
        <v/>
      </c>
      <c r="BK454" s="539" t="str">
        <f t="shared" si="194"/>
        <v/>
      </c>
      <c r="BL454" s="547" t="str">
        <f t="shared" si="195"/>
        <v/>
      </c>
    </row>
    <row r="455" spans="1:64" x14ac:dyDescent="0.3">
      <c r="A455" s="133">
        <v>448</v>
      </c>
      <c r="B455" s="294"/>
      <c r="C455" s="313"/>
      <c r="D455" s="292"/>
      <c r="E455" s="284"/>
      <c r="F455" s="284"/>
      <c r="G455" s="295"/>
      <c r="H455" s="296"/>
      <c r="I455" s="297"/>
      <c r="J455" s="292"/>
      <c r="K455" s="284"/>
      <c r="L455" s="284"/>
      <c r="M455" s="295"/>
      <c r="N455" s="296"/>
      <c r="O455" s="296"/>
      <c r="P455" s="284"/>
      <c r="Q455" s="298"/>
      <c r="R455" s="292"/>
      <c r="S455" s="299"/>
      <c r="T455" s="300"/>
      <c r="U455" s="317" t="str">
        <f t="shared" si="169"/>
        <v/>
      </c>
      <c r="V455" s="301"/>
      <c r="W455" s="136" t="str">
        <f t="shared" si="170"/>
        <v/>
      </c>
      <c r="X455" s="588" t="str">
        <f t="shared" si="188"/>
        <v/>
      </c>
      <c r="Y455" s="580"/>
      <c r="Z455" s="251" t="str">
        <f t="shared" si="171"/>
        <v/>
      </c>
      <c r="AA455" s="138" t="str">
        <f t="shared" si="196"/>
        <v/>
      </c>
      <c r="AB455" s="243" t="str">
        <f t="shared" si="189"/>
        <v/>
      </c>
      <c r="AC455" s="141" t="str">
        <f t="shared" si="172"/>
        <v/>
      </c>
      <c r="AD455" s="138" t="str">
        <f t="shared" si="190"/>
        <v/>
      </c>
      <c r="AE455" s="243" t="str">
        <f t="shared" si="173"/>
        <v/>
      </c>
      <c r="AF455" s="342" t="str">
        <f>IF(AM455="Row Not Used","",INDEX(SpaceTable[Annual Hours],(MATCH(B455,SpaceTable[Space Name Concatenated Helper],0))))</f>
        <v/>
      </c>
      <c r="AG455" s="205" t="str">
        <f t="shared" si="174"/>
        <v/>
      </c>
      <c r="AH455" s="234" t="str">
        <f t="shared" si="175"/>
        <v/>
      </c>
      <c r="AI455" s="205" t="str">
        <f t="shared" si="176"/>
        <v/>
      </c>
      <c r="AJ455" s="234" t="str">
        <f t="shared" si="177"/>
        <v/>
      </c>
      <c r="AK455" s="144" t="str">
        <f>IF(AM455="Row Not Used","",INDEX(SpaceTable[Row],(MATCH(B455,SpaceTable[Space Name Concatenated Helper],0))))</f>
        <v/>
      </c>
      <c r="AL455" s="238" t="str">
        <f>IF(AM455="Row Not Used","",INDEX(SpaceTable[HVAC Factor],(MATCH(B455,SpaceTable[Space Name Concatenated Helper],0))))</f>
        <v/>
      </c>
      <c r="AM455" s="520" t="str">
        <f t="shared" si="178"/>
        <v>Row Not Used</v>
      </c>
      <c r="AN455" s="512" t="e" cm="1">
        <f t="array" ref="AN455">INDEX(BallastFactorTable[Ballast Factor],MATCH(1,(BallastFactorTable[Fixture Class]=D455)*(BallastFactorTable[Fixture Category]=E455)*(BallastFactorTable[Fixture Sub-category]=F455),0))</f>
        <v>#N/A</v>
      </c>
      <c r="AO455" s="143" t="str">
        <f t="shared" si="191"/>
        <v/>
      </c>
      <c r="AP455" s="501" t="e" cm="1">
        <f t="array" ref="AP455">INDEX(BallastFactorTable[Wattage Range Name],MATCH(1,(BallastFactorTable[Fixture Class]=D455)*(BallastFactorTable[Fixture Category]=E455)*(BallastFactorTable[Fixture Sub-category]=F455),0))</f>
        <v>#N/A</v>
      </c>
      <c r="AQ455" s="515" t="str">
        <f t="shared" ca="1" si="179"/>
        <v>Okay</v>
      </c>
      <c r="AR455" s="512">
        <f t="shared" si="180"/>
        <v>0</v>
      </c>
      <c r="AS455" s="511" t="str">
        <f>IF(OR(Measures!AM455="Row Not Used",Measures!C455="Controls Only",Measures!C455="Decommissioning"),"",_xlfn.CONCAT(P455," ",Q455))</f>
        <v/>
      </c>
      <c r="AT455" s="264" t="str">
        <f t="shared" si="181"/>
        <v>None</v>
      </c>
      <c r="AU455" s="229">
        <f>IF(OR(AM455="Row Not Used",AM455="Controls Only"),0,INDEX(IncentiveRateTable[Incentive Rate],MATCH(AT455,IncentiveRateTable[Incentive Name],0)))</f>
        <v>0</v>
      </c>
      <c r="AV455" s="133" t="str">
        <f>IF(OR(AM455="Row Not Used",AM455="Controls Only"),"None",INDEX(IncentiveRateTable[Incentive Unit],MATCH(AT455,IncentiveRateTable[Incentive Name],0)))</f>
        <v>None</v>
      </c>
      <c r="AW455" s="578">
        <f t="shared" si="192"/>
        <v>0</v>
      </c>
      <c r="AX455" s="264" t="str">
        <f t="shared" si="182"/>
        <v>None</v>
      </c>
      <c r="AY455" s="229">
        <f>IF(OR(AM455="Row Not Used",AM455="Fixtures Only",AM455="Decommissioning"),0,INDEX(IncentiveRateTable[Incentive Rate],MATCH(AX455,IncentiveRateTable[Incentive Name],0)))</f>
        <v>0</v>
      </c>
      <c r="AZ455" s="133" t="str">
        <f>IF(OR(AM455="Row Not Used",AM455="Fixtures Only",AM455="Decommissioning"),"None",INDEX(IncentiveRateTable[Incentive Unit],MATCH(AX455,IncentiveRateTable[Incentive Name],0)))</f>
        <v>None</v>
      </c>
      <c r="BA455" s="465">
        <f t="shared" si="183"/>
        <v>0</v>
      </c>
      <c r="BB455" s="264" t="e" cm="1">
        <f t="array" ref="BB455">INDEX(BallastFactorTable[Commercial BPA Reference Number],MATCH(1,(BallastFactorTable[Fixture Class]=J455)*(BallastFactorTable[Fixture Category]=K455)*(BallastFactorTable[Fixture Sub-category]=L455),0))</f>
        <v>#N/A</v>
      </c>
      <c r="BC455" s="133" t="e" cm="1">
        <f t="array" ref="BC455">INDEX(BallastFactorTable[Industrial BPA Reference Number],MATCH(1,(BallastFactorTable[Fixture Class]=J455)*(BallastFactorTable[Fixture Category]=K455)*(BallastFactorTable[Fixture Sub-category]=L455),0))</f>
        <v>#N/A</v>
      </c>
      <c r="BD455" s="264" t="str">
        <f t="shared" si="184"/>
        <v>Sector is blank</v>
      </c>
      <c r="BE455" s="269" t="str">
        <f>IF(ISBLANK(SectorField),"Sector is blank",IF(AM455="Row Not Used","",IF(OR(R455="No Controls",ISBLANK(R455)),"",INDEX(ControlsBPARefNoTable[Reference Number],MATCH(SectorField,ControlsBPARefNoTable[Sector],0)))))</f>
        <v>Sector is blank</v>
      </c>
      <c r="BF455" s="530" t="str">
        <f t="shared" si="185"/>
        <v/>
      </c>
      <c r="BG455" s="132" t="str">
        <f t="shared" si="186"/>
        <v/>
      </c>
      <c r="BH455" s="531" t="str">
        <f t="shared" si="187"/>
        <v/>
      </c>
      <c r="BI455" s="532"/>
      <c r="BJ455" s="538" t="str">
        <f t="shared" si="193"/>
        <v/>
      </c>
      <c r="BK455" s="539" t="str">
        <f t="shared" si="194"/>
        <v/>
      </c>
      <c r="BL455" s="547" t="str">
        <f t="shared" si="195"/>
        <v/>
      </c>
    </row>
    <row r="456" spans="1:64" x14ac:dyDescent="0.3">
      <c r="A456" s="133">
        <v>449</v>
      </c>
      <c r="B456" s="294"/>
      <c r="C456" s="313"/>
      <c r="D456" s="292"/>
      <c r="E456" s="284"/>
      <c r="F456" s="284"/>
      <c r="G456" s="295"/>
      <c r="H456" s="296"/>
      <c r="I456" s="297"/>
      <c r="J456" s="292"/>
      <c r="K456" s="284"/>
      <c r="L456" s="284"/>
      <c r="M456" s="295"/>
      <c r="N456" s="296"/>
      <c r="O456" s="296"/>
      <c r="P456" s="284"/>
      <c r="Q456" s="298"/>
      <c r="R456" s="292"/>
      <c r="S456" s="299"/>
      <c r="T456" s="300"/>
      <c r="U456" s="317" t="str">
        <f t="shared" ref="U456:U507" si="197">IF(OR(ISBLANK(R456),R456="No Controls"),"",IF(R456="Networked Controls",CtrlPctHrsReductionNetworked,CtrlPctHrsReductionNonNetworked))</f>
        <v/>
      </c>
      <c r="V456" s="301"/>
      <c r="W456" s="137" t="str">
        <f t="shared" ref="W456:W507" si="198">IF(AM456="Row Not Used","",IF(OR(AM456="Fixtures Only",AM456="decommissioning"),Z456,IF(AM456="Controls Only",AC456,Z456+AC456)))</f>
        <v/>
      </c>
      <c r="X456" s="589" t="str">
        <f t="shared" si="188"/>
        <v/>
      </c>
      <c r="Y456" s="581"/>
      <c r="Z456" s="251" t="str">
        <f t="shared" ref="Z456:Z507" si="199">IF(OR(AM456="Row Not Used",AM456="Controls Only"),"",IF(AM456="Decommissioning",AH456,AH456-AJ456))</f>
        <v/>
      </c>
      <c r="AA456" s="138" t="str">
        <f t="shared" si="196"/>
        <v/>
      </c>
      <c r="AB456" s="243" t="str">
        <f t="shared" si="189"/>
        <v/>
      </c>
      <c r="AC456" s="141" t="str">
        <f t="shared" ref="AC456:AC507" si="200">IF(OR(AM456="Row Not Used",AM456="Fixtures Only",AM456="Decommissioning"),"",BA456)</f>
        <v/>
      </c>
      <c r="AD456" s="138" t="str">
        <f t="shared" si="190"/>
        <v/>
      </c>
      <c r="AE456" s="243" t="str">
        <f t="shared" ref="AE456:AE507" si="201">IF(AZ456="None","",IF(AC456&lt;0,0,ROUND(AY456*AC456,2)))</f>
        <v/>
      </c>
      <c r="AF456" s="342" t="str">
        <f>IF(AM456="Row Not Used","",INDEX(SpaceTable[Annual Hours],(MATCH(B456,SpaceTable[Space Name Concatenated Helper],0))))</f>
        <v/>
      </c>
      <c r="AG456" s="205" t="str">
        <f t="shared" ref="AG456:AG507" si="202">IF(AM456="Row Not Used","",G456*H456*AO456)</f>
        <v/>
      </c>
      <c r="AH456" s="234" t="str">
        <f t="shared" ref="AH456:AH507" si="203">IF(AM456="Row Not Used","",(AG456*I456*AF456*AL456)/kWhConversion)</f>
        <v/>
      </c>
      <c r="AI456" s="205" t="str">
        <f t="shared" ref="AI456:AI507" si="204">IF(OR(AM456="Row Not Used",AM456="Controls Only",AM456="Decommissioning"),"",M456*N456)</f>
        <v/>
      </c>
      <c r="AJ456" s="234" t="str">
        <f t="shared" ref="AJ456:AJ507" si="205">IF(OR(AM456="Row Not Used",AM456="Controls Only",AM456="Decommissioning"),"",(AI456*O456*AF456*AL456)/kWhConversion)</f>
        <v/>
      </c>
      <c r="AK456" s="144" t="str">
        <f>IF(AM456="Row Not Used","",INDEX(SpaceTable[Row],(MATCH(B456,SpaceTable[Space Name Concatenated Helper],0))))</f>
        <v/>
      </c>
      <c r="AL456" s="238" t="str">
        <f>IF(AM456="Row Not Used","",INDEX(SpaceTable[HVAC Factor],(MATCH(B456,SpaceTable[Space Name Concatenated Helper],0))))</f>
        <v/>
      </c>
      <c r="AM456" s="520" t="str">
        <f t="shared" ref="AM456:AM507" si="206">IF(OR(ISBLANK(C456),ISBLANK(B456)),"Row Not Used",IF(C456="Controls Only","Controls Only",IF(C456="Decommissioning","Decommissioning",IF(AND(C456="Fixtures",OR(R456="No Controls",ISBLANK(R456))),"Fixtures Only","Fixtures with Controls"))))</f>
        <v>Row Not Used</v>
      </c>
      <c r="AN456" s="512" t="e" cm="1">
        <f t="array" ref="AN456">INDEX(BallastFactorTable[Ballast Factor],MATCH(1,(BallastFactorTable[Fixture Class]=D456)*(BallastFactorTable[Fixture Category]=E456)*(BallastFactorTable[Fixture Sub-category]=F456),0))</f>
        <v>#N/A</v>
      </c>
      <c r="AO456" s="143" t="str">
        <f t="shared" si="191"/>
        <v/>
      </c>
      <c r="AP456" s="501" t="e" cm="1">
        <f t="array" ref="AP456">INDEX(BallastFactorTable[Wattage Range Name],MATCH(1,(BallastFactorTable[Fixture Class]=D456)*(BallastFactorTable[Fixture Category]=E456)*(BallastFactorTable[Fixture Sub-category]=F456),0))</f>
        <v>#N/A</v>
      </c>
      <c r="AQ456" s="515" t="str">
        <f t="shared" ref="AQ456:AQ507" ca="1" si="207">IF(G456="Type in the wattage.","Invalid",IF(OR(AM456="Row Not Used",D456="LED",ISBLANK(G456)),"Okay",IFERROR(_xlfn.XMATCH(G456,INDIRECT(AP456),0),"Invalid")))</f>
        <v>Okay</v>
      </c>
      <c r="AR456" s="512">
        <f t="shared" ref="AR456:AR507" si="208">IF(AM456="Row Not Used",0,IF(AM456="Decommissioning",I456,IF(AT456="LED Tube",N456*O456,O456)))</f>
        <v>0</v>
      </c>
      <c r="AS456" s="511" t="str">
        <f>IF(OR(Measures!AM456="Row Not Used",Measures!C456="Controls Only",Measures!C456="Decommissioning"),"",_xlfn.CONCAT(P456," ",Q456))</f>
        <v/>
      </c>
      <c r="AT456" s="264" t="str">
        <f t="shared" ref="AT456:AT507" si="209">IF(OR(AM456="Row Not Used",AM456="Controls Only"),"None",IF(K456="Tube","LED Tube",IF(K456="Exit Sign","LED Exit Sign",IF(RateClassField="Small General (B)","Standard B",IF(RateClassField="General (G)","Standard G",IF(RateClassField="High Voltage (HVG)","Standard HVG","Error"))))))</f>
        <v>None</v>
      </c>
      <c r="AU456" s="229">
        <f>IF(OR(AM456="Row Not Used",AM456="Controls Only"),0,INDEX(IncentiveRateTable[Incentive Rate],MATCH(AT456,IncentiveRateTable[Incentive Name],0)))</f>
        <v>0</v>
      </c>
      <c r="AV456" s="133" t="str">
        <f>IF(OR(AM456="Row Not Used",AM456="Controls Only"),"None",INDEX(IncentiveRateTable[Incentive Unit],MATCH(AT456,IncentiveRateTable[Incentive Name],0)))</f>
        <v>None</v>
      </c>
      <c r="AW456" s="578">
        <f t="shared" si="192"/>
        <v>0</v>
      </c>
      <c r="AX456" s="264" t="str">
        <f t="shared" ref="AX456:AX507" si="210">IF(OR(AM456="Row Not Used",AM456="Fixtures Only",AM456="Decommissioning"),"None",IF(RateClassField="Small General (B)","Standard B",IF(RateClassField="General (G)","Standard G",IF(RateClassField="High Voltage (HVG)","Standard HVG","Error"))))</f>
        <v>None</v>
      </c>
      <c r="AY456" s="229">
        <f>IF(OR(AM456="Row Not Used",AM456="Fixtures Only",AM456="Decommissioning"),0,INDEX(IncentiveRateTable[Incentive Rate],MATCH(AX456,IncentiveRateTable[Incentive Name],0)))</f>
        <v>0</v>
      </c>
      <c r="AZ456" s="133" t="str">
        <f>IF(OR(AM456="Row Not Used",AM456="Fixtures Only",AM456="Decommissioning"),"None",INDEX(IncentiveRateTable[Incentive Unit],MATCH(AX456,IncentiveRateTable[Incentive Name],0)))</f>
        <v>None</v>
      </c>
      <c r="BA456" s="465">
        <f t="shared" ref="BA456:BA507" si="211">IF(OR(AM456="Row Not Used",AM456="Decommissioning",AM456="Fixtures Only"),0,IF(AM456="Controls Only",IF(R456="Multi-function",AH456*U456*T456,AH456*U456),IF(R456="Multi-function",AJ456*U456*T456,AJ456*U456)))</f>
        <v>0</v>
      </c>
      <c r="BB456" s="264" t="e" cm="1">
        <f t="array" ref="BB456">INDEX(BallastFactorTable[Commercial BPA Reference Number],MATCH(1,(BallastFactorTable[Fixture Class]=J456)*(BallastFactorTable[Fixture Category]=K456)*(BallastFactorTable[Fixture Sub-category]=L456),0))</f>
        <v>#N/A</v>
      </c>
      <c r="BC456" s="133" t="e" cm="1">
        <f t="array" ref="BC456">INDEX(BallastFactorTable[Industrial BPA Reference Number],MATCH(1,(BallastFactorTable[Fixture Class]=J456)*(BallastFactorTable[Fixture Category]=K456)*(BallastFactorTable[Fixture Sub-category]=L456),0))</f>
        <v>#N/A</v>
      </c>
      <c r="BD456" s="264" t="str">
        <f t="shared" ref="BD456:BD507" si="212">IF(ISBLANK(SectorField),"Sector is blank",IF(OR(AM456="Row Not Used",AM456="Controls Only"),"",IF(AM456="Decommissioning","Not Reported to BPA",IF(SectorField="Commercial",BB456,IF(SectorField="Industrial",BC456,"Unknown")))))</f>
        <v>Sector is blank</v>
      </c>
      <c r="BE456" s="269" t="str">
        <f>IF(ISBLANK(SectorField),"Sector is blank",IF(AM456="Row Not Used","",IF(OR(R456="No Controls",ISBLANK(R456)),"",INDEX(ControlsBPARefNoTable[Reference Number],MATCH(SectorField,ControlsBPARefNoTable[Sector],0)))))</f>
        <v>Sector is blank</v>
      </c>
      <c r="BF456" s="530" t="str">
        <f t="shared" ref="BF456:BF507" si="213">IF(AM456="Row Not Used","",COUNTA(D456:I456)=$BF$6)</f>
        <v/>
      </c>
      <c r="BG456" s="132" t="str">
        <f t="shared" ref="BG456:BG507" si="214">IF(AM456="Row Not Used","",IF(OR(AM456="Controls Only",AM456="Decommissioning"),TRUE,COUNTA(J456:Q456)=$BG$6))</f>
        <v/>
      </c>
      <c r="BH456" s="531" t="str">
        <f t="shared" ref="BH456:BH507" si="215">IF(AM456="Row Not Used","",IF(OR(AM456="Fixtures Only",AM456="Decommissioning"),TRUE,IF(R456="Multi-function",COUNTA(R456:T456)=$BH$6,COUNTA(R456:T456)=$BH$6-1)))</f>
        <v/>
      </c>
      <c r="BI456" s="532"/>
      <c r="BJ456" s="538" t="str">
        <f t="shared" si="193"/>
        <v/>
      </c>
      <c r="BK456" s="539" t="str">
        <f t="shared" si="194"/>
        <v/>
      </c>
      <c r="BL456" s="547" t="str">
        <f t="shared" si="195"/>
        <v/>
      </c>
    </row>
    <row r="457" spans="1:64" x14ac:dyDescent="0.3">
      <c r="A457" s="133">
        <v>450</v>
      </c>
      <c r="B457" s="294"/>
      <c r="C457" s="313"/>
      <c r="D457" s="292"/>
      <c r="E457" s="284"/>
      <c r="F457" s="284"/>
      <c r="G457" s="295"/>
      <c r="H457" s="296"/>
      <c r="I457" s="297"/>
      <c r="J457" s="292"/>
      <c r="K457" s="284"/>
      <c r="L457" s="284"/>
      <c r="M457" s="295"/>
      <c r="N457" s="296"/>
      <c r="O457" s="296"/>
      <c r="P457" s="284"/>
      <c r="Q457" s="298"/>
      <c r="R457" s="292"/>
      <c r="S457" s="299"/>
      <c r="T457" s="300"/>
      <c r="U457" s="317" t="str">
        <f t="shared" si="197"/>
        <v/>
      </c>
      <c r="V457" s="301"/>
      <c r="W457" s="136" t="str">
        <f t="shared" si="198"/>
        <v/>
      </c>
      <c r="X457" s="588" t="str">
        <f t="shared" ref="X457:X507" si="216">IF(AM457="Row Not Used","",IFERROR(ROUND(W457/AH457,2),0))</f>
        <v/>
      </c>
      <c r="Y457" s="580"/>
      <c r="Z457" s="251" t="str">
        <f t="shared" si="199"/>
        <v/>
      </c>
      <c r="AA457" s="138" t="str">
        <f t="shared" si="196"/>
        <v/>
      </c>
      <c r="AB457" s="243" t="str">
        <f t="shared" ref="AB457:AB507" si="217">IF(AV457="None","",AW457)</f>
        <v/>
      </c>
      <c r="AC457" s="141" t="str">
        <f t="shared" si="200"/>
        <v/>
      </c>
      <c r="AD457" s="138" t="str">
        <f t="shared" ref="AD457:AD507" si="218">IF(OR(AM457="Row Not Used",AM457="Fixtures Only",AM457="Decommissioning"),"",IFERROR(ROUND(AC457/AH457,2),0))</f>
        <v/>
      </c>
      <c r="AE457" s="243" t="str">
        <f t="shared" si="201"/>
        <v/>
      </c>
      <c r="AF457" s="342" t="str">
        <f>IF(AM457="Row Not Used","",INDEX(SpaceTable[Annual Hours],(MATCH(B457,SpaceTable[Space Name Concatenated Helper],0))))</f>
        <v/>
      </c>
      <c r="AG457" s="205" t="str">
        <f t="shared" si="202"/>
        <v/>
      </c>
      <c r="AH457" s="234" t="str">
        <f t="shared" si="203"/>
        <v/>
      </c>
      <c r="AI457" s="205" t="str">
        <f t="shared" si="204"/>
        <v/>
      </c>
      <c r="AJ457" s="234" t="str">
        <f t="shared" si="205"/>
        <v/>
      </c>
      <c r="AK457" s="144" t="str">
        <f>IF(AM457="Row Not Used","",INDEX(SpaceTable[Row],(MATCH(B457,SpaceTable[Space Name Concatenated Helper],0))))</f>
        <v/>
      </c>
      <c r="AL457" s="238" t="str">
        <f>IF(AM457="Row Not Used","",INDEX(SpaceTable[HVAC Factor],(MATCH(B457,SpaceTable[Space Name Concatenated Helper],0))))</f>
        <v/>
      </c>
      <c r="AM457" s="520" t="str">
        <f t="shared" si="206"/>
        <v>Row Not Used</v>
      </c>
      <c r="AN457" s="512" t="e" cm="1">
        <f t="array" ref="AN457">INDEX(BallastFactorTable[Ballast Factor],MATCH(1,(BallastFactorTable[Fixture Class]=D457)*(BallastFactorTable[Fixture Category]=E457)*(BallastFactorTable[Fixture Sub-category]=F457),0))</f>
        <v>#N/A</v>
      </c>
      <c r="AO457" s="143" t="str">
        <f t="shared" ref="AO457:AO507" si="219">IF(AM457="Row Not Used","",IFERROR(AN457,0))</f>
        <v/>
      </c>
      <c r="AP457" s="501" t="e" cm="1">
        <f t="array" ref="AP457">INDEX(BallastFactorTable[Wattage Range Name],MATCH(1,(BallastFactorTable[Fixture Class]=D457)*(BallastFactorTable[Fixture Category]=E457)*(BallastFactorTable[Fixture Sub-category]=F457),0))</f>
        <v>#N/A</v>
      </c>
      <c r="AQ457" s="515" t="str">
        <f t="shared" ca="1" si="207"/>
        <v>Okay</v>
      </c>
      <c r="AR457" s="512">
        <f t="shared" si="208"/>
        <v>0</v>
      </c>
      <c r="AS457" s="511" t="str">
        <f>IF(OR(Measures!AM457="Row Not Used",Measures!C457="Controls Only",Measures!C457="Decommissioning"),"",_xlfn.CONCAT(P457," ",Q457))</f>
        <v/>
      </c>
      <c r="AT457" s="264" t="str">
        <f t="shared" si="209"/>
        <v>None</v>
      </c>
      <c r="AU457" s="229">
        <f>IF(OR(AM457="Row Not Used",AM457="Controls Only"),0,INDEX(IncentiveRateTable[Incentive Rate],MATCH(AT457,IncentiveRateTable[Incentive Name],0)))</f>
        <v>0</v>
      </c>
      <c r="AV457" s="133" t="str">
        <f>IF(OR(AM457="Row Not Used",AM457="Controls Only"),"None",INDEX(IncentiveRateTable[Incentive Unit],MATCH(AT457,IncentiveRateTable[Incentive Name],0)))</f>
        <v>None</v>
      </c>
      <c r="AW457" s="578">
        <f t="shared" ref="AW457:AW507" si="220">IF(AV457="None",0,IF(AND(OR(AV457="Per Tube",AV457="Per Fixture"),Z457=0),0,IF(AV457="Per kWh Saved",ROUND(AU457*Z457,2),IF(AND(AV457="Per Tube",Z457&lt;0),-ROUND(AU457*N457*O457,2),IF(AV457="Per Tube",ROUND(AU457*N457*O457,2),IF(AND(AV457="Per Fixture",Z457&lt;0),-ROUND(AU457*O457,2),IF(AV457="Per Fixture",ROUND(AU457*O457,2),0)))))))</f>
        <v>0</v>
      </c>
      <c r="AX457" s="264" t="str">
        <f t="shared" si="210"/>
        <v>None</v>
      </c>
      <c r="AY457" s="229">
        <f>IF(OR(AM457="Row Not Used",AM457="Fixtures Only",AM457="Decommissioning"),0,INDEX(IncentiveRateTable[Incentive Rate],MATCH(AX457,IncentiveRateTable[Incentive Name],0)))</f>
        <v>0</v>
      </c>
      <c r="AZ457" s="133" t="str">
        <f>IF(OR(AM457="Row Not Used",AM457="Fixtures Only",AM457="Decommissioning"),"None",INDEX(IncentiveRateTable[Incentive Unit],MATCH(AX457,IncentiveRateTable[Incentive Name],0)))</f>
        <v>None</v>
      </c>
      <c r="BA457" s="465">
        <f t="shared" si="211"/>
        <v>0</v>
      </c>
      <c r="BB457" s="264" t="e" cm="1">
        <f t="array" ref="BB457">INDEX(BallastFactorTable[Commercial BPA Reference Number],MATCH(1,(BallastFactorTable[Fixture Class]=J457)*(BallastFactorTable[Fixture Category]=K457)*(BallastFactorTable[Fixture Sub-category]=L457),0))</f>
        <v>#N/A</v>
      </c>
      <c r="BC457" s="133" t="e" cm="1">
        <f t="array" ref="BC457">INDEX(BallastFactorTable[Industrial BPA Reference Number],MATCH(1,(BallastFactorTable[Fixture Class]=J457)*(BallastFactorTable[Fixture Category]=K457)*(BallastFactorTable[Fixture Sub-category]=L457),0))</f>
        <v>#N/A</v>
      </c>
      <c r="BD457" s="264" t="str">
        <f t="shared" si="212"/>
        <v>Sector is blank</v>
      </c>
      <c r="BE457" s="269" t="str">
        <f>IF(ISBLANK(SectorField),"Sector is blank",IF(AM457="Row Not Used","",IF(OR(R457="No Controls",ISBLANK(R457)),"",INDEX(ControlsBPARefNoTable[Reference Number],MATCH(SectorField,ControlsBPARefNoTable[Sector],0)))))</f>
        <v>Sector is blank</v>
      </c>
      <c r="BF457" s="530" t="str">
        <f t="shared" si="213"/>
        <v/>
      </c>
      <c r="BG457" s="132" t="str">
        <f t="shared" si="214"/>
        <v/>
      </c>
      <c r="BH457" s="531" t="str">
        <f t="shared" si="215"/>
        <v/>
      </c>
      <c r="BI457" s="532"/>
      <c r="BJ457" s="538" t="str">
        <f t="shared" ref="BJ457:BJ507" si="221">IF(LEN(BF457)=0,"",IF(BF457=FALSE,"Missing info","Okay"))</f>
        <v/>
      </c>
      <c r="BK457" s="539" t="str">
        <f t="shared" ref="BK457:BK507" si="222">IF(LEN(BG457)=0,"",IF(BG457=FALSE,"Missing info","Okay"))</f>
        <v/>
      </c>
      <c r="BL457" s="547" t="str">
        <f t="shared" ref="BL457:BL507" si="223">IF(LEN(BH457)=0,"",IF(BH457=FALSE,"Missing info","Okay"))</f>
        <v/>
      </c>
    </row>
    <row r="458" spans="1:64" x14ac:dyDescent="0.3">
      <c r="A458" s="133">
        <v>451</v>
      </c>
      <c r="B458" s="294"/>
      <c r="C458" s="313"/>
      <c r="D458" s="292"/>
      <c r="E458" s="284"/>
      <c r="F458" s="284"/>
      <c r="G458" s="295"/>
      <c r="H458" s="296"/>
      <c r="I458" s="297"/>
      <c r="J458" s="292"/>
      <c r="K458" s="284"/>
      <c r="L458" s="284"/>
      <c r="M458" s="295"/>
      <c r="N458" s="296"/>
      <c r="O458" s="296"/>
      <c r="P458" s="284"/>
      <c r="Q458" s="298"/>
      <c r="R458" s="292"/>
      <c r="S458" s="299"/>
      <c r="T458" s="300"/>
      <c r="U458" s="317" t="str">
        <f t="shared" si="197"/>
        <v/>
      </c>
      <c r="V458" s="301"/>
      <c r="W458" s="137" t="str">
        <f t="shared" si="198"/>
        <v/>
      </c>
      <c r="X458" s="589" t="str">
        <f t="shared" si="216"/>
        <v/>
      </c>
      <c r="Y458" s="581"/>
      <c r="Z458" s="251" t="str">
        <f t="shared" si="199"/>
        <v/>
      </c>
      <c r="AA458" s="138" t="str">
        <f t="shared" ref="AA458:AA507" si="224">IF(OR(AM458="Row Not Used",AM458="Controls Only"),"",IFERROR(ROUND(Z458/AH458,2),0))</f>
        <v/>
      </c>
      <c r="AB458" s="243" t="str">
        <f t="shared" si="217"/>
        <v/>
      </c>
      <c r="AC458" s="141" t="str">
        <f t="shared" si="200"/>
        <v/>
      </c>
      <c r="AD458" s="138" t="str">
        <f t="shared" si="218"/>
        <v/>
      </c>
      <c r="AE458" s="243" t="str">
        <f t="shared" si="201"/>
        <v/>
      </c>
      <c r="AF458" s="342" t="str">
        <f>IF(AM458="Row Not Used","",INDEX(SpaceTable[Annual Hours],(MATCH(B458,SpaceTable[Space Name Concatenated Helper],0))))</f>
        <v/>
      </c>
      <c r="AG458" s="205" t="str">
        <f t="shared" si="202"/>
        <v/>
      </c>
      <c r="AH458" s="234" t="str">
        <f t="shared" si="203"/>
        <v/>
      </c>
      <c r="AI458" s="205" t="str">
        <f t="shared" si="204"/>
        <v/>
      </c>
      <c r="AJ458" s="234" t="str">
        <f t="shared" si="205"/>
        <v/>
      </c>
      <c r="AK458" s="144" t="str">
        <f>IF(AM458="Row Not Used","",INDEX(SpaceTable[Row],(MATCH(B458,SpaceTable[Space Name Concatenated Helper],0))))</f>
        <v/>
      </c>
      <c r="AL458" s="238" t="str">
        <f>IF(AM458="Row Not Used","",INDEX(SpaceTable[HVAC Factor],(MATCH(B458,SpaceTable[Space Name Concatenated Helper],0))))</f>
        <v/>
      </c>
      <c r="AM458" s="520" t="str">
        <f t="shared" si="206"/>
        <v>Row Not Used</v>
      </c>
      <c r="AN458" s="512" t="e" cm="1">
        <f t="array" ref="AN458">INDEX(BallastFactorTable[Ballast Factor],MATCH(1,(BallastFactorTable[Fixture Class]=D458)*(BallastFactorTable[Fixture Category]=E458)*(BallastFactorTable[Fixture Sub-category]=F458),0))</f>
        <v>#N/A</v>
      </c>
      <c r="AO458" s="143" t="str">
        <f t="shared" si="219"/>
        <v/>
      </c>
      <c r="AP458" s="501" t="e" cm="1">
        <f t="array" ref="AP458">INDEX(BallastFactorTable[Wattage Range Name],MATCH(1,(BallastFactorTable[Fixture Class]=D458)*(BallastFactorTable[Fixture Category]=E458)*(BallastFactorTable[Fixture Sub-category]=F458),0))</f>
        <v>#N/A</v>
      </c>
      <c r="AQ458" s="515" t="str">
        <f t="shared" ca="1" si="207"/>
        <v>Okay</v>
      </c>
      <c r="AR458" s="512">
        <f t="shared" si="208"/>
        <v>0</v>
      </c>
      <c r="AS458" s="511" t="str">
        <f>IF(OR(Measures!AM458="Row Not Used",Measures!C458="Controls Only",Measures!C458="Decommissioning"),"",_xlfn.CONCAT(P458," ",Q458))</f>
        <v/>
      </c>
      <c r="AT458" s="264" t="str">
        <f t="shared" si="209"/>
        <v>None</v>
      </c>
      <c r="AU458" s="229">
        <f>IF(OR(AM458="Row Not Used",AM458="Controls Only"),0,INDEX(IncentiveRateTable[Incentive Rate],MATCH(AT458,IncentiveRateTable[Incentive Name],0)))</f>
        <v>0</v>
      </c>
      <c r="AV458" s="133" t="str">
        <f>IF(OR(AM458="Row Not Used",AM458="Controls Only"),"None",INDEX(IncentiveRateTable[Incentive Unit],MATCH(AT458,IncentiveRateTable[Incentive Name],0)))</f>
        <v>None</v>
      </c>
      <c r="AW458" s="578">
        <f t="shared" si="220"/>
        <v>0</v>
      </c>
      <c r="AX458" s="264" t="str">
        <f t="shared" si="210"/>
        <v>None</v>
      </c>
      <c r="AY458" s="229">
        <f>IF(OR(AM458="Row Not Used",AM458="Fixtures Only",AM458="Decommissioning"),0,INDEX(IncentiveRateTable[Incentive Rate],MATCH(AX458,IncentiveRateTable[Incentive Name],0)))</f>
        <v>0</v>
      </c>
      <c r="AZ458" s="133" t="str">
        <f>IF(OR(AM458="Row Not Used",AM458="Fixtures Only",AM458="Decommissioning"),"None",INDEX(IncentiveRateTable[Incentive Unit],MATCH(AX458,IncentiveRateTable[Incentive Name],0)))</f>
        <v>None</v>
      </c>
      <c r="BA458" s="465">
        <f t="shared" si="211"/>
        <v>0</v>
      </c>
      <c r="BB458" s="264" t="e" cm="1">
        <f t="array" ref="BB458">INDEX(BallastFactorTable[Commercial BPA Reference Number],MATCH(1,(BallastFactorTable[Fixture Class]=J458)*(BallastFactorTable[Fixture Category]=K458)*(BallastFactorTable[Fixture Sub-category]=L458),0))</f>
        <v>#N/A</v>
      </c>
      <c r="BC458" s="133" t="e" cm="1">
        <f t="array" ref="BC458">INDEX(BallastFactorTable[Industrial BPA Reference Number],MATCH(1,(BallastFactorTable[Fixture Class]=J458)*(BallastFactorTable[Fixture Category]=K458)*(BallastFactorTable[Fixture Sub-category]=L458),0))</f>
        <v>#N/A</v>
      </c>
      <c r="BD458" s="264" t="str">
        <f t="shared" si="212"/>
        <v>Sector is blank</v>
      </c>
      <c r="BE458" s="269" t="str">
        <f>IF(ISBLANK(SectorField),"Sector is blank",IF(AM458="Row Not Used","",IF(OR(R458="No Controls",ISBLANK(R458)),"",INDEX(ControlsBPARefNoTable[Reference Number],MATCH(SectorField,ControlsBPARefNoTable[Sector],0)))))</f>
        <v>Sector is blank</v>
      </c>
      <c r="BF458" s="530" t="str">
        <f t="shared" si="213"/>
        <v/>
      </c>
      <c r="BG458" s="132" t="str">
        <f t="shared" si="214"/>
        <v/>
      </c>
      <c r="BH458" s="531" t="str">
        <f t="shared" si="215"/>
        <v/>
      </c>
      <c r="BI458" s="532"/>
      <c r="BJ458" s="538" t="str">
        <f t="shared" si="221"/>
        <v/>
      </c>
      <c r="BK458" s="539" t="str">
        <f t="shared" si="222"/>
        <v/>
      </c>
      <c r="BL458" s="547" t="str">
        <f t="shared" si="223"/>
        <v/>
      </c>
    </row>
    <row r="459" spans="1:64" x14ac:dyDescent="0.3">
      <c r="A459" s="133">
        <v>452</v>
      </c>
      <c r="B459" s="294"/>
      <c r="C459" s="313"/>
      <c r="D459" s="292"/>
      <c r="E459" s="284"/>
      <c r="F459" s="284"/>
      <c r="G459" s="295"/>
      <c r="H459" s="296"/>
      <c r="I459" s="297"/>
      <c r="J459" s="292"/>
      <c r="K459" s="284"/>
      <c r="L459" s="284"/>
      <c r="M459" s="295"/>
      <c r="N459" s="296"/>
      <c r="O459" s="296"/>
      <c r="P459" s="284"/>
      <c r="Q459" s="298"/>
      <c r="R459" s="292"/>
      <c r="S459" s="299"/>
      <c r="T459" s="300"/>
      <c r="U459" s="317" t="str">
        <f t="shared" si="197"/>
        <v/>
      </c>
      <c r="V459" s="301"/>
      <c r="W459" s="136" t="str">
        <f t="shared" si="198"/>
        <v/>
      </c>
      <c r="X459" s="588" t="str">
        <f t="shared" si="216"/>
        <v/>
      </c>
      <c r="Y459" s="580"/>
      <c r="Z459" s="251" t="str">
        <f t="shared" si="199"/>
        <v/>
      </c>
      <c r="AA459" s="138" t="str">
        <f t="shared" si="224"/>
        <v/>
      </c>
      <c r="AB459" s="243" t="str">
        <f t="shared" si="217"/>
        <v/>
      </c>
      <c r="AC459" s="141" t="str">
        <f t="shared" si="200"/>
        <v/>
      </c>
      <c r="AD459" s="138" t="str">
        <f t="shared" si="218"/>
        <v/>
      </c>
      <c r="AE459" s="243" t="str">
        <f t="shared" si="201"/>
        <v/>
      </c>
      <c r="AF459" s="342" t="str">
        <f>IF(AM459="Row Not Used","",INDEX(SpaceTable[Annual Hours],(MATCH(B459,SpaceTable[Space Name Concatenated Helper],0))))</f>
        <v/>
      </c>
      <c r="AG459" s="205" t="str">
        <f t="shared" si="202"/>
        <v/>
      </c>
      <c r="AH459" s="234" t="str">
        <f t="shared" si="203"/>
        <v/>
      </c>
      <c r="AI459" s="205" t="str">
        <f t="shared" si="204"/>
        <v/>
      </c>
      <c r="AJ459" s="234" t="str">
        <f t="shared" si="205"/>
        <v/>
      </c>
      <c r="AK459" s="144" t="str">
        <f>IF(AM459="Row Not Used","",INDEX(SpaceTable[Row],(MATCH(B459,SpaceTable[Space Name Concatenated Helper],0))))</f>
        <v/>
      </c>
      <c r="AL459" s="238" t="str">
        <f>IF(AM459="Row Not Used","",INDEX(SpaceTable[HVAC Factor],(MATCH(B459,SpaceTable[Space Name Concatenated Helper],0))))</f>
        <v/>
      </c>
      <c r="AM459" s="520" t="str">
        <f t="shared" si="206"/>
        <v>Row Not Used</v>
      </c>
      <c r="AN459" s="512" t="e" cm="1">
        <f t="array" ref="AN459">INDEX(BallastFactorTable[Ballast Factor],MATCH(1,(BallastFactorTable[Fixture Class]=D459)*(BallastFactorTable[Fixture Category]=E459)*(BallastFactorTable[Fixture Sub-category]=F459),0))</f>
        <v>#N/A</v>
      </c>
      <c r="AO459" s="143" t="str">
        <f t="shared" si="219"/>
        <v/>
      </c>
      <c r="AP459" s="501" t="e" cm="1">
        <f t="array" ref="AP459">INDEX(BallastFactorTable[Wattage Range Name],MATCH(1,(BallastFactorTable[Fixture Class]=D459)*(BallastFactorTable[Fixture Category]=E459)*(BallastFactorTable[Fixture Sub-category]=F459),0))</f>
        <v>#N/A</v>
      </c>
      <c r="AQ459" s="515" t="str">
        <f t="shared" ca="1" si="207"/>
        <v>Okay</v>
      </c>
      <c r="AR459" s="512">
        <f t="shared" si="208"/>
        <v>0</v>
      </c>
      <c r="AS459" s="511" t="str">
        <f>IF(OR(Measures!AM459="Row Not Used",Measures!C459="Controls Only",Measures!C459="Decommissioning"),"",_xlfn.CONCAT(P459," ",Q459))</f>
        <v/>
      </c>
      <c r="AT459" s="264" t="str">
        <f t="shared" si="209"/>
        <v>None</v>
      </c>
      <c r="AU459" s="229">
        <f>IF(OR(AM459="Row Not Used",AM459="Controls Only"),0,INDEX(IncentiveRateTable[Incentive Rate],MATCH(AT459,IncentiveRateTable[Incentive Name],0)))</f>
        <v>0</v>
      </c>
      <c r="AV459" s="133" t="str">
        <f>IF(OR(AM459="Row Not Used",AM459="Controls Only"),"None",INDEX(IncentiveRateTable[Incentive Unit],MATCH(AT459,IncentiveRateTable[Incentive Name],0)))</f>
        <v>None</v>
      </c>
      <c r="AW459" s="578">
        <f t="shared" si="220"/>
        <v>0</v>
      </c>
      <c r="AX459" s="264" t="str">
        <f t="shared" si="210"/>
        <v>None</v>
      </c>
      <c r="AY459" s="229">
        <f>IF(OR(AM459="Row Not Used",AM459="Fixtures Only",AM459="Decommissioning"),0,INDEX(IncentiveRateTable[Incentive Rate],MATCH(AX459,IncentiveRateTable[Incentive Name],0)))</f>
        <v>0</v>
      </c>
      <c r="AZ459" s="133" t="str">
        <f>IF(OR(AM459="Row Not Used",AM459="Fixtures Only",AM459="Decommissioning"),"None",INDEX(IncentiveRateTable[Incentive Unit],MATCH(AX459,IncentiveRateTable[Incentive Name],0)))</f>
        <v>None</v>
      </c>
      <c r="BA459" s="465">
        <f t="shared" si="211"/>
        <v>0</v>
      </c>
      <c r="BB459" s="264" t="e" cm="1">
        <f t="array" ref="BB459">INDEX(BallastFactorTable[Commercial BPA Reference Number],MATCH(1,(BallastFactorTable[Fixture Class]=J459)*(BallastFactorTable[Fixture Category]=K459)*(BallastFactorTable[Fixture Sub-category]=L459),0))</f>
        <v>#N/A</v>
      </c>
      <c r="BC459" s="133" t="e" cm="1">
        <f t="array" ref="BC459">INDEX(BallastFactorTable[Industrial BPA Reference Number],MATCH(1,(BallastFactorTable[Fixture Class]=J459)*(BallastFactorTable[Fixture Category]=K459)*(BallastFactorTable[Fixture Sub-category]=L459),0))</f>
        <v>#N/A</v>
      </c>
      <c r="BD459" s="264" t="str">
        <f t="shared" si="212"/>
        <v>Sector is blank</v>
      </c>
      <c r="BE459" s="269" t="str">
        <f>IF(ISBLANK(SectorField),"Sector is blank",IF(AM459="Row Not Used","",IF(OR(R459="No Controls",ISBLANK(R459)),"",INDEX(ControlsBPARefNoTable[Reference Number],MATCH(SectorField,ControlsBPARefNoTable[Sector],0)))))</f>
        <v>Sector is blank</v>
      </c>
      <c r="BF459" s="530" t="str">
        <f t="shared" si="213"/>
        <v/>
      </c>
      <c r="BG459" s="132" t="str">
        <f t="shared" si="214"/>
        <v/>
      </c>
      <c r="BH459" s="531" t="str">
        <f t="shared" si="215"/>
        <v/>
      </c>
      <c r="BI459" s="532"/>
      <c r="BJ459" s="538" t="str">
        <f t="shared" si="221"/>
        <v/>
      </c>
      <c r="BK459" s="539" t="str">
        <f t="shared" si="222"/>
        <v/>
      </c>
      <c r="BL459" s="547" t="str">
        <f t="shared" si="223"/>
        <v/>
      </c>
    </row>
    <row r="460" spans="1:64" x14ac:dyDescent="0.3">
      <c r="A460" s="133">
        <v>453</v>
      </c>
      <c r="B460" s="294"/>
      <c r="C460" s="313"/>
      <c r="D460" s="292"/>
      <c r="E460" s="284"/>
      <c r="F460" s="284"/>
      <c r="G460" s="295"/>
      <c r="H460" s="296"/>
      <c r="I460" s="297"/>
      <c r="J460" s="292"/>
      <c r="K460" s="284"/>
      <c r="L460" s="284"/>
      <c r="M460" s="295"/>
      <c r="N460" s="296"/>
      <c r="O460" s="296"/>
      <c r="P460" s="284"/>
      <c r="Q460" s="298"/>
      <c r="R460" s="292"/>
      <c r="S460" s="299"/>
      <c r="T460" s="300"/>
      <c r="U460" s="317" t="str">
        <f t="shared" si="197"/>
        <v/>
      </c>
      <c r="V460" s="301"/>
      <c r="W460" s="137" t="str">
        <f t="shared" si="198"/>
        <v/>
      </c>
      <c r="X460" s="589" t="str">
        <f t="shared" si="216"/>
        <v/>
      </c>
      <c r="Y460" s="581"/>
      <c r="Z460" s="251" t="str">
        <f t="shared" si="199"/>
        <v/>
      </c>
      <c r="AA460" s="138" t="str">
        <f t="shared" si="224"/>
        <v/>
      </c>
      <c r="AB460" s="243" t="str">
        <f t="shared" si="217"/>
        <v/>
      </c>
      <c r="AC460" s="141" t="str">
        <f t="shared" si="200"/>
        <v/>
      </c>
      <c r="AD460" s="138" t="str">
        <f t="shared" si="218"/>
        <v/>
      </c>
      <c r="AE460" s="243" t="str">
        <f t="shared" si="201"/>
        <v/>
      </c>
      <c r="AF460" s="342" t="str">
        <f>IF(AM460="Row Not Used","",INDEX(SpaceTable[Annual Hours],(MATCH(B460,SpaceTable[Space Name Concatenated Helper],0))))</f>
        <v/>
      </c>
      <c r="AG460" s="205" t="str">
        <f t="shared" si="202"/>
        <v/>
      </c>
      <c r="AH460" s="234" t="str">
        <f t="shared" si="203"/>
        <v/>
      </c>
      <c r="AI460" s="205" t="str">
        <f t="shared" si="204"/>
        <v/>
      </c>
      <c r="AJ460" s="234" t="str">
        <f t="shared" si="205"/>
        <v/>
      </c>
      <c r="AK460" s="144" t="str">
        <f>IF(AM460="Row Not Used","",INDEX(SpaceTable[Row],(MATCH(B460,SpaceTable[Space Name Concatenated Helper],0))))</f>
        <v/>
      </c>
      <c r="AL460" s="238" t="str">
        <f>IF(AM460="Row Not Used","",INDEX(SpaceTable[HVAC Factor],(MATCH(B460,SpaceTable[Space Name Concatenated Helper],0))))</f>
        <v/>
      </c>
      <c r="AM460" s="520" t="str">
        <f t="shared" si="206"/>
        <v>Row Not Used</v>
      </c>
      <c r="AN460" s="512" t="e" cm="1">
        <f t="array" ref="AN460">INDEX(BallastFactorTable[Ballast Factor],MATCH(1,(BallastFactorTable[Fixture Class]=D460)*(BallastFactorTable[Fixture Category]=E460)*(BallastFactorTable[Fixture Sub-category]=F460),0))</f>
        <v>#N/A</v>
      </c>
      <c r="AO460" s="143" t="str">
        <f t="shared" si="219"/>
        <v/>
      </c>
      <c r="AP460" s="501" t="e" cm="1">
        <f t="array" ref="AP460">INDEX(BallastFactorTable[Wattage Range Name],MATCH(1,(BallastFactorTable[Fixture Class]=D460)*(BallastFactorTable[Fixture Category]=E460)*(BallastFactorTable[Fixture Sub-category]=F460),0))</f>
        <v>#N/A</v>
      </c>
      <c r="AQ460" s="515" t="str">
        <f t="shared" ca="1" si="207"/>
        <v>Okay</v>
      </c>
      <c r="AR460" s="512">
        <f t="shared" si="208"/>
        <v>0</v>
      </c>
      <c r="AS460" s="511" t="str">
        <f>IF(OR(Measures!AM460="Row Not Used",Measures!C460="Controls Only",Measures!C460="Decommissioning"),"",_xlfn.CONCAT(P460," ",Q460))</f>
        <v/>
      </c>
      <c r="AT460" s="264" t="str">
        <f t="shared" si="209"/>
        <v>None</v>
      </c>
      <c r="AU460" s="229">
        <f>IF(OR(AM460="Row Not Used",AM460="Controls Only"),0,INDEX(IncentiveRateTable[Incentive Rate],MATCH(AT460,IncentiveRateTable[Incentive Name],0)))</f>
        <v>0</v>
      </c>
      <c r="AV460" s="133" t="str">
        <f>IF(OR(AM460="Row Not Used",AM460="Controls Only"),"None",INDEX(IncentiveRateTable[Incentive Unit],MATCH(AT460,IncentiveRateTable[Incentive Name],0)))</f>
        <v>None</v>
      </c>
      <c r="AW460" s="578">
        <f t="shared" si="220"/>
        <v>0</v>
      </c>
      <c r="AX460" s="264" t="str">
        <f t="shared" si="210"/>
        <v>None</v>
      </c>
      <c r="AY460" s="229">
        <f>IF(OR(AM460="Row Not Used",AM460="Fixtures Only",AM460="Decommissioning"),0,INDEX(IncentiveRateTable[Incentive Rate],MATCH(AX460,IncentiveRateTable[Incentive Name],0)))</f>
        <v>0</v>
      </c>
      <c r="AZ460" s="133" t="str">
        <f>IF(OR(AM460="Row Not Used",AM460="Fixtures Only",AM460="Decommissioning"),"None",INDEX(IncentiveRateTable[Incentive Unit],MATCH(AX460,IncentiveRateTable[Incentive Name],0)))</f>
        <v>None</v>
      </c>
      <c r="BA460" s="465">
        <f t="shared" si="211"/>
        <v>0</v>
      </c>
      <c r="BB460" s="264" t="e" cm="1">
        <f t="array" ref="BB460">INDEX(BallastFactorTable[Commercial BPA Reference Number],MATCH(1,(BallastFactorTable[Fixture Class]=J460)*(BallastFactorTable[Fixture Category]=K460)*(BallastFactorTable[Fixture Sub-category]=L460),0))</f>
        <v>#N/A</v>
      </c>
      <c r="BC460" s="133" t="e" cm="1">
        <f t="array" ref="BC460">INDEX(BallastFactorTable[Industrial BPA Reference Number],MATCH(1,(BallastFactorTable[Fixture Class]=J460)*(BallastFactorTable[Fixture Category]=K460)*(BallastFactorTable[Fixture Sub-category]=L460),0))</f>
        <v>#N/A</v>
      </c>
      <c r="BD460" s="264" t="str">
        <f t="shared" si="212"/>
        <v>Sector is blank</v>
      </c>
      <c r="BE460" s="269" t="str">
        <f>IF(ISBLANK(SectorField),"Sector is blank",IF(AM460="Row Not Used","",IF(OR(R460="No Controls",ISBLANK(R460)),"",INDEX(ControlsBPARefNoTable[Reference Number],MATCH(SectorField,ControlsBPARefNoTable[Sector],0)))))</f>
        <v>Sector is blank</v>
      </c>
      <c r="BF460" s="530" t="str">
        <f t="shared" si="213"/>
        <v/>
      </c>
      <c r="BG460" s="132" t="str">
        <f t="shared" si="214"/>
        <v/>
      </c>
      <c r="BH460" s="531" t="str">
        <f t="shared" si="215"/>
        <v/>
      </c>
      <c r="BI460" s="532"/>
      <c r="BJ460" s="538" t="str">
        <f t="shared" si="221"/>
        <v/>
      </c>
      <c r="BK460" s="539" t="str">
        <f t="shared" si="222"/>
        <v/>
      </c>
      <c r="BL460" s="547" t="str">
        <f t="shared" si="223"/>
        <v/>
      </c>
    </row>
    <row r="461" spans="1:64" x14ac:dyDescent="0.3">
      <c r="A461" s="133">
        <v>454</v>
      </c>
      <c r="B461" s="294"/>
      <c r="C461" s="313"/>
      <c r="D461" s="292"/>
      <c r="E461" s="284"/>
      <c r="F461" s="284"/>
      <c r="G461" s="295"/>
      <c r="H461" s="296"/>
      <c r="I461" s="297"/>
      <c r="J461" s="292"/>
      <c r="K461" s="284"/>
      <c r="L461" s="284"/>
      <c r="M461" s="295"/>
      <c r="N461" s="296"/>
      <c r="O461" s="296"/>
      <c r="P461" s="284"/>
      <c r="Q461" s="298"/>
      <c r="R461" s="292"/>
      <c r="S461" s="299"/>
      <c r="T461" s="300"/>
      <c r="U461" s="317" t="str">
        <f t="shared" si="197"/>
        <v/>
      </c>
      <c r="V461" s="301"/>
      <c r="W461" s="136" t="str">
        <f t="shared" si="198"/>
        <v/>
      </c>
      <c r="X461" s="588" t="str">
        <f t="shared" si="216"/>
        <v/>
      </c>
      <c r="Y461" s="580"/>
      <c r="Z461" s="251" t="str">
        <f t="shared" si="199"/>
        <v/>
      </c>
      <c r="AA461" s="138" t="str">
        <f t="shared" si="224"/>
        <v/>
      </c>
      <c r="AB461" s="243" t="str">
        <f t="shared" si="217"/>
        <v/>
      </c>
      <c r="AC461" s="141" t="str">
        <f t="shared" si="200"/>
        <v/>
      </c>
      <c r="AD461" s="138" t="str">
        <f t="shared" si="218"/>
        <v/>
      </c>
      <c r="AE461" s="243" t="str">
        <f t="shared" si="201"/>
        <v/>
      </c>
      <c r="AF461" s="342" t="str">
        <f>IF(AM461="Row Not Used","",INDEX(SpaceTable[Annual Hours],(MATCH(B461,SpaceTable[Space Name Concatenated Helper],0))))</f>
        <v/>
      </c>
      <c r="AG461" s="205" t="str">
        <f t="shared" si="202"/>
        <v/>
      </c>
      <c r="AH461" s="234" t="str">
        <f t="shared" si="203"/>
        <v/>
      </c>
      <c r="AI461" s="205" t="str">
        <f t="shared" si="204"/>
        <v/>
      </c>
      <c r="AJ461" s="234" t="str">
        <f t="shared" si="205"/>
        <v/>
      </c>
      <c r="AK461" s="144" t="str">
        <f>IF(AM461="Row Not Used","",INDEX(SpaceTable[Row],(MATCH(B461,SpaceTable[Space Name Concatenated Helper],0))))</f>
        <v/>
      </c>
      <c r="AL461" s="238" t="str">
        <f>IF(AM461="Row Not Used","",INDEX(SpaceTable[HVAC Factor],(MATCH(B461,SpaceTable[Space Name Concatenated Helper],0))))</f>
        <v/>
      </c>
      <c r="AM461" s="520" t="str">
        <f t="shared" si="206"/>
        <v>Row Not Used</v>
      </c>
      <c r="AN461" s="512" t="e" cm="1">
        <f t="array" ref="AN461">INDEX(BallastFactorTable[Ballast Factor],MATCH(1,(BallastFactorTable[Fixture Class]=D461)*(BallastFactorTable[Fixture Category]=E461)*(BallastFactorTable[Fixture Sub-category]=F461),0))</f>
        <v>#N/A</v>
      </c>
      <c r="AO461" s="143" t="str">
        <f t="shared" si="219"/>
        <v/>
      </c>
      <c r="AP461" s="501" t="e" cm="1">
        <f t="array" ref="AP461">INDEX(BallastFactorTable[Wattage Range Name],MATCH(1,(BallastFactorTable[Fixture Class]=D461)*(BallastFactorTable[Fixture Category]=E461)*(BallastFactorTable[Fixture Sub-category]=F461),0))</f>
        <v>#N/A</v>
      </c>
      <c r="AQ461" s="515" t="str">
        <f t="shared" ca="1" si="207"/>
        <v>Okay</v>
      </c>
      <c r="AR461" s="512">
        <f t="shared" si="208"/>
        <v>0</v>
      </c>
      <c r="AS461" s="511" t="str">
        <f>IF(OR(Measures!AM461="Row Not Used",Measures!C461="Controls Only",Measures!C461="Decommissioning"),"",_xlfn.CONCAT(P461," ",Q461))</f>
        <v/>
      </c>
      <c r="AT461" s="264" t="str">
        <f t="shared" si="209"/>
        <v>None</v>
      </c>
      <c r="AU461" s="229">
        <f>IF(OR(AM461="Row Not Used",AM461="Controls Only"),0,INDEX(IncentiveRateTable[Incentive Rate],MATCH(AT461,IncentiveRateTable[Incentive Name],0)))</f>
        <v>0</v>
      </c>
      <c r="AV461" s="133" t="str">
        <f>IF(OR(AM461="Row Not Used",AM461="Controls Only"),"None",INDEX(IncentiveRateTable[Incentive Unit],MATCH(AT461,IncentiveRateTable[Incentive Name],0)))</f>
        <v>None</v>
      </c>
      <c r="AW461" s="578">
        <f t="shared" si="220"/>
        <v>0</v>
      </c>
      <c r="AX461" s="264" t="str">
        <f t="shared" si="210"/>
        <v>None</v>
      </c>
      <c r="AY461" s="229">
        <f>IF(OR(AM461="Row Not Used",AM461="Fixtures Only",AM461="Decommissioning"),0,INDEX(IncentiveRateTable[Incentive Rate],MATCH(AX461,IncentiveRateTable[Incentive Name],0)))</f>
        <v>0</v>
      </c>
      <c r="AZ461" s="133" t="str">
        <f>IF(OR(AM461="Row Not Used",AM461="Fixtures Only",AM461="Decommissioning"),"None",INDEX(IncentiveRateTable[Incentive Unit],MATCH(AX461,IncentiveRateTable[Incentive Name],0)))</f>
        <v>None</v>
      </c>
      <c r="BA461" s="465">
        <f t="shared" si="211"/>
        <v>0</v>
      </c>
      <c r="BB461" s="264" t="e" cm="1">
        <f t="array" ref="BB461">INDEX(BallastFactorTable[Commercial BPA Reference Number],MATCH(1,(BallastFactorTable[Fixture Class]=J461)*(BallastFactorTable[Fixture Category]=K461)*(BallastFactorTable[Fixture Sub-category]=L461),0))</f>
        <v>#N/A</v>
      </c>
      <c r="BC461" s="133" t="e" cm="1">
        <f t="array" ref="BC461">INDEX(BallastFactorTable[Industrial BPA Reference Number],MATCH(1,(BallastFactorTable[Fixture Class]=J461)*(BallastFactorTable[Fixture Category]=K461)*(BallastFactorTable[Fixture Sub-category]=L461),0))</f>
        <v>#N/A</v>
      </c>
      <c r="BD461" s="264" t="str">
        <f t="shared" si="212"/>
        <v>Sector is blank</v>
      </c>
      <c r="BE461" s="269" t="str">
        <f>IF(ISBLANK(SectorField),"Sector is blank",IF(AM461="Row Not Used","",IF(OR(R461="No Controls",ISBLANK(R461)),"",INDEX(ControlsBPARefNoTable[Reference Number],MATCH(SectorField,ControlsBPARefNoTable[Sector],0)))))</f>
        <v>Sector is blank</v>
      </c>
      <c r="BF461" s="530" t="str">
        <f t="shared" si="213"/>
        <v/>
      </c>
      <c r="BG461" s="132" t="str">
        <f t="shared" si="214"/>
        <v/>
      </c>
      <c r="BH461" s="531" t="str">
        <f t="shared" si="215"/>
        <v/>
      </c>
      <c r="BI461" s="532"/>
      <c r="BJ461" s="538" t="str">
        <f t="shared" si="221"/>
        <v/>
      </c>
      <c r="BK461" s="539" t="str">
        <f t="shared" si="222"/>
        <v/>
      </c>
      <c r="BL461" s="547" t="str">
        <f t="shared" si="223"/>
        <v/>
      </c>
    </row>
    <row r="462" spans="1:64" x14ac:dyDescent="0.3">
      <c r="A462" s="133">
        <v>455</v>
      </c>
      <c r="B462" s="294"/>
      <c r="C462" s="313"/>
      <c r="D462" s="292"/>
      <c r="E462" s="284"/>
      <c r="F462" s="284"/>
      <c r="G462" s="295"/>
      <c r="H462" s="296"/>
      <c r="I462" s="297"/>
      <c r="J462" s="292"/>
      <c r="K462" s="284"/>
      <c r="L462" s="284"/>
      <c r="M462" s="295"/>
      <c r="N462" s="296"/>
      <c r="O462" s="296"/>
      <c r="P462" s="284"/>
      <c r="Q462" s="298"/>
      <c r="R462" s="292"/>
      <c r="S462" s="299"/>
      <c r="T462" s="300"/>
      <c r="U462" s="317" t="str">
        <f t="shared" si="197"/>
        <v/>
      </c>
      <c r="V462" s="301"/>
      <c r="W462" s="137" t="str">
        <f t="shared" si="198"/>
        <v/>
      </c>
      <c r="X462" s="589" t="str">
        <f t="shared" si="216"/>
        <v/>
      </c>
      <c r="Y462" s="581"/>
      <c r="Z462" s="251" t="str">
        <f t="shared" si="199"/>
        <v/>
      </c>
      <c r="AA462" s="138" t="str">
        <f t="shared" si="224"/>
        <v/>
      </c>
      <c r="AB462" s="243" t="str">
        <f t="shared" si="217"/>
        <v/>
      </c>
      <c r="AC462" s="141" t="str">
        <f t="shared" si="200"/>
        <v/>
      </c>
      <c r="AD462" s="138" t="str">
        <f t="shared" si="218"/>
        <v/>
      </c>
      <c r="AE462" s="243" t="str">
        <f t="shared" si="201"/>
        <v/>
      </c>
      <c r="AF462" s="342" t="str">
        <f>IF(AM462="Row Not Used","",INDEX(SpaceTable[Annual Hours],(MATCH(B462,SpaceTable[Space Name Concatenated Helper],0))))</f>
        <v/>
      </c>
      <c r="AG462" s="205" t="str">
        <f t="shared" si="202"/>
        <v/>
      </c>
      <c r="AH462" s="234" t="str">
        <f t="shared" si="203"/>
        <v/>
      </c>
      <c r="AI462" s="205" t="str">
        <f t="shared" si="204"/>
        <v/>
      </c>
      <c r="AJ462" s="234" t="str">
        <f t="shared" si="205"/>
        <v/>
      </c>
      <c r="AK462" s="144" t="str">
        <f>IF(AM462="Row Not Used","",INDEX(SpaceTable[Row],(MATCH(B462,SpaceTable[Space Name Concatenated Helper],0))))</f>
        <v/>
      </c>
      <c r="AL462" s="238" t="str">
        <f>IF(AM462="Row Not Used","",INDEX(SpaceTable[HVAC Factor],(MATCH(B462,SpaceTable[Space Name Concatenated Helper],0))))</f>
        <v/>
      </c>
      <c r="AM462" s="520" t="str">
        <f t="shared" si="206"/>
        <v>Row Not Used</v>
      </c>
      <c r="AN462" s="512" t="e" cm="1">
        <f t="array" ref="AN462">INDEX(BallastFactorTable[Ballast Factor],MATCH(1,(BallastFactorTable[Fixture Class]=D462)*(BallastFactorTable[Fixture Category]=E462)*(BallastFactorTable[Fixture Sub-category]=F462),0))</f>
        <v>#N/A</v>
      </c>
      <c r="AO462" s="143" t="str">
        <f t="shared" si="219"/>
        <v/>
      </c>
      <c r="AP462" s="501" t="e" cm="1">
        <f t="array" ref="AP462">INDEX(BallastFactorTable[Wattage Range Name],MATCH(1,(BallastFactorTable[Fixture Class]=D462)*(BallastFactorTable[Fixture Category]=E462)*(BallastFactorTable[Fixture Sub-category]=F462),0))</f>
        <v>#N/A</v>
      </c>
      <c r="AQ462" s="515" t="str">
        <f t="shared" ca="1" si="207"/>
        <v>Okay</v>
      </c>
      <c r="AR462" s="512">
        <f t="shared" si="208"/>
        <v>0</v>
      </c>
      <c r="AS462" s="511" t="str">
        <f>IF(OR(Measures!AM462="Row Not Used",Measures!C462="Controls Only",Measures!C462="Decommissioning"),"",_xlfn.CONCAT(P462," ",Q462))</f>
        <v/>
      </c>
      <c r="AT462" s="264" t="str">
        <f t="shared" si="209"/>
        <v>None</v>
      </c>
      <c r="AU462" s="229">
        <f>IF(OR(AM462="Row Not Used",AM462="Controls Only"),0,INDEX(IncentiveRateTable[Incentive Rate],MATCH(AT462,IncentiveRateTable[Incentive Name],0)))</f>
        <v>0</v>
      </c>
      <c r="AV462" s="133" t="str">
        <f>IF(OR(AM462="Row Not Used",AM462="Controls Only"),"None",INDEX(IncentiveRateTable[Incentive Unit],MATCH(AT462,IncentiveRateTable[Incentive Name],0)))</f>
        <v>None</v>
      </c>
      <c r="AW462" s="578">
        <f t="shared" si="220"/>
        <v>0</v>
      </c>
      <c r="AX462" s="264" t="str">
        <f t="shared" si="210"/>
        <v>None</v>
      </c>
      <c r="AY462" s="229">
        <f>IF(OR(AM462="Row Not Used",AM462="Fixtures Only",AM462="Decommissioning"),0,INDEX(IncentiveRateTable[Incentive Rate],MATCH(AX462,IncentiveRateTable[Incentive Name],0)))</f>
        <v>0</v>
      </c>
      <c r="AZ462" s="133" t="str">
        <f>IF(OR(AM462="Row Not Used",AM462="Fixtures Only",AM462="Decommissioning"),"None",INDEX(IncentiveRateTable[Incentive Unit],MATCH(AX462,IncentiveRateTable[Incentive Name],0)))</f>
        <v>None</v>
      </c>
      <c r="BA462" s="465">
        <f t="shared" si="211"/>
        <v>0</v>
      </c>
      <c r="BB462" s="264" t="e" cm="1">
        <f t="array" ref="BB462">INDEX(BallastFactorTable[Commercial BPA Reference Number],MATCH(1,(BallastFactorTable[Fixture Class]=J462)*(BallastFactorTable[Fixture Category]=K462)*(BallastFactorTable[Fixture Sub-category]=L462),0))</f>
        <v>#N/A</v>
      </c>
      <c r="BC462" s="133" t="e" cm="1">
        <f t="array" ref="BC462">INDEX(BallastFactorTable[Industrial BPA Reference Number],MATCH(1,(BallastFactorTable[Fixture Class]=J462)*(BallastFactorTable[Fixture Category]=K462)*(BallastFactorTable[Fixture Sub-category]=L462),0))</f>
        <v>#N/A</v>
      </c>
      <c r="BD462" s="264" t="str">
        <f t="shared" si="212"/>
        <v>Sector is blank</v>
      </c>
      <c r="BE462" s="269" t="str">
        <f>IF(ISBLANK(SectorField),"Sector is blank",IF(AM462="Row Not Used","",IF(OR(R462="No Controls",ISBLANK(R462)),"",INDEX(ControlsBPARefNoTable[Reference Number],MATCH(SectorField,ControlsBPARefNoTable[Sector],0)))))</f>
        <v>Sector is blank</v>
      </c>
      <c r="BF462" s="530" t="str">
        <f t="shared" si="213"/>
        <v/>
      </c>
      <c r="BG462" s="132" t="str">
        <f t="shared" si="214"/>
        <v/>
      </c>
      <c r="BH462" s="531" t="str">
        <f t="shared" si="215"/>
        <v/>
      </c>
      <c r="BI462" s="532"/>
      <c r="BJ462" s="538" t="str">
        <f t="shared" si="221"/>
        <v/>
      </c>
      <c r="BK462" s="539" t="str">
        <f t="shared" si="222"/>
        <v/>
      </c>
      <c r="BL462" s="547" t="str">
        <f t="shared" si="223"/>
        <v/>
      </c>
    </row>
    <row r="463" spans="1:64" x14ac:dyDescent="0.3">
      <c r="A463" s="133">
        <v>456</v>
      </c>
      <c r="B463" s="294"/>
      <c r="C463" s="313"/>
      <c r="D463" s="292"/>
      <c r="E463" s="284"/>
      <c r="F463" s="284"/>
      <c r="G463" s="295"/>
      <c r="H463" s="296"/>
      <c r="I463" s="297"/>
      <c r="J463" s="292"/>
      <c r="K463" s="284"/>
      <c r="L463" s="284"/>
      <c r="M463" s="295"/>
      <c r="N463" s="296"/>
      <c r="O463" s="296"/>
      <c r="P463" s="284"/>
      <c r="Q463" s="298"/>
      <c r="R463" s="292"/>
      <c r="S463" s="299"/>
      <c r="T463" s="300"/>
      <c r="U463" s="317" t="str">
        <f t="shared" si="197"/>
        <v/>
      </c>
      <c r="V463" s="301"/>
      <c r="W463" s="136" t="str">
        <f t="shared" si="198"/>
        <v/>
      </c>
      <c r="X463" s="588" t="str">
        <f t="shared" si="216"/>
        <v/>
      </c>
      <c r="Y463" s="580"/>
      <c r="Z463" s="251" t="str">
        <f t="shared" si="199"/>
        <v/>
      </c>
      <c r="AA463" s="138" t="str">
        <f t="shared" si="224"/>
        <v/>
      </c>
      <c r="AB463" s="243" t="str">
        <f t="shared" si="217"/>
        <v/>
      </c>
      <c r="AC463" s="141" t="str">
        <f t="shared" si="200"/>
        <v/>
      </c>
      <c r="AD463" s="138" t="str">
        <f t="shared" si="218"/>
        <v/>
      </c>
      <c r="AE463" s="243" t="str">
        <f t="shared" si="201"/>
        <v/>
      </c>
      <c r="AF463" s="342" t="str">
        <f>IF(AM463="Row Not Used","",INDEX(SpaceTable[Annual Hours],(MATCH(B463,SpaceTable[Space Name Concatenated Helper],0))))</f>
        <v/>
      </c>
      <c r="AG463" s="205" t="str">
        <f t="shared" si="202"/>
        <v/>
      </c>
      <c r="AH463" s="234" t="str">
        <f t="shared" si="203"/>
        <v/>
      </c>
      <c r="AI463" s="205" t="str">
        <f t="shared" si="204"/>
        <v/>
      </c>
      <c r="AJ463" s="234" t="str">
        <f t="shared" si="205"/>
        <v/>
      </c>
      <c r="AK463" s="144" t="str">
        <f>IF(AM463="Row Not Used","",INDEX(SpaceTable[Row],(MATCH(B463,SpaceTable[Space Name Concatenated Helper],0))))</f>
        <v/>
      </c>
      <c r="AL463" s="238" t="str">
        <f>IF(AM463="Row Not Used","",INDEX(SpaceTable[HVAC Factor],(MATCH(B463,SpaceTable[Space Name Concatenated Helper],0))))</f>
        <v/>
      </c>
      <c r="AM463" s="520" t="str">
        <f t="shared" si="206"/>
        <v>Row Not Used</v>
      </c>
      <c r="AN463" s="512" t="e" cm="1">
        <f t="array" ref="AN463">INDEX(BallastFactorTable[Ballast Factor],MATCH(1,(BallastFactorTable[Fixture Class]=D463)*(BallastFactorTable[Fixture Category]=E463)*(BallastFactorTable[Fixture Sub-category]=F463),0))</f>
        <v>#N/A</v>
      </c>
      <c r="AO463" s="143" t="str">
        <f t="shared" si="219"/>
        <v/>
      </c>
      <c r="AP463" s="501" t="e" cm="1">
        <f t="array" ref="AP463">INDEX(BallastFactorTable[Wattage Range Name],MATCH(1,(BallastFactorTable[Fixture Class]=D463)*(BallastFactorTable[Fixture Category]=E463)*(BallastFactorTable[Fixture Sub-category]=F463),0))</f>
        <v>#N/A</v>
      </c>
      <c r="AQ463" s="515" t="str">
        <f t="shared" ca="1" si="207"/>
        <v>Okay</v>
      </c>
      <c r="AR463" s="512">
        <f t="shared" si="208"/>
        <v>0</v>
      </c>
      <c r="AS463" s="511" t="str">
        <f>IF(OR(Measures!AM463="Row Not Used",Measures!C463="Controls Only",Measures!C463="Decommissioning"),"",_xlfn.CONCAT(P463," ",Q463))</f>
        <v/>
      </c>
      <c r="AT463" s="264" t="str">
        <f t="shared" si="209"/>
        <v>None</v>
      </c>
      <c r="AU463" s="229">
        <f>IF(OR(AM463="Row Not Used",AM463="Controls Only"),0,INDEX(IncentiveRateTable[Incentive Rate],MATCH(AT463,IncentiveRateTable[Incentive Name],0)))</f>
        <v>0</v>
      </c>
      <c r="AV463" s="133" t="str">
        <f>IF(OR(AM463="Row Not Used",AM463="Controls Only"),"None",INDEX(IncentiveRateTable[Incentive Unit],MATCH(AT463,IncentiveRateTable[Incentive Name],0)))</f>
        <v>None</v>
      </c>
      <c r="AW463" s="578">
        <f t="shared" si="220"/>
        <v>0</v>
      </c>
      <c r="AX463" s="264" t="str">
        <f t="shared" si="210"/>
        <v>None</v>
      </c>
      <c r="AY463" s="229">
        <f>IF(OR(AM463="Row Not Used",AM463="Fixtures Only",AM463="Decommissioning"),0,INDEX(IncentiveRateTable[Incentive Rate],MATCH(AX463,IncentiveRateTable[Incentive Name],0)))</f>
        <v>0</v>
      </c>
      <c r="AZ463" s="133" t="str">
        <f>IF(OR(AM463="Row Not Used",AM463="Fixtures Only",AM463="Decommissioning"),"None",INDEX(IncentiveRateTable[Incentive Unit],MATCH(AX463,IncentiveRateTable[Incentive Name],0)))</f>
        <v>None</v>
      </c>
      <c r="BA463" s="465">
        <f t="shared" si="211"/>
        <v>0</v>
      </c>
      <c r="BB463" s="264" t="e" cm="1">
        <f t="array" ref="BB463">INDEX(BallastFactorTable[Commercial BPA Reference Number],MATCH(1,(BallastFactorTable[Fixture Class]=J463)*(BallastFactorTable[Fixture Category]=K463)*(BallastFactorTable[Fixture Sub-category]=L463),0))</f>
        <v>#N/A</v>
      </c>
      <c r="BC463" s="133" t="e" cm="1">
        <f t="array" ref="BC463">INDEX(BallastFactorTable[Industrial BPA Reference Number],MATCH(1,(BallastFactorTable[Fixture Class]=J463)*(BallastFactorTable[Fixture Category]=K463)*(BallastFactorTable[Fixture Sub-category]=L463),0))</f>
        <v>#N/A</v>
      </c>
      <c r="BD463" s="264" t="str">
        <f t="shared" si="212"/>
        <v>Sector is blank</v>
      </c>
      <c r="BE463" s="269" t="str">
        <f>IF(ISBLANK(SectorField),"Sector is blank",IF(AM463="Row Not Used","",IF(OR(R463="No Controls",ISBLANK(R463)),"",INDEX(ControlsBPARefNoTable[Reference Number],MATCH(SectorField,ControlsBPARefNoTable[Sector],0)))))</f>
        <v>Sector is blank</v>
      </c>
      <c r="BF463" s="530" t="str">
        <f t="shared" si="213"/>
        <v/>
      </c>
      <c r="BG463" s="132" t="str">
        <f t="shared" si="214"/>
        <v/>
      </c>
      <c r="BH463" s="531" t="str">
        <f t="shared" si="215"/>
        <v/>
      </c>
      <c r="BI463" s="532"/>
      <c r="BJ463" s="538" t="str">
        <f t="shared" si="221"/>
        <v/>
      </c>
      <c r="BK463" s="539" t="str">
        <f t="shared" si="222"/>
        <v/>
      </c>
      <c r="BL463" s="547" t="str">
        <f t="shared" si="223"/>
        <v/>
      </c>
    </row>
    <row r="464" spans="1:64" x14ac:dyDescent="0.3">
      <c r="A464" s="133">
        <v>457</v>
      </c>
      <c r="B464" s="294"/>
      <c r="C464" s="313"/>
      <c r="D464" s="292"/>
      <c r="E464" s="284"/>
      <c r="F464" s="284"/>
      <c r="G464" s="295"/>
      <c r="H464" s="296"/>
      <c r="I464" s="297"/>
      <c r="J464" s="292"/>
      <c r="K464" s="284"/>
      <c r="L464" s="284"/>
      <c r="M464" s="295"/>
      <c r="N464" s="296"/>
      <c r="O464" s="296"/>
      <c r="P464" s="284"/>
      <c r="Q464" s="298"/>
      <c r="R464" s="292"/>
      <c r="S464" s="299"/>
      <c r="T464" s="300"/>
      <c r="U464" s="317" t="str">
        <f t="shared" si="197"/>
        <v/>
      </c>
      <c r="V464" s="301"/>
      <c r="W464" s="137" t="str">
        <f t="shared" si="198"/>
        <v/>
      </c>
      <c r="X464" s="589" t="str">
        <f t="shared" si="216"/>
        <v/>
      </c>
      <c r="Y464" s="581"/>
      <c r="Z464" s="251" t="str">
        <f t="shared" si="199"/>
        <v/>
      </c>
      <c r="AA464" s="138" t="str">
        <f t="shared" si="224"/>
        <v/>
      </c>
      <c r="AB464" s="243" t="str">
        <f t="shared" si="217"/>
        <v/>
      </c>
      <c r="AC464" s="141" t="str">
        <f t="shared" si="200"/>
        <v/>
      </c>
      <c r="AD464" s="138" t="str">
        <f t="shared" si="218"/>
        <v/>
      </c>
      <c r="AE464" s="243" t="str">
        <f t="shared" si="201"/>
        <v/>
      </c>
      <c r="AF464" s="342" t="str">
        <f>IF(AM464="Row Not Used","",INDEX(SpaceTable[Annual Hours],(MATCH(B464,SpaceTable[Space Name Concatenated Helper],0))))</f>
        <v/>
      </c>
      <c r="AG464" s="205" t="str">
        <f t="shared" si="202"/>
        <v/>
      </c>
      <c r="AH464" s="234" t="str">
        <f t="shared" si="203"/>
        <v/>
      </c>
      <c r="AI464" s="205" t="str">
        <f t="shared" si="204"/>
        <v/>
      </c>
      <c r="AJ464" s="234" t="str">
        <f t="shared" si="205"/>
        <v/>
      </c>
      <c r="AK464" s="144" t="str">
        <f>IF(AM464="Row Not Used","",INDEX(SpaceTable[Row],(MATCH(B464,SpaceTable[Space Name Concatenated Helper],0))))</f>
        <v/>
      </c>
      <c r="AL464" s="238" t="str">
        <f>IF(AM464="Row Not Used","",INDEX(SpaceTable[HVAC Factor],(MATCH(B464,SpaceTable[Space Name Concatenated Helper],0))))</f>
        <v/>
      </c>
      <c r="AM464" s="520" t="str">
        <f t="shared" si="206"/>
        <v>Row Not Used</v>
      </c>
      <c r="AN464" s="512" t="e" cm="1">
        <f t="array" ref="AN464">INDEX(BallastFactorTable[Ballast Factor],MATCH(1,(BallastFactorTable[Fixture Class]=D464)*(BallastFactorTable[Fixture Category]=E464)*(BallastFactorTable[Fixture Sub-category]=F464),0))</f>
        <v>#N/A</v>
      </c>
      <c r="AO464" s="143" t="str">
        <f t="shared" si="219"/>
        <v/>
      </c>
      <c r="AP464" s="501" t="e" cm="1">
        <f t="array" ref="AP464">INDEX(BallastFactorTable[Wattage Range Name],MATCH(1,(BallastFactorTable[Fixture Class]=D464)*(BallastFactorTable[Fixture Category]=E464)*(BallastFactorTable[Fixture Sub-category]=F464),0))</f>
        <v>#N/A</v>
      </c>
      <c r="AQ464" s="515" t="str">
        <f t="shared" ca="1" si="207"/>
        <v>Okay</v>
      </c>
      <c r="AR464" s="512">
        <f t="shared" si="208"/>
        <v>0</v>
      </c>
      <c r="AS464" s="511" t="str">
        <f>IF(OR(Measures!AM464="Row Not Used",Measures!C464="Controls Only",Measures!C464="Decommissioning"),"",_xlfn.CONCAT(P464," ",Q464))</f>
        <v/>
      </c>
      <c r="AT464" s="264" t="str">
        <f t="shared" si="209"/>
        <v>None</v>
      </c>
      <c r="AU464" s="229">
        <f>IF(OR(AM464="Row Not Used",AM464="Controls Only"),0,INDEX(IncentiveRateTable[Incentive Rate],MATCH(AT464,IncentiveRateTable[Incentive Name],0)))</f>
        <v>0</v>
      </c>
      <c r="AV464" s="133" t="str">
        <f>IF(OR(AM464="Row Not Used",AM464="Controls Only"),"None",INDEX(IncentiveRateTable[Incentive Unit],MATCH(AT464,IncentiveRateTable[Incentive Name],0)))</f>
        <v>None</v>
      </c>
      <c r="AW464" s="578">
        <f t="shared" si="220"/>
        <v>0</v>
      </c>
      <c r="AX464" s="264" t="str">
        <f t="shared" si="210"/>
        <v>None</v>
      </c>
      <c r="AY464" s="229">
        <f>IF(OR(AM464="Row Not Used",AM464="Fixtures Only",AM464="Decommissioning"),0,INDEX(IncentiveRateTable[Incentive Rate],MATCH(AX464,IncentiveRateTable[Incentive Name],0)))</f>
        <v>0</v>
      </c>
      <c r="AZ464" s="133" t="str">
        <f>IF(OR(AM464="Row Not Used",AM464="Fixtures Only",AM464="Decommissioning"),"None",INDEX(IncentiveRateTable[Incentive Unit],MATCH(AX464,IncentiveRateTable[Incentive Name],0)))</f>
        <v>None</v>
      </c>
      <c r="BA464" s="465">
        <f t="shared" si="211"/>
        <v>0</v>
      </c>
      <c r="BB464" s="264" t="e" cm="1">
        <f t="array" ref="BB464">INDEX(BallastFactorTable[Commercial BPA Reference Number],MATCH(1,(BallastFactorTable[Fixture Class]=J464)*(BallastFactorTable[Fixture Category]=K464)*(BallastFactorTable[Fixture Sub-category]=L464),0))</f>
        <v>#N/A</v>
      </c>
      <c r="BC464" s="133" t="e" cm="1">
        <f t="array" ref="BC464">INDEX(BallastFactorTable[Industrial BPA Reference Number],MATCH(1,(BallastFactorTable[Fixture Class]=J464)*(BallastFactorTable[Fixture Category]=K464)*(BallastFactorTable[Fixture Sub-category]=L464),0))</f>
        <v>#N/A</v>
      </c>
      <c r="BD464" s="264" t="str">
        <f t="shared" si="212"/>
        <v>Sector is blank</v>
      </c>
      <c r="BE464" s="269" t="str">
        <f>IF(ISBLANK(SectorField),"Sector is blank",IF(AM464="Row Not Used","",IF(OR(R464="No Controls",ISBLANK(R464)),"",INDEX(ControlsBPARefNoTable[Reference Number],MATCH(SectorField,ControlsBPARefNoTable[Sector],0)))))</f>
        <v>Sector is blank</v>
      </c>
      <c r="BF464" s="530" t="str">
        <f t="shared" si="213"/>
        <v/>
      </c>
      <c r="BG464" s="132" t="str">
        <f t="shared" si="214"/>
        <v/>
      </c>
      <c r="BH464" s="531" t="str">
        <f t="shared" si="215"/>
        <v/>
      </c>
      <c r="BI464" s="532"/>
      <c r="BJ464" s="538" t="str">
        <f t="shared" si="221"/>
        <v/>
      </c>
      <c r="BK464" s="539" t="str">
        <f t="shared" si="222"/>
        <v/>
      </c>
      <c r="BL464" s="547" t="str">
        <f t="shared" si="223"/>
        <v/>
      </c>
    </row>
    <row r="465" spans="1:64" x14ac:dyDescent="0.3">
      <c r="A465" s="133">
        <v>458</v>
      </c>
      <c r="B465" s="294"/>
      <c r="C465" s="313"/>
      <c r="D465" s="292"/>
      <c r="E465" s="284"/>
      <c r="F465" s="284"/>
      <c r="G465" s="295"/>
      <c r="H465" s="296"/>
      <c r="I465" s="297"/>
      <c r="J465" s="292"/>
      <c r="K465" s="284"/>
      <c r="L465" s="284"/>
      <c r="M465" s="295"/>
      <c r="N465" s="296"/>
      <c r="O465" s="296"/>
      <c r="P465" s="284"/>
      <c r="Q465" s="298"/>
      <c r="R465" s="292"/>
      <c r="S465" s="299"/>
      <c r="T465" s="300"/>
      <c r="U465" s="317" t="str">
        <f t="shared" si="197"/>
        <v/>
      </c>
      <c r="V465" s="301"/>
      <c r="W465" s="136" t="str">
        <f t="shared" si="198"/>
        <v/>
      </c>
      <c r="X465" s="588" t="str">
        <f t="shared" si="216"/>
        <v/>
      </c>
      <c r="Y465" s="580"/>
      <c r="Z465" s="251" t="str">
        <f t="shared" si="199"/>
        <v/>
      </c>
      <c r="AA465" s="138" t="str">
        <f t="shared" si="224"/>
        <v/>
      </c>
      <c r="AB465" s="243" t="str">
        <f t="shared" si="217"/>
        <v/>
      </c>
      <c r="AC465" s="141" t="str">
        <f t="shared" si="200"/>
        <v/>
      </c>
      <c r="AD465" s="138" t="str">
        <f t="shared" si="218"/>
        <v/>
      </c>
      <c r="AE465" s="243" t="str">
        <f t="shared" si="201"/>
        <v/>
      </c>
      <c r="AF465" s="342" t="str">
        <f>IF(AM465="Row Not Used","",INDEX(SpaceTable[Annual Hours],(MATCH(B465,SpaceTable[Space Name Concatenated Helper],0))))</f>
        <v/>
      </c>
      <c r="AG465" s="205" t="str">
        <f t="shared" si="202"/>
        <v/>
      </c>
      <c r="AH465" s="234" t="str">
        <f t="shared" si="203"/>
        <v/>
      </c>
      <c r="AI465" s="205" t="str">
        <f t="shared" si="204"/>
        <v/>
      </c>
      <c r="AJ465" s="234" t="str">
        <f t="shared" si="205"/>
        <v/>
      </c>
      <c r="AK465" s="144" t="str">
        <f>IF(AM465="Row Not Used","",INDEX(SpaceTable[Row],(MATCH(B465,SpaceTable[Space Name Concatenated Helper],0))))</f>
        <v/>
      </c>
      <c r="AL465" s="238" t="str">
        <f>IF(AM465="Row Not Used","",INDEX(SpaceTable[HVAC Factor],(MATCH(B465,SpaceTable[Space Name Concatenated Helper],0))))</f>
        <v/>
      </c>
      <c r="AM465" s="520" t="str">
        <f t="shared" si="206"/>
        <v>Row Not Used</v>
      </c>
      <c r="AN465" s="512" t="e" cm="1">
        <f t="array" ref="AN465">INDEX(BallastFactorTable[Ballast Factor],MATCH(1,(BallastFactorTable[Fixture Class]=D465)*(BallastFactorTable[Fixture Category]=E465)*(BallastFactorTable[Fixture Sub-category]=F465),0))</f>
        <v>#N/A</v>
      </c>
      <c r="AO465" s="143" t="str">
        <f t="shared" si="219"/>
        <v/>
      </c>
      <c r="AP465" s="501" t="e" cm="1">
        <f t="array" ref="AP465">INDEX(BallastFactorTable[Wattage Range Name],MATCH(1,(BallastFactorTable[Fixture Class]=D465)*(BallastFactorTable[Fixture Category]=E465)*(BallastFactorTable[Fixture Sub-category]=F465),0))</f>
        <v>#N/A</v>
      </c>
      <c r="AQ465" s="515" t="str">
        <f t="shared" ca="1" si="207"/>
        <v>Okay</v>
      </c>
      <c r="AR465" s="512">
        <f t="shared" si="208"/>
        <v>0</v>
      </c>
      <c r="AS465" s="511" t="str">
        <f>IF(OR(Measures!AM465="Row Not Used",Measures!C465="Controls Only",Measures!C465="Decommissioning"),"",_xlfn.CONCAT(P465," ",Q465))</f>
        <v/>
      </c>
      <c r="AT465" s="264" t="str">
        <f t="shared" si="209"/>
        <v>None</v>
      </c>
      <c r="AU465" s="229">
        <f>IF(OR(AM465="Row Not Used",AM465="Controls Only"),0,INDEX(IncentiveRateTable[Incentive Rate],MATCH(AT465,IncentiveRateTable[Incentive Name],0)))</f>
        <v>0</v>
      </c>
      <c r="AV465" s="133" t="str">
        <f>IF(OR(AM465="Row Not Used",AM465="Controls Only"),"None",INDEX(IncentiveRateTable[Incentive Unit],MATCH(AT465,IncentiveRateTable[Incentive Name],0)))</f>
        <v>None</v>
      </c>
      <c r="AW465" s="578">
        <f t="shared" si="220"/>
        <v>0</v>
      </c>
      <c r="AX465" s="264" t="str">
        <f t="shared" si="210"/>
        <v>None</v>
      </c>
      <c r="AY465" s="229">
        <f>IF(OR(AM465="Row Not Used",AM465="Fixtures Only",AM465="Decommissioning"),0,INDEX(IncentiveRateTable[Incentive Rate],MATCH(AX465,IncentiveRateTable[Incentive Name],0)))</f>
        <v>0</v>
      </c>
      <c r="AZ465" s="133" t="str">
        <f>IF(OR(AM465="Row Not Used",AM465="Fixtures Only",AM465="Decommissioning"),"None",INDEX(IncentiveRateTable[Incentive Unit],MATCH(AX465,IncentiveRateTable[Incentive Name],0)))</f>
        <v>None</v>
      </c>
      <c r="BA465" s="465">
        <f t="shared" si="211"/>
        <v>0</v>
      </c>
      <c r="BB465" s="264" t="e" cm="1">
        <f t="array" ref="BB465">INDEX(BallastFactorTable[Commercial BPA Reference Number],MATCH(1,(BallastFactorTable[Fixture Class]=J465)*(BallastFactorTable[Fixture Category]=K465)*(BallastFactorTable[Fixture Sub-category]=L465),0))</f>
        <v>#N/A</v>
      </c>
      <c r="BC465" s="133" t="e" cm="1">
        <f t="array" ref="BC465">INDEX(BallastFactorTable[Industrial BPA Reference Number],MATCH(1,(BallastFactorTable[Fixture Class]=J465)*(BallastFactorTable[Fixture Category]=K465)*(BallastFactorTable[Fixture Sub-category]=L465),0))</f>
        <v>#N/A</v>
      </c>
      <c r="BD465" s="264" t="str">
        <f t="shared" si="212"/>
        <v>Sector is blank</v>
      </c>
      <c r="BE465" s="269" t="str">
        <f>IF(ISBLANK(SectorField),"Sector is blank",IF(AM465="Row Not Used","",IF(OR(R465="No Controls",ISBLANK(R465)),"",INDEX(ControlsBPARefNoTable[Reference Number],MATCH(SectorField,ControlsBPARefNoTable[Sector],0)))))</f>
        <v>Sector is blank</v>
      </c>
      <c r="BF465" s="530" t="str">
        <f t="shared" si="213"/>
        <v/>
      </c>
      <c r="BG465" s="132" t="str">
        <f t="shared" si="214"/>
        <v/>
      </c>
      <c r="BH465" s="531" t="str">
        <f t="shared" si="215"/>
        <v/>
      </c>
      <c r="BI465" s="532"/>
      <c r="BJ465" s="538" t="str">
        <f t="shared" si="221"/>
        <v/>
      </c>
      <c r="BK465" s="539" t="str">
        <f t="shared" si="222"/>
        <v/>
      </c>
      <c r="BL465" s="547" t="str">
        <f t="shared" si="223"/>
        <v/>
      </c>
    </row>
    <row r="466" spans="1:64" x14ac:dyDescent="0.3">
      <c r="A466" s="133">
        <v>459</v>
      </c>
      <c r="B466" s="294"/>
      <c r="C466" s="313"/>
      <c r="D466" s="292"/>
      <c r="E466" s="284"/>
      <c r="F466" s="284"/>
      <c r="G466" s="295"/>
      <c r="H466" s="296"/>
      <c r="I466" s="297"/>
      <c r="J466" s="292"/>
      <c r="K466" s="284"/>
      <c r="L466" s="284"/>
      <c r="M466" s="295"/>
      <c r="N466" s="296"/>
      <c r="O466" s="296"/>
      <c r="P466" s="284"/>
      <c r="Q466" s="298"/>
      <c r="R466" s="292"/>
      <c r="S466" s="299"/>
      <c r="T466" s="300"/>
      <c r="U466" s="317" t="str">
        <f t="shared" si="197"/>
        <v/>
      </c>
      <c r="V466" s="301"/>
      <c r="W466" s="137" t="str">
        <f t="shared" si="198"/>
        <v/>
      </c>
      <c r="X466" s="589" t="str">
        <f t="shared" si="216"/>
        <v/>
      </c>
      <c r="Y466" s="581"/>
      <c r="Z466" s="251" t="str">
        <f t="shared" si="199"/>
        <v/>
      </c>
      <c r="AA466" s="138" t="str">
        <f t="shared" si="224"/>
        <v/>
      </c>
      <c r="AB466" s="243" t="str">
        <f t="shared" si="217"/>
        <v/>
      </c>
      <c r="AC466" s="141" t="str">
        <f t="shared" si="200"/>
        <v/>
      </c>
      <c r="AD466" s="138" t="str">
        <f t="shared" si="218"/>
        <v/>
      </c>
      <c r="AE466" s="243" t="str">
        <f t="shared" si="201"/>
        <v/>
      </c>
      <c r="AF466" s="342" t="str">
        <f>IF(AM466="Row Not Used","",INDEX(SpaceTable[Annual Hours],(MATCH(B466,SpaceTable[Space Name Concatenated Helper],0))))</f>
        <v/>
      </c>
      <c r="AG466" s="205" t="str">
        <f t="shared" si="202"/>
        <v/>
      </c>
      <c r="AH466" s="234" t="str">
        <f t="shared" si="203"/>
        <v/>
      </c>
      <c r="AI466" s="205" t="str">
        <f t="shared" si="204"/>
        <v/>
      </c>
      <c r="AJ466" s="234" t="str">
        <f t="shared" si="205"/>
        <v/>
      </c>
      <c r="AK466" s="144" t="str">
        <f>IF(AM466="Row Not Used","",INDEX(SpaceTable[Row],(MATCH(B466,SpaceTable[Space Name Concatenated Helper],0))))</f>
        <v/>
      </c>
      <c r="AL466" s="238" t="str">
        <f>IF(AM466="Row Not Used","",INDEX(SpaceTable[HVAC Factor],(MATCH(B466,SpaceTable[Space Name Concatenated Helper],0))))</f>
        <v/>
      </c>
      <c r="AM466" s="520" t="str">
        <f t="shared" si="206"/>
        <v>Row Not Used</v>
      </c>
      <c r="AN466" s="512" t="e" cm="1">
        <f t="array" ref="AN466">INDEX(BallastFactorTable[Ballast Factor],MATCH(1,(BallastFactorTable[Fixture Class]=D466)*(BallastFactorTable[Fixture Category]=E466)*(BallastFactorTable[Fixture Sub-category]=F466),0))</f>
        <v>#N/A</v>
      </c>
      <c r="AO466" s="143" t="str">
        <f t="shared" si="219"/>
        <v/>
      </c>
      <c r="AP466" s="501" t="e" cm="1">
        <f t="array" ref="AP466">INDEX(BallastFactorTable[Wattage Range Name],MATCH(1,(BallastFactorTable[Fixture Class]=D466)*(BallastFactorTable[Fixture Category]=E466)*(BallastFactorTable[Fixture Sub-category]=F466),0))</f>
        <v>#N/A</v>
      </c>
      <c r="AQ466" s="515" t="str">
        <f t="shared" ca="1" si="207"/>
        <v>Okay</v>
      </c>
      <c r="AR466" s="512">
        <f t="shared" si="208"/>
        <v>0</v>
      </c>
      <c r="AS466" s="511" t="str">
        <f>IF(OR(Measures!AM466="Row Not Used",Measures!C466="Controls Only",Measures!C466="Decommissioning"),"",_xlfn.CONCAT(P466," ",Q466))</f>
        <v/>
      </c>
      <c r="AT466" s="264" t="str">
        <f t="shared" si="209"/>
        <v>None</v>
      </c>
      <c r="AU466" s="229">
        <f>IF(OR(AM466="Row Not Used",AM466="Controls Only"),0,INDEX(IncentiveRateTable[Incentive Rate],MATCH(AT466,IncentiveRateTable[Incentive Name],0)))</f>
        <v>0</v>
      </c>
      <c r="AV466" s="133" t="str">
        <f>IF(OR(AM466="Row Not Used",AM466="Controls Only"),"None",INDEX(IncentiveRateTable[Incentive Unit],MATCH(AT466,IncentiveRateTable[Incentive Name],0)))</f>
        <v>None</v>
      </c>
      <c r="AW466" s="578">
        <f t="shared" si="220"/>
        <v>0</v>
      </c>
      <c r="AX466" s="264" t="str">
        <f t="shared" si="210"/>
        <v>None</v>
      </c>
      <c r="AY466" s="229">
        <f>IF(OR(AM466="Row Not Used",AM466="Fixtures Only",AM466="Decommissioning"),0,INDEX(IncentiveRateTable[Incentive Rate],MATCH(AX466,IncentiveRateTable[Incentive Name],0)))</f>
        <v>0</v>
      </c>
      <c r="AZ466" s="133" t="str">
        <f>IF(OR(AM466="Row Not Used",AM466="Fixtures Only",AM466="Decommissioning"),"None",INDEX(IncentiveRateTable[Incentive Unit],MATCH(AX466,IncentiveRateTable[Incentive Name],0)))</f>
        <v>None</v>
      </c>
      <c r="BA466" s="465">
        <f t="shared" si="211"/>
        <v>0</v>
      </c>
      <c r="BB466" s="264" t="e" cm="1">
        <f t="array" ref="BB466">INDEX(BallastFactorTable[Commercial BPA Reference Number],MATCH(1,(BallastFactorTable[Fixture Class]=J466)*(BallastFactorTable[Fixture Category]=K466)*(BallastFactorTable[Fixture Sub-category]=L466),0))</f>
        <v>#N/A</v>
      </c>
      <c r="BC466" s="133" t="e" cm="1">
        <f t="array" ref="BC466">INDEX(BallastFactorTable[Industrial BPA Reference Number],MATCH(1,(BallastFactorTable[Fixture Class]=J466)*(BallastFactorTable[Fixture Category]=K466)*(BallastFactorTable[Fixture Sub-category]=L466),0))</f>
        <v>#N/A</v>
      </c>
      <c r="BD466" s="264" t="str">
        <f t="shared" si="212"/>
        <v>Sector is blank</v>
      </c>
      <c r="BE466" s="269" t="str">
        <f>IF(ISBLANK(SectorField),"Sector is blank",IF(AM466="Row Not Used","",IF(OR(R466="No Controls",ISBLANK(R466)),"",INDEX(ControlsBPARefNoTable[Reference Number],MATCH(SectorField,ControlsBPARefNoTable[Sector],0)))))</f>
        <v>Sector is blank</v>
      </c>
      <c r="BF466" s="530" t="str">
        <f t="shared" si="213"/>
        <v/>
      </c>
      <c r="BG466" s="132" t="str">
        <f t="shared" si="214"/>
        <v/>
      </c>
      <c r="BH466" s="531" t="str">
        <f t="shared" si="215"/>
        <v/>
      </c>
      <c r="BI466" s="532"/>
      <c r="BJ466" s="538" t="str">
        <f t="shared" si="221"/>
        <v/>
      </c>
      <c r="BK466" s="539" t="str">
        <f t="shared" si="222"/>
        <v/>
      </c>
      <c r="BL466" s="547" t="str">
        <f t="shared" si="223"/>
        <v/>
      </c>
    </row>
    <row r="467" spans="1:64" x14ac:dyDescent="0.3">
      <c r="A467" s="133">
        <v>460</v>
      </c>
      <c r="B467" s="294"/>
      <c r="C467" s="313"/>
      <c r="D467" s="292"/>
      <c r="E467" s="284"/>
      <c r="F467" s="284"/>
      <c r="G467" s="295"/>
      <c r="H467" s="296"/>
      <c r="I467" s="297"/>
      <c r="J467" s="292"/>
      <c r="K467" s="284"/>
      <c r="L467" s="284"/>
      <c r="M467" s="295"/>
      <c r="N467" s="296"/>
      <c r="O467" s="296"/>
      <c r="P467" s="284"/>
      <c r="Q467" s="298"/>
      <c r="R467" s="292"/>
      <c r="S467" s="299"/>
      <c r="T467" s="300"/>
      <c r="U467" s="317" t="str">
        <f t="shared" si="197"/>
        <v/>
      </c>
      <c r="V467" s="301"/>
      <c r="W467" s="136" t="str">
        <f t="shared" si="198"/>
        <v/>
      </c>
      <c r="X467" s="588" t="str">
        <f t="shared" si="216"/>
        <v/>
      </c>
      <c r="Y467" s="580"/>
      <c r="Z467" s="251" t="str">
        <f t="shared" si="199"/>
        <v/>
      </c>
      <c r="AA467" s="138" t="str">
        <f t="shared" si="224"/>
        <v/>
      </c>
      <c r="AB467" s="243" t="str">
        <f t="shared" si="217"/>
        <v/>
      </c>
      <c r="AC467" s="141" t="str">
        <f t="shared" si="200"/>
        <v/>
      </c>
      <c r="AD467" s="138" t="str">
        <f t="shared" si="218"/>
        <v/>
      </c>
      <c r="AE467" s="243" t="str">
        <f t="shared" si="201"/>
        <v/>
      </c>
      <c r="AF467" s="342" t="str">
        <f>IF(AM467="Row Not Used","",INDEX(SpaceTable[Annual Hours],(MATCH(B467,SpaceTable[Space Name Concatenated Helper],0))))</f>
        <v/>
      </c>
      <c r="AG467" s="205" t="str">
        <f t="shared" si="202"/>
        <v/>
      </c>
      <c r="AH467" s="234" t="str">
        <f t="shared" si="203"/>
        <v/>
      </c>
      <c r="AI467" s="205" t="str">
        <f t="shared" si="204"/>
        <v/>
      </c>
      <c r="AJ467" s="234" t="str">
        <f t="shared" si="205"/>
        <v/>
      </c>
      <c r="AK467" s="144" t="str">
        <f>IF(AM467="Row Not Used","",INDEX(SpaceTable[Row],(MATCH(B467,SpaceTable[Space Name Concatenated Helper],0))))</f>
        <v/>
      </c>
      <c r="AL467" s="238" t="str">
        <f>IF(AM467="Row Not Used","",INDEX(SpaceTable[HVAC Factor],(MATCH(B467,SpaceTable[Space Name Concatenated Helper],0))))</f>
        <v/>
      </c>
      <c r="AM467" s="520" t="str">
        <f t="shared" si="206"/>
        <v>Row Not Used</v>
      </c>
      <c r="AN467" s="512" t="e" cm="1">
        <f t="array" ref="AN467">INDEX(BallastFactorTable[Ballast Factor],MATCH(1,(BallastFactorTable[Fixture Class]=D467)*(BallastFactorTable[Fixture Category]=E467)*(BallastFactorTable[Fixture Sub-category]=F467),0))</f>
        <v>#N/A</v>
      </c>
      <c r="AO467" s="143" t="str">
        <f t="shared" si="219"/>
        <v/>
      </c>
      <c r="AP467" s="501" t="e" cm="1">
        <f t="array" ref="AP467">INDEX(BallastFactorTable[Wattage Range Name],MATCH(1,(BallastFactorTable[Fixture Class]=D467)*(BallastFactorTable[Fixture Category]=E467)*(BallastFactorTable[Fixture Sub-category]=F467),0))</f>
        <v>#N/A</v>
      </c>
      <c r="AQ467" s="515" t="str">
        <f t="shared" ca="1" si="207"/>
        <v>Okay</v>
      </c>
      <c r="AR467" s="512">
        <f t="shared" si="208"/>
        <v>0</v>
      </c>
      <c r="AS467" s="511" t="str">
        <f>IF(OR(Measures!AM467="Row Not Used",Measures!C467="Controls Only",Measures!C467="Decommissioning"),"",_xlfn.CONCAT(P467," ",Q467))</f>
        <v/>
      </c>
      <c r="AT467" s="264" t="str">
        <f t="shared" si="209"/>
        <v>None</v>
      </c>
      <c r="AU467" s="229">
        <f>IF(OR(AM467="Row Not Used",AM467="Controls Only"),0,INDEX(IncentiveRateTable[Incentive Rate],MATCH(AT467,IncentiveRateTable[Incentive Name],0)))</f>
        <v>0</v>
      </c>
      <c r="AV467" s="133" t="str">
        <f>IF(OR(AM467="Row Not Used",AM467="Controls Only"),"None",INDEX(IncentiveRateTable[Incentive Unit],MATCH(AT467,IncentiveRateTable[Incentive Name],0)))</f>
        <v>None</v>
      </c>
      <c r="AW467" s="578">
        <f t="shared" si="220"/>
        <v>0</v>
      </c>
      <c r="AX467" s="264" t="str">
        <f t="shared" si="210"/>
        <v>None</v>
      </c>
      <c r="AY467" s="229">
        <f>IF(OR(AM467="Row Not Used",AM467="Fixtures Only",AM467="Decommissioning"),0,INDEX(IncentiveRateTable[Incentive Rate],MATCH(AX467,IncentiveRateTable[Incentive Name],0)))</f>
        <v>0</v>
      </c>
      <c r="AZ467" s="133" t="str">
        <f>IF(OR(AM467="Row Not Used",AM467="Fixtures Only",AM467="Decommissioning"),"None",INDEX(IncentiveRateTable[Incentive Unit],MATCH(AX467,IncentiveRateTable[Incentive Name],0)))</f>
        <v>None</v>
      </c>
      <c r="BA467" s="465">
        <f t="shared" si="211"/>
        <v>0</v>
      </c>
      <c r="BB467" s="264" t="e" cm="1">
        <f t="array" ref="BB467">INDEX(BallastFactorTable[Commercial BPA Reference Number],MATCH(1,(BallastFactorTable[Fixture Class]=J467)*(BallastFactorTable[Fixture Category]=K467)*(BallastFactorTable[Fixture Sub-category]=L467),0))</f>
        <v>#N/A</v>
      </c>
      <c r="BC467" s="133" t="e" cm="1">
        <f t="array" ref="BC467">INDEX(BallastFactorTable[Industrial BPA Reference Number],MATCH(1,(BallastFactorTable[Fixture Class]=J467)*(BallastFactorTable[Fixture Category]=K467)*(BallastFactorTable[Fixture Sub-category]=L467),0))</f>
        <v>#N/A</v>
      </c>
      <c r="BD467" s="264" t="str">
        <f t="shared" si="212"/>
        <v>Sector is blank</v>
      </c>
      <c r="BE467" s="269" t="str">
        <f>IF(ISBLANK(SectorField),"Sector is blank",IF(AM467="Row Not Used","",IF(OR(R467="No Controls",ISBLANK(R467)),"",INDEX(ControlsBPARefNoTable[Reference Number],MATCH(SectorField,ControlsBPARefNoTable[Sector],0)))))</f>
        <v>Sector is blank</v>
      </c>
      <c r="BF467" s="530" t="str">
        <f t="shared" si="213"/>
        <v/>
      </c>
      <c r="BG467" s="132" t="str">
        <f t="shared" si="214"/>
        <v/>
      </c>
      <c r="BH467" s="531" t="str">
        <f t="shared" si="215"/>
        <v/>
      </c>
      <c r="BI467" s="532"/>
      <c r="BJ467" s="538" t="str">
        <f t="shared" si="221"/>
        <v/>
      </c>
      <c r="BK467" s="539" t="str">
        <f t="shared" si="222"/>
        <v/>
      </c>
      <c r="BL467" s="547" t="str">
        <f t="shared" si="223"/>
        <v/>
      </c>
    </row>
    <row r="468" spans="1:64" x14ac:dyDescent="0.3">
      <c r="A468" s="133">
        <v>461</v>
      </c>
      <c r="B468" s="294"/>
      <c r="C468" s="313"/>
      <c r="D468" s="292"/>
      <c r="E468" s="284"/>
      <c r="F468" s="284"/>
      <c r="G468" s="295"/>
      <c r="H468" s="296"/>
      <c r="I468" s="297"/>
      <c r="J468" s="292"/>
      <c r="K468" s="284"/>
      <c r="L468" s="284"/>
      <c r="M468" s="295"/>
      <c r="N468" s="296"/>
      <c r="O468" s="296"/>
      <c r="P468" s="284"/>
      <c r="Q468" s="298"/>
      <c r="R468" s="292"/>
      <c r="S468" s="299"/>
      <c r="T468" s="300"/>
      <c r="U468" s="317" t="str">
        <f t="shared" si="197"/>
        <v/>
      </c>
      <c r="V468" s="301"/>
      <c r="W468" s="137" t="str">
        <f t="shared" si="198"/>
        <v/>
      </c>
      <c r="X468" s="589" t="str">
        <f t="shared" si="216"/>
        <v/>
      </c>
      <c r="Y468" s="581"/>
      <c r="Z468" s="251" t="str">
        <f t="shared" si="199"/>
        <v/>
      </c>
      <c r="AA468" s="138" t="str">
        <f t="shared" si="224"/>
        <v/>
      </c>
      <c r="AB468" s="243" t="str">
        <f t="shared" si="217"/>
        <v/>
      </c>
      <c r="AC468" s="141" t="str">
        <f t="shared" si="200"/>
        <v/>
      </c>
      <c r="AD468" s="138" t="str">
        <f t="shared" si="218"/>
        <v/>
      </c>
      <c r="AE468" s="243" t="str">
        <f t="shared" si="201"/>
        <v/>
      </c>
      <c r="AF468" s="342" t="str">
        <f>IF(AM468="Row Not Used","",INDEX(SpaceTable[Annual Hours],(MATCH(B468,SpaceTable[Space Name Concatenated Helper],0))))</f>
        <v/>
      </c>
      <c r="AG468" s="205" t="str">
        <f t="shared" si="202"/>
        <v/>
      </c>
      <c r="AH468" s="234" t="str">
        <f t="shared" si="203"/>
        <v/>
      </c>
      <c r="AI468" s="205" t="str">
        <f t="shared" si="204"/>
        <v/>
      </c>
      <c r="AJ468" s="234" t="str">
        <f t="shared" si="205"/>
        <v/>
      </c>
      <c r="AK468" s="144" t="str">
        <f>IF(AM468="Row Not Used","",INDEX(SpaceTable[Row],(MATCH(B468,SpaceTable[Space Name Concatenated Helper],0))))</f>
        <v/>
      </c>
      <c r="AL468" s="238" t="str">
        <f>IF(AM468="Row Not Used","",INDEX(SpaceTable[HVAC Factor],(MATCH(B468,SpaceTable[Space Name Concatenated Helper],0))))</f>
        <v/>
      </c>
      <c r="AM468" s="520" t="str">
        <f t="shared" si="206"/>
        <v>Row Not Used</v>
      </c>
      <c r="AN468" s="512" t="e" cm="1">
        <f t="array" ref="AN468">INDEX(BallastFactorTable[Ballast Factor],MATCH(1,(BallastFactorTable[Fixture Class]=D468)*(BallastFactorTable[Fixture Category]=E468)*(BallastFactorTable[Fixture Sub-category]=F468),0))</f>
        <v>#N/A</v>
      </c>
      <c r="AO468" s="143" t="str">
        <f t="shared" si="219"/>
        <v/>
      </c>
      <c r="AP468" s="501" t="e" cm="1">
        <f t="array" ref="AP468">INDEX(BallastFactorTable[Wattage Range Name],MATCH(1,(BallastFactorTable[Fixture Class]=D468)*(BallastFactorTable[Fixture Category]=E468)*(BallastFactorTable[Fixture Sub-category]=F468),0))</f>
        <v>#N/A</v>
      </c>
      <c r="AQ468" s="515" t="str">
        <f t="shared" ca="1" si="207"/>
        <v>Okay</v>
      </c>
      <c r="AR468" s="512">
        <f t="shared" si="208"/>
        <v>0</v>
      </c>
      <c r="AS468" s="511" t="str">
        <f>IF(OR(Measures!AM468="Row Not Used",Measures!C468="Controls Only",Measures!C468="Decommissioning"),"",_xlfn.CONCAT(P468," ",Q468))</f>
        <v/>
      </c>
      <c r="AT468" s="264" t="str">
        <f t="shared" si="209"/>
        <v>None</v>
      </c>
      <c r="AU468" s="229">
        <f>IF(OR(AM468="Row Not Used",AM468="Controls Only"),0,INDEX(IncentiveRateTable[Incentive Rate],MATCH(AT468,IncentiveRateTable[Incentive Name],0)))</f>
        <v>0</v>
      </c>
      <c r="AV468" s="133" t="str">
        <f>IF(OR(AM468="Row Not Used",AM468="Controls Only"),"None",INDEX(IncentiveRateTable[Incentive Unit],MATCH(AT468,IncentiveRateTable[Incentive Name],0)))</f>
        <v>None</v>
      </c>
      <c r="AW468" s="578">
        <f t="shared" si="220"/>
        <v>0</v>
      </c>
      <c r="AX468" s="264" t="str">
        <f t="shared" si="210"/>
        <v>None</v>
      </c>
      <c r="AY468" s="229">
        <f>IF(OR(AM468="Row Not Used",AM468="Fixtures Only",AM468="Decommissioning"),0,INDEX(IncentiveRateTable[Incentive Rate],MATCH(AX468,IncentiveRateTable[Incentive Name],0)))</f>
        <v>0</v>
      </c>
      <c r="AZ468" s="133" t="str">
        <f>IF(OR(AM468="Row Not Used",AM468="Fixtures Only",AM468="Decommissioning"),"None",INDEX(IncentiveRateTable[Incentive Unit],MATCH(AX468,IncentiveRateTable[Incentive Name],0)))</f>
        <v>None</v>
      </c>
      <c r="BA468" s="465">
        <f t="shared" si="211"/>
        <v>0</v>
      </c>
      <c r="BB468" s="264" t="e" cm="1">
        <f t="array" ref="BB468">INDEX(BallastFactorTable[Commercial BPA Reference Number],MATCH(1,(BallastFactorTable[Fixture Class]=J468)*(BallastFactorTable[Fixture Category]=K468)*(BallastFactorTable[Fixture Sub-category]=L468),0))</f>
        <v>#N/A</v>
      </c>
      <c r="BC468" s="133" t="e" cm="1">
        <f t="array" ref="BC468">INDEX(BallastFactorTable[Industrial BPA Reference Number],MATCH(1,(BallastFactorTable[Fixture Class]=J468)*(BallastFactorTable[Fixture Category]=K468)*(BallastFactorTable[Fixture Sub-category]=L468),0))</f>
        <v>#N/A</v>
      </c>
      <c r="BD468" s="264" t="str">
        <f t="shared" si="212"/>
        <v>Sector is blank</v>
      </c>
      <c r="BE468" s="269" t="str">
        <f>IF(ISBLANK(SectorField),"Sector is blank",IF(AM468="Row Not Used","",IF(OR(R468="No Controls",ISBLANK(R468)),"",INDEX(ControlsBPARefNoTable[Reference Number],MATCH(SectorField,ControlsBPARefNoTable[Sector],0)))))</f>
        <v>Sector is blank</v>
      </c>
      <c r="BF468" s="530" t="str">
        <f t="shared" si="213"/>
        <v/>
      </c>
      <c r="BG468" s="132" t="str">
        <f t="shared" si="214"/>
        <v/>
      </c>
      <c r="BH468" s="531" t="str">
        <f t="shared" si="215"/>
        <v/>
      </c>
      <c r="BI468" s="532"/>
      <c r="BJ468" s="538" t="str">
        <f t="shared" si="221"/>
        <v/>
      </c>
      <c r="BK468" s="539" t="str">
        <f t="shared" si="222"/>
        <v/>
      </c>
      <c r="BL468" s="547" t="str">
        <f t="shared" si="223"/>
        <v/>
      </c>
    </row>
    <row r="469" spans="1:64" x14ac:dyDescent="0.3">
      <c r="A469" s="133">
        <v>462</v>
      </c>
      <c r="B469" s="294"/>
      <c r="C469" s="313"/>
      <c r="D469" s="292"/>
      <c r="E469" s="284"/>
      <c r="F469" s="284"/>
      <c r="G469" s="295"/>
      <c r="H469" s="296"/>
      <c r="I469" s="297"/>
      <c r="J469" s="292"/>
      <c r="K469" s="284"/>
      <c r="L469" s="284"/>
      <c r="M469" s="295"/>
      <c r="N469" s="296"/>
      <c r="O469" s="296"/>
      <c r="P469" s="284"/>
      <c r="Q469" s="298"/>
      <c r="R469" s="292"/>
      <c r="S469" s="299"/>
      <c r="T469" s="300"/>
      <c r="U469" s="317" t="str">
        <f t="shared" si="197"/>
        <v/>
      </c>
      <c r="V469" s="301"/>
      <c r="W469" s="136" t="str">
        <f t="shared" si="198"/>
        <v/>
      </c>
      <c r="X469" s="588" t="str">
        <f t="shared" si="216"/>
        <v/>
      </c>
      <c r="Y469" s="580"/>
      <c r="Z469" s="251" t="str">
        <f t="shared" si="199"/>
        <v/>
      </c>
      <c r="AA469" s="138" t="str">
        <f t="shared" si="224"/>
        <v/>
      </c>
      <c r="AB469" s="243" t="str">
        <f t="shared" si="217"/>
        <v/>
      </c>
      <c r="AC469" s="141" t="str">
        <f t="shared" si="200"/>
        <v/>
      </c>
      <c r="AD469" s="138" t="str">
        <f t="shared" si="218"/>
        <v/>
      </c>
      <c r="AE469" s="243" t="str">
        <f t="shared" si="201"/>
        <v/>
      </c>
      <c r="AF469" s="342" t="str">
        <f>IF(AM469="Row Not Used","",INDEX(SpaceTable[Annual Hours],(MATCH(B469,SpaceTable[Space Name Concatenated Helper],0))))</f>
        <v/>
      </c>
      <c r="AG469" s="205" t="str">
        <f t="shared" si="202"/>
        <v/>
      </c>
      <c r="AH469" s="234" t="str">
        <f t="shared" si="203"/>
        <v/>
      </c>
      <c r="AI469" s="205" t="str">
        <f t="shared" si="204"/>
        <v/>
      </c>
      <c r="AJ469" s="234" t="str">
        <f t="shared" si="205"/>
        <v/>
      </c>
      <c r="AK469" s="144" t="str">
        <f>IF(AM469="Row Not Used","",INDEX(SpaceTable[Row],(MATCH(B469,SpaceTable[Space Name Concatenated Helper],0))))</f>
        <v/>
      </c>
      <c r="AL469" s="238" t="str">
        <f>IF(AM469="Row Not Used","",INDEX(SpaceTable[HVAC Factor],(MATCH(B469,SpaceTable[Space Name Concatenated Helper],0))))</f>
        <v/>
      </c>
      <c r="AM469" s="520" t="str">
        <f t="shared" si="206"/>
        <v>Row Not Used</v>
      </c>
      <c r="AN469" s="512" t="e" cm="1">
        <f t="array" ref="AN469">INDEX(BallastFactorTable[Ballast Factor],MATCH(1,(BallastFactorTable[Fixture Class]=D469)*(BallastFactorTable[Fixture Category]=E469)*(BallastFactorTable[Fixture Sub-category]=F469),0))</f>
        <v>#N/A</v>
      </c>
      <c r="AO469" s="143" t="str">
        <f t="shared" si="219"/>
        <v/>
      </c>
      <c r="AP469" s="501" t="e" cm="1">
        <f t="array" ref="AP469">INDEX(BallastFactorTable[Wattage Range Name],MATCH(1,(BallastFactorTable[Fixture Class]=D469)*(BallastFactorTable[Fixture Category]=E469)*(BallastFactorTable[Fixture Sub-category]=F469),0))</f>
        <v>#N/A</v>
      </c>
      <c r="AQ469" s="515" t="str">
        <f t="shared" ca="1" si="207"/>
        <v>Okay</v>
      </c>
      <c r="AR469" s="512">
        <f t="shared" si="208"/>
        <v>0</v>
      </c>
      <c r="AS469" s="511" t="str">
        <f>IF(OR(Measures!AM469="Row Not Used",Measures!C469="Controls Only",Measures!C469="Decommissioning"),"",_xlfn.CONCAT(P469," ",Q469))</f>
        <v/>
      </c>
      <c r="AT469" s="264" t="str">
        <f t="shared" si="209"/>
        <v>None</v>
      </c>
      <c r="AU469" s="229">
        <f>IF(OR(AM469="Row Not Used",AM469="Controls Only"),0,INDEX(IncentiveRateTable[Incentive Rate],MATCH(AT469,IncentiveRateTable[Incentive Name],0)))</f>
        <v>0</v>
      </c>
      <c r="AV469" s="133" t="str">
        <f>IF(OR(AM469="Row Not Used",AM469="Controls Only"),"None",INDEX(IncentiveRateTable[Incentive Unit],MATCH(AT469,IncentiveRateTable[Incentive Name],0)))</f>
        <v>None</v>
      </c>
      <c r="AW469" s="578">
        <f t="shared" si="220"/>
        <v>0</v>
      </c>
      <c r="AX469" s="264" t="str">
        <f t="shared" si="210"/>
        <v>None</v>
      </c>
      <c r="AY469" s="229">
        <f>IF(OR(AM469="Row Not Used",AM469="Fixtures Only",AM469="Decommissioning"),0,INDEX(IncentiveRateTable[Incentive Rate],MATCH(AX469,IncentiveRateTable[Incentive Name],0)))</f>
        <v>0</v>
      </c>
      <c r="AZ469" s="133" t="str">
        <f>IF(OR(AM469="Row Not Used",AM469="Fixtures Only",AM469="Decommissioning"),"None",INDEX(IncentiveRateTable[Incentive Unit],MATCH(AX469,IncentiveRateTable[Incentive Name],0)))</f>
        <v>None</v>
      </c>
      <c r="BA469" s="465">
        <f t="shared" si="211"/>
        <v>0</v>
      </c>
      <c r="BB469" s="264" t="e" cm="1">
        <f t="array" ref="BB469">INDEX(BallastFactorTable[Commercial BPA Reference Number],MATCH(1,(BallastFactorTable[Fixture Class]=J469)*(BallastFactorTable[Fixture Category]=K469)*(BallastFactorTable[Fixture Sub-category]=L469),0))</f>
        <v>#N/A</v>
      </c>
      <c r="BC469" s="133" t="e" cm="1">
        <f t="array" ref="BC469">INDEX(BallastFactorTable[Industrial BPA Reference Number],MATCH(1,(BallastFactorTable[Fixture Class]=J469)*(BallastFactorTable[Fixture Category]=K469)*(BallastFactorTable[Fixture Sub-category]=L469),0))</f>
        <v>#N/A</v>
      </c>
      <c r="BD469" s="264" t="str">
        <f t="shared" si="212"/>
        <v>Sector is blank</v>
      </c>
      <c r="BE469" s="269" t="str">
        <f>IF(ISBLANK(SectorField),"Sector is blank",IF(AM469="Row Not Used","",IF(OR(R469="No Controls",ISBLANK(R469)),"",INDEX(ControlsBPARefNoTable[Reference Number],MATCH(SectorField,ControlsBPARefNoTable[Sector],0)))))</f>
        <v>Sector is blank</v>
      </c>
      <c r="BF469" s="530" t="str">
        <f t="shared" si="213"/>
        <v/>
      </c>
      <c r="BG469" s="132" t="str">
        <f t="shared" si="214"/>
        <v/>
      </c>
      <c r="BH469" s="531" t="str">
        <f t="shared" si="215"/>
        <v/>
      </c>
      <c r="BI469" s="532"/>
      <c r="BJ469" s="538" t="str">
        <f t="shared" si="221"/>
        <v/>
      </c>
      <c r="BK469" s="539" t="str">
        <f t="shared" si="222"/>
        <v/>
      </c>
      <c r="BL469" s="547" t="str">
        <f t="shared" si="223"/>
        <v/>
      </c>
    </row>
    <row r="470" spans="1:64" x14ac:dyDescent="0.3">
      <c r="A470" s="133">
        <v>463</v>
      </c>
      <c r="B470" s="294"/>
      <c r="C470" s="313"/>
      <c r="D470" s="292"/>
      <c r="E470" s="284"/>
      <c r="F470" s="284"/>
      <c r="G470" s="295"/>
      <c r="H470" s="296"/>
      <c r="I470" s="297"/>
      <c r="J470" s="292"/>
      <c r="K470" s="284"/>
      <c r="L470" s="284"/>
      <c r="M470" s="295"/>
      <c r="N470" s="296"/>
      <c r="O470" s="296"/>
      <c r="P470" s="284"/>
      <c r="Q470" s="298"/>
      <c r="R470" s="292"/>
      <c r="S470" s="299"/>
      <c r="T470" s="300"/>
      <c r="U470" s="317" t="str">
        <f t="shared" si="197"/>
        <v/>
      </c>
      <c r="V470" s="301"/>
      <c r="W470" s="137" t="str">
        <f t="shared" si="198"/>
        <v/>
      </c>
      <c r="X470" s="589" t="str">
        <f t="shared" si="216"/>
        <v/>
      </c>
      <c r="Y470" s="581"/>
      <c r="Z470" s="251" t="str">
        <f t="shared" si="199"/>
        <v/>
      </c>
      <c r="AA470" s="138" t="str">
        <f t="shared" si="224"/>
        <v/>
      </c>
      <c r="AB470" s="243" t="str">
        <f t="shared" si="217"/>
        <v/>
      </c>
      <c r="AC470" s="141" t="str">
        <f t="shared" si="200"/>
        <v/>
      </c>
      <c r="AD470" s="138" t="str">
        <f t="shared" si="218"/>
        <v/>
      </c>
      <c r="AE470" s="243" t="str">
        <f t="shared" si="201"/>
        <v/>
      </c>
      <c r="AF470" s="342" t="str">
        <f>IF(AM470="Row Not Used","",INDEX(SpaceTable[Annual Hours],(MATCH(B470,SpaceTable[Space Name Concatenated Helper],0))))</f>
        <v/>
      </c>
      <c r="AG470" s="205" t="str">
        <f t="shared" si="202"/>
        <v/>
      </c>
      <c r="AH470" s="234" t="str">
        <f t="shared" si="203"/>
        <v/>
      </c>
      <c r="AI470" s="205" t="str">
        <f t="shared" si="204"/>
        <v/>
      </c>
      <c r="AJ470" s="234" t="str">
        <f t="shared" si="205"/>
        <v/>
      </c>
      <c r="AK470" s="144" t="str">
        <f>IF(AM470="Row Not Used","",INDEX(SpaceTable[Row],(MATCH(B470,SpaceTable[Space Name Concatenated Helper],0))))</f>
        <v/>
      </c>
      <c r="AL470" s="238" t="str">
        <f>IF(AM470="Row Not Used","",INDEX(SpaceTable[HVAC Factor],(MATCH(B470,SpaceTable[Space Name Concatenated Helper],0))))</f>
        <v/>
      </c>
      <c r="AM470" s="520" t="str">
        <f t="shared" si="206"/>
        <v>Row Not Used</v>
      </c>
      <c r="AN470" s="512" t="e" cm="1">
        <f t="array" ref="AN470">INDEX(BallastFactorTable[Ballast Factor],MATCH(1,(BallastFactorTable[Fixture Class]=D470)*(BallastFactorTable[Fixture Category]=E470)*(BallastFactorTable[Fixture Sub-category]=F470),0))</f>
        <v>#N/A</v>
      </c>
      <c r="AO470" s="143" t="str">
        <f t="shared" si="219"/>
        <v/>
      </c>
      <c r="AP470" s="501" t="e" cm="1">
        <f t="array" ref="AP470">INDEX(BallastFactorTable[Wattage Range Name],MATCH(1,(BallastFactorTable[Fixture Class]=D470)*(BallastFactorTable[Fixture Category]=E470)*(BallastFactorTable[Fixture Sub-category]=F470),0))</f>
        <v>#N/A</v>
      </c>
      <c r="AQ470" s="515" t="str">
        <f t="shared" ca="1" si="207"/>
        <v>Okay</v>
      </c>
      <c r="AR470" s="512">
        <f t="shared" si="208"/>
        <v>0</v>
      </c>
      <c r="AS470" s="511" t="str">
        <f>IF(OR(Measures!AM470="Row Not Used",Measures!C470="Controls Only",Measures!C470="Decommissioning"),"",_xlfn.CONCAT(P470," ",Q470))</f>
        <v/>
      </c>
      <c r="AT470" s="264" t="str">
        <f t="shared" si="209"/>
        <v>None</v>
      </c>
      <c r="AU470" s="229">
        <f>IF(OR(AM470="Row Not Used",AM470="Controls Only"),0,INDEX(IncentiveRateTable[Incentive Rate],MATCH(AT470,IncentiveRateTable[Incentive Name],0)))</f>
        <v>0</v>
      </c>
      <c r="AV470" s="133" t="str">
        <f>IF(OR(AM470="Row Not Used",AM470="Controls Only"),"None",INDEX(IncentiveRateTable[Incentive Unit],MATCH(AT470,IncentiveRateTable[Incentive Name],0)))</f>
        <v>None</v>
      </c>
      <c r="AW470" s="578">
        <f t="shared" si="220"/>
        <v>0</v>
      </c>
      <c r="AX470" s="264" t="str">
        <f t="shared" si="210"/>
        <v>None</v>
      </c>
      <c r="AY470" s="229">
        <f>IF(OR(AM470="Row Not Used",AM470="Fixtures Only",AM470="Decommissioning"),0,INDEX(IncentiveRateTable[Incentive Rate],MATCH(AX470,IncentiveRateTable[Incentive Name],0)))</f>
        <v>0</v>
      </c>
      <c r="AZ470" s="133" t="str">
        <f>IF(OR(AM470="Row Not Used",AM470="Fixtures Only",AM470="Decommissioning"),"None",INDEX(IncentiveRateTable[Incentive Unit],MATCH(AX470,IncentiveRateTable[Incentive Name],0)))</f>
        <v>None</v>
      </c>
      <c r="BA470" s="465">
        <f t="shared" si="211"/>
        <v>0</v>
      </c>
      <c r="BB470" s="264" t="e" cm="1">
        <f t="array" ref="BB470">INDEX(BallastFactorTable[Commercial BPA Reference Number],MATCH(1,(BallastFactorTable[Fixture Class]=J470)*(BallastFactorTable[Fixture Category]=K470)*(BallastFactorTable[Fixture Sub-category]=L470),0))</f>
        <v>#N/A</v>
      </c>
      <c r="BC470" s="133" t="e" cm="1">
        <f t="array" ref="BC470">INDEX(BallastFactorTable[Industrial BPA Reference Number],MATCH(1,(BallastFactorTable[Fixture Class]=J470)*(BallastFactorTable[Fixture Category]=K470)*(BallastFactorTable[Fixture Sub-category]=L470),0))</f>
        <v>#N/A</v>
      </c>
      <c r="BD470" s="264" t="str">
        <f t="shared" si="212"/>
        <v>Sector is blank</v>
      </c>
      <c r="BE470" s="269" t="str">
        <f>IF(ISBLANK(SectorField),"Sector is blank",IF(AM470="Row Not Used","",IF(OR(R470="No Controls",ISBLANK(R470)),"",INDEX(ControlsBPARefNoTable[Reference Number],MATCH(SectorField,ControlsBPARefNoTable[Sector],0)))))</f>
        <v>Sector is blank</v>
      </c>
      <c r="BF470" s="530" t="str">
        <f t="shared" si="213"/>
        <v/>
      </c>
      <c r="BG470" s="132" t="str">
        <f t="shared" si="214"/>
        <v/>
      </c>
      <c r="BH470" s="531" t="str">
        <f t="shared" si="215"/>
        <v/>
      </c>
      <c r="BI470" s="532"/>
      <c r="BJ470" s="538" t="str">
        <f t="shared" si="221"/>
        <v/>
      </c>
      <c r="BK470" s="539" t="str">
        <f t="shared" si="222"/>
        <v/>
      </c>
      <c r="BL470" s="547" t="str">
        <f t="shared" si="223"/>
        <v/>
      </c>
    </row>
    <row r="471" spans="1:64" x14ac:dyDescent="0.3">
      <c r="A471" s="133">
        <v>464</v>
      </c>
      <c r="B471" s="294"/>
      <c r="C471" s="313"/>
      <c r="D471" s="292"/>
      <c r="E471" s="284"/>
      <c r="F471" s="284"/>
      <c r="G471" s="295"/>
      <c r="H471" s="296"/>
      <c r="I471" s="297"/>
      <c r="J471" s="292"/>
      <c r="K471" s="284"/>
      <c r="L471" s="284"/>
      <c r="M471" s="295"/>
      <c r="N471" s="296"/>
      <c r="O471" s="296"/>
      <c r="P471" s="284"/>
      <c r="Q471" s="298"/>
      <c r="R471" s="292"/>
      <c r="S471" s="299"/>
      <c r="T471" s="300"/>
      <c r="U471" s="317" t="str">
        <f t="shared" si="197"/>
        <v/>
      </c>
      <c r="V471" s="301"/>
      <c r="W471" s="136" t="str">
        <f t="shared" si="198"/>
        <v/>
      </c>
      <c r="X471" s="588" t="str">
        <f t="shared" si="216"/>
        <v/>
      </c>
      <c r="Y471" s="580"/>
      <c r="Z471" s="251" t="str">
        <f t="shared" si="199"/>
        <v/>
      </c>
      <c r="AA471" s="138" t="str">
        <f t="shared" si="224"/>
        <v/>
      </c>
      <c r="AB471" s="243" t="str">
        <f t="shared" si="217"/>
        <v/>
      </c>
      <c r="AC471" s="141" t="str">
        <f t="shared" si="200"/>
        <v/>
      </c>
      <c r="AD471" s="138" t="str">
        <f t="shared" si="218"/>
        <v/>
      </c>
      <c r="AE471" s="243" t="str">
        <f t="shared" si="201"/>
        <v/>
      </c>
      <c r="AF471" s="342" t="str">
        <f>IF(AM471="Row Not Used","",INDEX(SpaceTable[Annual Hours],(MATCH(B471,SpaceTable[Space Name Concatenated Helper],0))))</f>
        <v/>
      </c>
      <c r="AG471" s="205" t="str">
        <f t="shared" si="202"/>
        <v/>
      </c>
      <c r="AH471" s="234" t="str">
        <f t="shared" si="203"/>
        <v/>
      </c>
      <c r="AI471" s="205" t="str">
        <f t="shared" si="204"/>
        <v/>
      </c>
      <c r="AJ471" s="234" t="str">
        <f t="shared" si="205"/>
        <v/>
      </c>
      <c r="AK471" s="144" t="str">
        <f>IF(AM471="Row Not Used","",INDEX(SpaceTable[Row],(MATCH(B471,SpaceTable[Space Name Concatenated Helper],0))))</f>
        <v/>
      </c>
      <c r="AL471" s="238" t="str">
        <f>IF(AM471="Row Not Used","",INDEX(SpaceTable[HVAC Factor],(MATCH(B471,SpaceTable[Space Name Concatenated Helper],0))))</f>
        <v/>
      </c>
      <c r="AM471" s="520" t="str">
        <f t="shared" si="206"/>
        <v>Row Not Used</v>
      </c>
      <c r="AN471" s="512" t="e" cm="1">
        <f t="array" ref="AN471">INDEX(BallastFactorTable[Ballast Factor],MATCH(1,(BallastFactorTable[Fixture Class]=D471)*(BallastFactorTable[Fixture Category]=E471)*(BallastFactorTable[Fixture Sub-category]=F471),0))</f>
        <v>#N/A</v>
      </c>
      <c r="AO471" s="143" t="str">
        <f t="shared" si="219"/>
        <v/>
      </c>
      <c r="AP471" s="501" t="e" cm="1">
        <f t="array" ref="AP471">INDEX(BallastFactorTable[Wattage Range Name],MATCH(1,(BallastFactorTable[Fixture Class]=D471)*(BallastFactorTable[Fixture Category]=E471)*(BallastFactorTable[Fixture Sub-category]=F471),0))</f>
        <v>#N/A</v>
      </c>
      <c r="AQ471" s="515" t="str">
        <f t="shared" ca="1" si="207"/>
        <v>Okay</v>
      </c>
      <c r="AR471" s="512">
        <f t="shared" si="208"/>
        <v>0</v>
      </c>
      <c r="AS471" s="511" t="str">
        <f>IF(OR(Measures!AM471="Row Not Used",Measures!C471="Controls Only",Measures!C471="Decommissioning"),"",_xlfn.CONCAT(P471," ",Q471))</f>
        <v/>
      </c>
      <c r="AT471" s="264" t="str">
        <f t="shared" si="209"/>
        <v>None</v>
      </c>
      <c r="AU471" s="229">
        <f>IF(OR(AM471="Row Not Used",AM471="Controls Only"),0,INDEX(IncentiveRateTable[Incentive Rate],MATCH(AT471,IncentiveRateTable[Incentive Name],0)))</f>
        <v>0</v>
      </c>
      <c r="AV471" s="133" t="str">
        <f>IF(OR(AM471="Row Not Used",AM471="Controls Only"),"None",INDEX(IncentiveRateTable[Incentive Unit],MATCH(AT471,IncentiveRateTable[Incentive Name],0)))</f>
        <v>None</v>
      </c>
      <c r="AW471" s="578">
        <f t="shared" si="220"/>
        <v>0</v>
      </c>
      <c r="AX471" s="264" t="str">
        <f t="shared" si="210"/>
        <v>None</v>
      </c>
      <c r="AY471" s="229">
        <f>IF(OR(AM471="Row Not Used",AM471="Fixtures Only",AM471="Decommissioning"),0,INDEX(IncentiveRateTable[Incentive Rate],MATCH(AX471,IncentiveRateTable[Incentive Name],0)))</f>
        <v>0</v>
      </c>
      <c r="AZ471" s="133" t="str">
        <f>IF(OR(AM471="Row Not Used",AM471="Fixtures Only",AM471="Decommissioning"),"None",INDEX(IncentiveRateTable[Incentive Unit],MATCH(AX471,IncentiveRateTable[Incentive Name],0)))</f>
        <v>None</v>
      </c>
      <c r="BA471" s="465">
        <f t="shared" si="211"/>
        <v>0</v>
      </c>
      <c r="BB471" s="264" t="e" cm="1">
        <f t="array" ref="BB471">INDEX(BallastFactorTable[Commercial BPA Reference Number],MATCH(1,(BallastFactorTable[Fixture Class]=J471)*(BallastFactorTable[Fixture Category]=K471)*(BallastFactorTable[Fixture Sub-category]=L471),0))</f>
        <v>#N/A</v>
      </c>
      <c r="BC471" s="133" t="e" cm="1">
        <f t="array" ref="BC471">INDEX(BallastFactorTable[Industrial BPA Reference Number],MATCH(1,(BallastFactorTable[Fixture Class]=J471)*(BallastFactorTable[Fixture Category]=K471)*(BallastFactorTable[Fixture Sub-category]=L471),0))</f>
        <v>#N/A</v>
      </c>
      <c r="BD471" s="264" t="str">
        <f t="shared" si="212"/>
        <v>Sector is blank</v>
      </c>
      <c r="BE471" s="269" t="str">
        <f>IF(ISBLANK(SectorField),"Sector is blank",IF(AM471="Row Not Used","",IF(OR(R471="No Controls",ISBLANK(R471)),"",INDEX(ControlsBPARefNoTable[Reference Number],MATCH(SectorField,ControlsBPARefNoTable[Sector],0)))))</f>
        <v>Sector is blank</v>
      </c>
      <c r="BF471" s="530" t="str">
        <f t="shared" si="213"/>
        <v/>
      </c>
      <c r="BG471" s="132" t="str">
        <f t="shared" si="214"/>
        <v/>
      </c>
      <c r="BH471" s="531" t="str">
        <f t="shared" si="215"/>
        <v/>
      </c>
      <c r="BI471" s="532"/>
      <c r="BJ471" s="538" t="str">
        <f t="shared" si="221"/>
        <v/>
      </c>
      <c r="BK471" s="539" t="str">
        <f t="shared" si="222"/>
        <v/>
      </c>
      <c r="BL471" s="547" t="str">
        <f t="shared" si="223"/>
        <v/>
      </c>
    </row>
    <row r="472" spans="1:64" x14ac:dyDescent="0.3">
      <c r="A472" s="133">
        <v>465</v>
      </c>
      <c r="B472" s="294"/>
      <c r="C472" s="313"/>
      <c r="D472" s="292"/>
      <c r="E472" s="284"/>
      <c r="F472" s="284"/>
      <c r="G472" s="295"/>
      <c r="H472" s="296"/>
      <c r="I472" s="297"/>
      <c r="J472" s="292"/>
      <c r="K472" s="284"/>
      <c r="L472" s="284"/>
      <c r="M472" s="295"/>
      <c r="N472" s="296"/>
      <c r="O472" s="296"/>
      <c r="P472" s="284"/>
      <c r="Q472" s="298"/>
      <c r="R472" s="292"/>
      <c r="S472" s="299"/>
      <c r="T472" s="300"/>
      <c r="U472" s="317" t="str">
        <f t="shared" si="197"/>
        <v/>
      </c>
      <c r="V472" s="301"/>
      <c r="W472" s="137" t="str">
        <f t="shared" si="198"/>
        <v/>
      </c>
      <c r="X472" s="589" t="str">
        <f t="shared" si="216"/>
        <v/>
      </c>
      <c r="Y472" s="581"/>
      <c r="Z472" s="251" t="str">
        <f t="shared" si="199"/>
        <v/>
      </c>
      <c r="AA472" s="138" t="str">
        <f t="shared" si="224"/>
        <v/>
      </c>
      <c r="AB472" s="243" t="str">
        <f t="shared" si="217"/>
        <v/>
      </c>
      <c r="AC472" s="141" t="str">
        <f t="shared" si="200"/>
        <v/>
      </c>
      <c r="AD472" s="138" t="str">
        <f t="shared" si="218"/>
        <v/>
      </c>
      <c r="AE472" s="243" t="str">
        <f t="shared" si="201"/>
        <v/>
      </c>
      <c r="AF472" s="342" t="str">
        <f>IF(AM472="Row Not Used","",INDEX(SpaceTable[Annual Hours],(MATCH(B472,SpaceTable[Space Name Concatenated Helper],0))))</f>
        <v/>
      </c>
      <c r="AG472" s="205" t="str">
        <f t="shared" si="202"/>
        <v/>
      </c>
      <c r="AH472" s="234" t="str">
        <f t="shared" si="203"/>
        <v/>
      </c>
      <c r="AI472" s="205" t="str">
        <f t="shared" si="204"/>
        <v/>
      </c>
      <c r="AJ472" s="234" t="str">
        <f t="shared" si="205"/>
        <v/>
      </c>
      <c r="AK472" s="144" t="str">
        <f>IF(AM472="Row Not Used","",INDEX(SpaceTable[Row],(MATCH(B472,SpaceTable[Space Name Concatenated Helper],0))))</f>
        <v/>
      </c>
      <c r="AL472" s="238" t="str">
        <f>IF(AM472="Row Not Used","",INDEX(SpaceTable[HVAC Factor],(MATCH(B472,SpaceTable[Space Name Concatenated Helper],0))))</f>
        <v/>
      </c>
      <c r="AM472" s="520" t="str">
        <f t="shared" si="206"/>
        <v>Row Not Used</v>
      </c>
      <c r="AN472" s="512" t="e" cm="1">
        <f t="array" ref="AN472">INDEX(BallastFactorTable[Ballast Factor],MATCH(1,(BallastFactorTable[Fixture Class]=D472)*(BallastFactorTable[Fixture Category]=E472)*(BallastFactorTable[Fixture Sub-category]=F472),0))</f>
        <v>#N/A</v>
      </c>
      <c r="AO472" s="143" t="str">
        <f t="shared" si="219"/>
        <v/>
      </c>
      <c r="AP472" s="501" t="e" cm="1">
        <f t="array" ref="AP472">INDEX(BallastFactorTable[Wattage Range Name],MATCH(1,(BallastFactorTable[Fixture Class]=D472)*(BallastFactorTable[Fixture Category]=E472)*(BallastFactorTable[Fixture Sub-category]=F472),0))</f>
        <v>#N/A</v>
      </c>
      <c r="AQ472" s="515" t="str">
        <f t="shared" ca="1" si="207"/>
        <v>Okay</v>
      </c>
      <c r="AR472" s="512">
        <f t="shared" si="208"/>
        <v>0</v>
      </c>
      <c r="AS472" s="511" t="str">
        <f>IF(OR(Measures!AM472="Row Not Used",Measures!C472="Controls Only",Measures!C472="Decommissioning"),"",_xlfn.CONCAT(P472," ",Q472))</f>
        <v/>
      </c>
      <c r="AT472" s="264" t="str">
        <f t="shared" si="209"/>
        <v>None</v>
      </c>
      <c r="AU472" s="229">
        <f>IF(OR(AM472="Row Not Used",AM472="Controls Only"),0,INDEX(IncentiveRateTable[Incentive Rate],MATCH(AT472,IncentiveRateTable[Incentive Name],0)))</f>
        <v>0</v>
      </c>
      <c r="AV472" s="133" t="str">
        <f>IF(OR(AM472="Row Not Used",AM472="Controls Only"),"None",INDEX(IncentiveRateTable[Incentive Unit],MATCH(AT472,IncentiveRateTable[Incentive Name],0)))</f>
        <v>None</v>
      </c>
      <c r="AW472" s="578">
        <f t="shared" si="220"/>
        <v>0</v>
      </c>
      <c r="AX472" s="264" t="str">
        <f t="shared" si="210"/>
        <v>None</v>
      </c>
      <c r="AY472" s="229">
        <f>IF(OR(AM472="Row Not Used",AM472="Fixtures Only",AM472="Decommissioning"),0,INDEX(IncentiveRateTable[Incentive Rate],MATCH(AX472,IncentiveRateTable[Incentive Name],0)))</f>
        <v>0</v>
      </c>
      <c r="AZ472" s="133" t="str">
        <f>IF(OR(AM472="Row Not Used",AM472="Fixtures Only",AM472="Decommissioning"),"None",INDEX(IncentiveRateTable[Incentive Unit],MATCH(AX472,IncentiveRateTable[Incentive Name],0)))</f>
        <v>None</v>
      </c>
      <c r="BA472" s="465">
        <f t="shared" si="211"/>
        <v>0</v>
      </c>
      <c r="BB472" s="264" t="e" cm="1">
        <f t="array" ref="BB472">INDEX(BallastFactorTable[Commercial BPA Reference Number],MATCH(1,(BallastFactorTable[Fixture Class]=J472)*(BallastFactorTable[Fixture Category]=K472)*(BallastFactorTable[Fixture Sub-category]=L472),0))</f>
        <v>#N/A</v>
      </c>
      <c r="BC472" s="133" t="e" cm="1">
        <f t="array" ref="BC472">INDEX(BallastFactorTable[Industrial BPA Reference Number],MATCH(1,(BallastFactorTable[Fixture Class]=J472)*(BallastFactorTable[Fixture Category]=K472)*(BallastFactorTable[Fixture Sub-category]=L472),0))</f>
        <v>#N/A</v>
      </c>
      <c r="BD472" s="264" t="str">
        <f t="shared" si="212"/>
        <v>Sector is blank</v>
      </c>
      <c r="BE472" s="269" t="str">
        <f>IF(ISBLANK(SectorField),"Sector is blank",IF(AM472="Row Not Used","",IF(OR(R472="No Controls",ISBLANK(R472)),"",INDEX(ControlsBPARefNoTable[Reference Number],MATCH(SectorField,ControlsBPARefNoTable[Sector],0)))))</f>
        <v>Sector is blank</v>
      </c>
      <c r="BF472" s="530" t="str">
        <f t="shared" si="213"/>
        <v/>
      </c>
      <c r="BG472" s="132" t="str">
        <f t="shared" si="214"/>
        <v/>
      </c>
      <c r="BH472" s="531" t="str">
        <f t="shared" si="215"/>
        <v/>
      </c>
      <c r="BI472" s="532"/>
      <c r="BJ472" s="538" t="str">
        <f t="shared" si="221"/>
        <v/>
      </c>
      <c r="BK472" s="539" t="str">
        <f t="shared" si="222"/>
        <v/>
      </c>
      <c r="BL472" s="547" t="str">
        <f t="shared" si="223"/>
        <v/>
      </c>
    </row>
    <row r="473" spans="1:64" x14ac:dyDescent="0.3">
      <c r="A473" s="133">
        <v>466</v>
      </c>
      <c r="B473" s="294"/>
      <c r="C473" s="313"/>
      <c r="D473" s="292"/>
      <c r="E473" s="284"/>
      <c r="F473" s="284"/>
      <c r="G473" s="295"/>
      <c r="H473" s="296"/>
      <c r="I473" s="297"/>
      <c r="J473" s="292"/>
      <c r="K473" s="284"/>
      <c r="L473" s="284"/>
      <c r="M473" s="295"/>
      <c r="N473" s="296"/>
      <c r="O473" s="296"/>
      <c r="P473" s="284"/>
      <c r="Q473" s="298"/>
      <c r="R473" s="292"/>
      <c r="S473" s="299"/>
      <c r="T473" s="300"/>
      <c r="U473" s="317" t="str">
        <f t="shared" si="197"/>
        <v/>
      </c>
      <c r="V473" s="301"/>
      <c r="W473" s="136" t="str">
        <f t="shared" si="198"/>
        <v/>
      </c>
      <c r="X473" s="588" t="str">
        <f t="shared" si="216"/>
        <v/>
      </c>
      <c r="Y473" s="580"/>
      <c r="Z473" s="251" t="str">
        <f t="shared" si="199"/>
        <v/>
      </c>
      <c r="AA473" s="138" t="str">
        <f t="shared" si="224"/>
        <v/>
      </c>
      <c r="AB473" s="243" t="str">
        <f t="shared" si="217"/>
        <v/>
      </c>
      <c r="AC473" s="141" t="str">
        <f t="shared" si="200"/>
        <v/>
      </c>
      <c r="AD473" s="138" t="str">
        <f t="shared" si="218"/>
        <v/>
      </c>
      <c r="AE473" s="243" t="str">
        <f t="shared" si="201"/>
        <v/>
      </c>
      <c r="AF473" s="342" t="str">
        <f>IF(AM473="Row Not Used","",INDEX(SpaceTable[Annual Hours],(MATCH(B473,SpaceTable[Space Name Concatenated Helper],0))))</f>
        <v/>
      </c>
      <c r="AG473" s="205" t="str">
        <f t="shared" si="202"/>
        <v/>
      </c>
      <c r="AH473" s="234" t="str">
        <f t="shared" si="203"/>
        <v/>
      </c>
      <c r="AI473" s="205" t="str">
        <f t="shared" si="204"/>
        <v/>
      </c>
      <c r="AJ473" s="234" t="str">
        <f t="shared" si="205"/>
        <v/>
      </c>
      <c r="AK473" s="144" t="str">
        <f>IF(AM473="Row Not Used","",INDEX(SpaceTable[Row],(MATCH(B473,SpaceTable[Space Name Concatenated Helper],0))))</f>
        <v/>
      </c>
      <c r="AL473" s="238" t="str">
        <f>IF(AM473="Row Not Used","",INDEX(SpaceTable[HVAC Factor],(MATCH(B473,SpaceTable[Space Name Concatenated Helper],0))))</f>
        <v/>
      </c>
      <c r="AM473" s="520" t="str">
        <f t="shared" si="206"/>
        <v>Row Not Used</v>
      </c>
      <c r="AN473" s="512" t="e" cm="1">
        <f t="array" ref="AN473">INDEX(BallastFactorTable[Ballast Factor],MATCH(1,(BallastFactorTable[Fixture Class]=D473)*(BallastFactorTable[Fixture Category]=E473)*(BallastFactorTable[Fixture Sub-category]=F473),0))</f>
        <v>#N/A</v>
      </c>
      <c r="AO473" s="143" t="str">
        <f t="shared" si="219"/>
        <v/>
      </c>
      <c r="AP473" s="501" t="e" cm="1">
        <f t="array" ref="AP473">INDEX(BallastFactorTable[Wattage Range Name],MATCH(1,(BallastFactorTable[Fixture Class]=D473)*(BallastFactorTable[Fixture Category]=E473)*(BallastFactorTable[Fixture Sub-category]=F473),0))</f>
        <v>#N/A</v>
      </c>
      <c r="AQ473" s="515" t="str">
        <f t="shared" ca="1" si="207"/>
        <v>Okay</v>
      </c>
      <c r="AR473" s="512">
        <f t="shared" si="208"/>
        <v>0</v>
      </c>
      <c r="AS473" s="511" t="str">
        <f>IF(OR(Measures!AM473="Row Not Used",Measures!C473="Controls Only",Measures!C473="Decommissioning"),"",_xlfn.CONCAT(P473," ",Q473))</f>
        <v/>
      </c>
      <c r="AT473" s="264" t="str">
        <f t="shared" si="209"/>
        <v>None</v>
      </c>
      <c r="AU473" s="229">
        <f>IF(OR(AM473="Row Not Used",AM473="Controls Only"),0,INDEX(IncentiveRateTable[Incentive Rate],MATCH(AT473,IncentiveRateTable[Incentive Name],0)))</f>
        <v>0</v>
      </c>
      <c r="AV473" s="133" t="str">
        <f>IF(OR(AM473="Row Not Used",AM473="Controls Only"),"None",INDEX(IncentiveRateTable[Incentive Unit],MATCH(AT473,IncentiveRateTable[Incentive Name],0)))</f>
        <v>None</v>
      </c>
      <c r="AW473" s="578">
        <f t="shared" si="220"/>
        <v>0</v>
      </c>
      <c r="AX473" s="264" t="str">
        <f t="shared" si="210"/>
        <v>None</v>
      </c>
      <c r="AY473" s="229">
        <f>IF(OR(AM473="Row Not Used",AM473="Fixtures Only",AM473="Decommissioning"),0,INDEX(IncentiveRateTable[Incentive Rate],MATCH(AX473,IncentiveRateTable[Incentive Name],0)))</f>
        <v>0</v>
      </c>
      <c r="AZ473" s="133" t="str">
        <f>IF(OR(AM473="Row Not Used",AM473="Fixtures Only",AM473="Decommissioning"),"None",INDEX(IncentiveRateTable[Incentive Unit],MATCH(AX473,IncentiveRateTable[Incentive Name],0)))</f>
        <v>None</v>
      </c>
      <c r="BA473" s="465">
        <f t="shared" si="211"/>
        <v>0</v>
      </c>
      <c r="BB473" s="264" t="e" cm="1">
        <f t="array" ref="BB473">INDEX(BallastFactorTable[Commercial BPA Reference Number],MATCH(1,(BallastFactorTable[Fixture Class]=J473)*(BallastFactorTable[Fixture Category]=K473)*(BallastFactorTable[Fixture Sub-category]=L473),0))</f>
        <v>#N/A</v>
      </c>
      <c r="BC473" s="133" t="e" cm="1">
        <f t="array" ref="BC473">INDEX(BallastFactorTable[Industrial BPA Reference Number],MATCH(1,(BallastFactorTable[Fixture Class]=J473)*(BallastFactorTable[Fixture Category]=K473)*(BallastFactorTable[Fixture Sub-category]=L473),0))</f>
        <v>#N/A</v>
      </c>
      <c r="BD473" s="264" t="str">
        <f t="shared" si="212"/>
        <v>Sector is blank</v>
      </c>
      <c r="BE473" s="269" t="str">
        <f>IF(ISBLANK(SectorField),"Sector is blank",IF(AM473="Row Not Used","",IF(OR(R473="No Controls",ISBLANK(R473)),"",INDEX(ControlsBPARefNoTable[Reference Number],MATCH(SectorField,ControlsBPARefNoTable[Sector],0)))))</f>
        <v>Sector is blank</v>
      </c>
      <c r="BF473" s="530" t="str">
        <f t="shared" si="213"/>
        <v/>
      </c>
      <c r="BG473" s="132" t="str">
        <f t="shared" si="214"/>
        <v/>
      </c>
      <c r="BH473" s="531" t="str">
        <f t="shared" si="215"/>
        <v/>
      </c>
      <c r="BI473" s="532"/>
      <c r="BJ473" s="538" t="str">
        <f t="shared" si="221"/>
        <v/>
      </c>
      <c r="BK473" s="539" t="str">
        <f t="shared" si="222"/>
        <v/>
      </c>
      <c r="BL473" s="547" t="str">
        <f t="shared" si="223"/>
        <v/>
      </c>
    </row>
    <row r="474" spans="1:64" x14ac:dyDescent="0.3">
      <c r="A474" s="133">
        <v>467</v>
      </c>
      <c r="B474" s="294"/>
      <c r="C474" s="313"/>
      <c r="D474" s="292"/>
      <c r="E474" s="284"/>
      <c r="F474" s="284"/>
      <c r="G474" s="295"/>
      <c r="H474" s="296"/>
      <c r="I474" s="297"/>
      <c r="J474" s="292"/>
      <c r="K474" s="284"/>
      <c r="L474" s="284"/>
      <c r="M474" s="295"/>
      <c r="N474" s="296"/>
      <c r="O474" s="296"/>
      <c r="P474" s="284"/>
      <c r="Q474" s="298"/>
      <c r="R474" s="292"/>
      <c r="S474" s="299"/>
      <c r="T474" s="300"/>
      <c r="U474" s="317" t="str">
        <f t="shared" si="197"/>
        <v/>
      </c>
      <c r="V474" s="301"/>
      <c r="W474" s="137" t="str">
        <f t="shared" si="198"/>
        <v/>
      </c>
      <c r="X474" s="589" t="str">
        <f t="shared" si="216"/>
        <v/>
      </c>
      <c r="Y474" s="581"/>
      <c r="Z474" s="251" t="str">
        <f t="shared" si="199"/>
        <v/>
      </c>
      <c r="AA474" s="138" t="str">
        <f t="shared" si="224"/>
        <v/>
      </c>
      <c r="AB474" s="243" t="str">
        <f t="shared" si="217"/>
        <v/>
      </c>
      <c r="AC474" s="141" t="str">
        <f t="shared" si="200"/>
        <v/>
      </c>
      <c r="AD474" s="138" t="str">
        <f t="shared" si="218"/>
        <v/>
      </c>
      <c r="AE474" s="243" t="str">
        <f t="shared" si="201"/>
        <v/>
      </c>
      <c r="AF474" s="342" t="str">
        <f>IF(AM474="Row Not Used","",INDEX(SpaceTable[Annual Hours],(MATCH(B474,SpaceTable[Space Name Concatenated Helper],0))))</f>
        <v/>
      </c>
      <c r="AG474" s="205" t="str">
        <f t="shared" si="202"/>
        <v/>
      </c>
      <c r="AH474" s="234" t="str">
        <f t="shared" si="203"/>
        <v/>
      </c>
      <c r="AI474" s="205" t="str">
        <f t="shared" si="204"/>
        <v/>
      </c>
      <c r="AJ474" s="234" t="str">
        <f t="shared" si="205"/>
        <v/>
      </c>
      <c r="AK474" s="144" t="str">
        <f>IF(AM474="Row Not Used","",INDEX(SpaceTable[Row],(MATCH(B474,SpaceTable[Space Name Concatenated Helper],0))))</f>
        <v/>
      </c>
      <c r="AL474" s="238" t="str">
        <f>IF(AM474="Row Not Used","",INDEX(SpaceTable[HVAC Factor],(MATCH(B474,SpaceTable[Space Name Concatenated Helper],0))))</f>
        <v/>
      </c>
      <c r="AM474" s="520" t="str">
        <f t="shared" si="206"/>
        <v>Row Not Used</v>
      </c>
      <c r="AN474" s="512" t="e" cm="1">
        <f t="array" ref="AN474">INDEX(BallastFactorTable[Ballast Factor],MATCH(1,(BallastFactorTable[Fixture Class]=D474)*(BallastFactorTable[Fixture Category]=E474)*(BallastFactorTable[Fixture Sub-category]=F474),0))</f>
        <v>#N/A</v>
      </c>
      <c r="AO474" s="143" t="str">
        <f t="shared" si="219"/>
        <v/>
      </c>
      <c r="AP474" s="501" t="e" cm="1">
        <f t="array" ref="AP474">INDEX(BallastFactorTable[Wattage Range Name],MATCH(1,(BallastFactorTable[Fixture Class]=D474)*(BallastFactorTable[Fixture Category]=E474)*(BallastFactorTable[Fixture Sub-category]=F474),0))</f>
        <v>#N/A</v>
      </c>
      <c r="AQ474" s="515" t="str">
        <f t="shared" ca="1" si="207"/>
        <v>Okay</v>
      </c>
      <c r="AR474" s="512">
        <f t="shared" si="208"/>
        <v>0</v>
      </c>
      <c r="AS474" s="511" t="str">
        <f>IF(OR(Measures!AM474="Row Not Used",Measures!C474="Controls Only",Measures!C474="Decommissioning"),"",_xlfn.CONCAT(P474," ",Q474))</f>
        <v/>
      </c>
      <c r="AT474" s="264" t="str">
        <f t="shared" si="209"/>
        <v>None</v>
      </c>
      <c r="AU474" s="229">
        <f>IF(OR(AM474="Row Not Used",AM474="Controls Only"),0,INDEX(IncentiveRateTable[Incentive Rate],MATCH(AT474,IncentiveRateTable[Incentive Name],0)))</f>
        <v>0</v>
      </c>
      <c r="AV474" s="133" t="str">
        <f>IF(OR(AM474="Row Not Used",AM474="Controls Only"),"None",INDEX(IncentiveRateTable[Incentive Unit],MATCH(AT474,IncentiveRateTable[Incentive Name],0)))</f>
        <v>None</v>
      </c>
      <c r="AW474" s="578">
        <f t="shared" si="220"/>
        <v>0</v>
      </c>
      <c r="AX474" s="264" t="str">
        <f t="shared" si="210"/>
        <v>None</v>
      </c>
      <c r="AY474" s="229">
        <f>IF(OR(AM474="Row Not Used",AM474="Fixtures Only",AM474="Decommissioning"),0,INDEX(IncentiveRateTable[Incentive Rate],MATCH(AX474,IncentiveRateTable[Incentive Name],0)))</f>
        <v>0</v>
      </c>
      <c r="AZ474" s="133" t="str">
        <f>IF(OR(AM474="Row Not Used",AM474="Fixtures Only",AM474="Decommissioning"),"None",INDEX(IncentiveRateTable[Incentive Unit],MATCH(AX474,IncentiveRateTable[Incentive Name],0)))</f>
        <v>None</v>
      </c>
      <c r="BA474" s="465">
        <f t="shared" si="211"/>
        <v>0</v>
      </c>
      <c r="BB474" s="264" t="e" cm="1">
        <f t="array" ref="BB474">INDEX(BallastFactorTable[Commercial BPA Reference Number],MATCH(1,(BallastFactorTable[Fixture Class]=J474)*(BallastFactorTable[Fixture Category]=K474)*(BallastFactorTable[Fixture Sub-category]=L474),0))</f>
        <v>#N/A</v>
      </c>
      <c r="BC474" s="133" t="e" cm="1">
        <f t="array" ref="BC474">INDEX(BallastFactorTable[Industrial BPA Reference Number],MATCH(1,(BallastFactorTable[Fixture Class]=J474)*(BallastFactorTable[Fixture Category]=K474)*(BallastFactorTable[Fixture Sub-category]=L474),0))</f>
        <v>#N/A</v>
      </c>
      <c r="BD474" s="264" t="str">
        <f t="shared" si="212"/>
        <v>Sector is blank</v>
      </c>
      <c r="BE474" s="269" t="str">
        <f>IF(ISBLANK(SectorField),"Sector is blank",IF(AM474="Row Not Used","",IF(OR(R474="No Controls",ISBLANK(R474)),"",INDEX(ControlsBPARefNoTable[Reference Number],MATCH(SectorField,ControlsBPARefNoTable[Sector],0)))))</f>
        <v>Sector is blank</v>
      </c>
      <c r="BF474" s="530" t="str">
        <f t="shared" si="213"/>
        <v/>
      </c>
      <c r="BG474" s="132" t="str">
        <f t="shared" si="214"/>
        <v/>
      </c>
      <c r="BH474" s="531" t="str">
        <f t="shared" si="215"/>
        <v/>
      </c>
      <c r="BI474" s="532"/>
      <c r="BJ474" s="538" t="str">
        <f t="shared" si="221"/>
        <v/>
      </c>
      <c r="BK474" s="539" t="str">
        <f t="shared" si="222"/>
        <v/>
      </c>
      <c r="BL474" s="547" t="str">
        <f t="shared" si="223"/>
        <v/>
      </c>
    </row>
    <row r="475" spans="1:64" x14ac:dyDescent="0.3">
      <c r="A475" s="133">
        <v>468</v>
      </c>
      <c r="B475" s="294"/>
      <c r="C475" s="313"/>
      <c r="D475" s="292"/>
      <c r="E475" s="284"/>
      <c r="F475" s="284"/>
      <c r="G475" s="295"/>
      <c r="H475" s="296"/>
      <c r="I475" s="297"/>
      <c r="J475" s="292"/>
      <c r="K475" s="284"/>
      <c r="L475" s="284"/>
      <c r="M475" s="295"/>
      <c r="N475" s="296"/>
      <c r="O475" s="296"/>
      <c r="P475" s="284"/>
      <c r="Q475" s="298"/>
      <c r="R475" s="292"/>
      <c r="S475" s="299"/>
      <c r="T475" s="300"/>
      <c r="U475" s="317" t="str">
        <f t="shared" si="197"/>
        <v/>
      </c>
      <c r="V475" s="301"/>
      <c r="W475" s="136" t="str">
        <f t="shared" si="198"/>
        <v/>
      </c>
      <c r="X475" s="588" t="str">
        <f t="shared" si="216"/>
        <v/>
      </c>
      <c r="Y475" s="580"/>
      <c r="Z475" s="251" t="str">
        <f t="shared" si="199"/>
        <v/>
      </c>
      <c r="AA475" s="138" t="str">
        <f t="shared" si="224"/>
        <v/>
      </c>
      <c r="AB475" s="243" t="str">
        <f t="shared" si="217"/>
        <v/>
      </c>
      <c r="AC475" s="141" t="str">
        <f t="shared" si="200"/>
        <v/>
      </c>
      <c r="AD475" s="138" t="str">
        <f t="shared" si="218"/>
        <v/>
      </c>
      <c r="AE475" s="243" t="str">
        <f t="shared" si="201"/>
        <v/>
      </c>
      <c r="AF475" s="342" t="str">
        <f>IF(AM475="Row Not Used","",INDEX(SpaceTable[Annual Hours],(MATCH(B475,SpaceTable[Space Name Concatenated Helper],0))))</f>
        <v/>
      </c>
      <c r="AG475" s="205" t="str">
        <f t="shared" si="202"/>
        <v/>
      </c>
      <c r="AH475" s="234" t="str">
        <f t="shared" si="203"/>
        <v/>
      </c>
      <c r="AI475" s="205" t="str">
        <f t="shared" si="204"/>
        <v/>
      </c>
      <c r="AJ475" s="234" t="str">
        <f t="shared" si="205"/>
        <v/>
      </c>
      <c r="AK475" s="144" t="str">
        <f>IF(AM475="Row Not Used","",INDEX(SpaceTable[Row],(MATCH(B475,SpaceTable[Space Name Concatenated Helper],0))))</f>
        <v/>
      </c>
      <c r="AL475" s="238" t="str">
        <f>IF(AM475="Row Not Used","",INDEX(SpaceTable[HVAC Factor],(MATCH(B475,SpaceTable[Space Name Concatenated Helper],0))))</f>
        <v/>
      </c>
      <c r="AM475" s="520" t="str">
        <f t="shared" si="206"/>
        <v>Row Not Used</v>
      </c>
      <c r="AN475" s="512" t="e" cm="1">
        <f t="array" ref="AN475">INDEX(BallastFactorTable[Ballast Factor],MATCH(1,(BallastFactorTable[Fixture Class]=D475)*(BallastFactorTable[Fixture Category]=E475)*(BallastFactorTable[Fixture Sub-category]=F475),0))</f>
        <v>#N/A</v>
      </c>
      <c r="AO475" s="143" t="str">
        <f t="shared" si="219"/>
        <v/>
      </c>
      <c r="AP475" s="501" t="e" cm="1">
        <f t="array" ref="AP475">INDEX(BallastFactorTable[Wattage Range Name],MATCH(1,(BallastFactorTable[Fixture Class]=D475)*(BallastFactorTable[Fixture Category]=E475)*(BallastFactorTable[Fixture Sub-category]=F475),0))</f>
        <v>#N/A</v>
      </c>
      <c r="AQ475" s="515" t="str">
        <f t="shared" ca="1" si="207"/>
        <v>Okay</v>
      </c>
      <c r="AR475" s="512">
        <f t="shared" si="208"/>
        <v>0</v>
      </c>
      <c r="AS475" s="511" t="str">
        <f>IF(OR(Measures!AM475="Row Not Used",Measures!C475="Controls Only",Measures!C475="Decommissioning"),"",_xlfn.CONCAT(P475," ",Q475))</f>
        <v/>
      </c>
      <c r="AT475" s="264" t="str">
        <f t="shared" si="209"/>
        <v>None</v>
      </c>
      <c r="AU475" s="229">
        <f>IF(OR(AM475="Row Not Used",AM475="Controls Only"),0,INDEX(IncentiveRateTable[Incentive Rate],MATCH(AT475,IncentiveRateTable[Incentive Name],0)))</f>
        <v>0</v>
      </c>
      <c r="AV475" s="133" t="str">
        <f>IF(OR(AM475="Row Not Used",AM475="Controls Only"),"None",INDEX(IncentiveRateTable[Incentive Unit],MATCH(AT475,IncentiveRateTable[Incentive Name],0)))</f>
        <v>None</v>
      </c>
      <c r="AW475" s="578">
        <f t="shared" si="220"/>
        <v>0</v>
      </c>
      <c r="AX475" s="264" t="str">
        <f t="shared" si="210"/>
        <v>None</v>
      </c>
      <c r="AY475" s="229">
        <f>IF(OR(AM475="Row Not Used",AM475="Fixtures Only",AM475="Decommissioning"),0,INDEX(IncentiveRateTable[Incentive Rate],MATCH(AX475,IncentiveRateTable[Incentive Name],0)))</f>
        <v>0</v>
      </c>
      <c r="AZ475" s="133" t="str">
        <f>IF(OR(AM475="Row Not Used",AM475="Fixtures Only",AM475="Decommissioning"),"None",INDEX(IncentiveRateTable[Incentive Unit],MATCH(AX475,IncentiveRateTable[Incentive Name],0)))</f>
        <v>None</v>
      </c>
      <c r="BA475" s="465">
        <f t="shared" si="211"/>
        <v>0</v>
      </c>
      <c r="BB475" s="264" t="e" cm="1">
        <f t="array" ref="BB475">INDEX(BallastFactorTable[Commercial BPA Reference Number],MATCH(1,(BallastFactorTable[Fixture Class]=J475)*(BallastFactorTable[Fixture Category]=K475)*(BallastFactorTable[Fixture Sub-category]=L475),0))</f>
        <v>#N/A</v>
      </c>
      <c r="BC475" s="133" t="e" cm="1">
        <f t="array" ref="BC475">INDEX(BallastFactorTable[Industrial BPA Reference Number],MATCH(1,(BallastFactorTable[Fixture Class]=J475)*(BallastFactorTable[Fixture Category]=K475)*(BallastFactorTable[Fixture Sub-category]=L475),0))</f>
        <v>#N/A</v>
      </c>
      <c r="BD475" s="264" t="str">
        <f t="shared" si="212"/>
        <v>Sector is blank</v>
      </c>
      <c r="BE475" s="269" t="str">
        <f>IF(ISBLANK(SectorField),"Sector is blank",IF(AM475="Row Not Used","",IF(OR(R475="No Controls",ISBLANK(R475)),"",INDEX(ControlsBPARefNoTable[Reference Number],MATCH(SectorField,ControlsBPARefNoTable[Sector],0)))))</f>
        <v>Sector is blank</v>
      </c>
      <c r="BF475" s="530" t="str">
        <f t="shared" si="213"/>
        <v/>
      </c>
      <c r="BG475" s="132" t="str">
        <f t="shared" si="214"/>
        <v/>
      </c>
      <c r="BH475" s="531" t="str">
        <f t="shared" si="215"/>
        <v/>
      </c>
      <c r="BI475" s="532"/>
      <c r="BJ475" s="538" t="str">
        <f t="shared" si="221"/>
        <v/>
      </c>
      <c r="BK475" s="539" t="str">
        <f t="shared" si="222"/>
        <v/>
      </c>
      <c r="BL475" s="547" t="str">
        <f t="shared" si="223"/>
        <v/>
      </c>
    </row>
    <row r="476" spans="1:64" x14ac:dyDescent="0.3">
      <c r="A476" s="133">
        <v>469</v>
      </c>
      <c r="B476" s="294"/>
      <c r="C476" s="313"/>
      <c r="D476" s="292"/>
      <c r="E476" s="284"/>
      <c r="F476" s="284"/>
      <c r="G476" s="295"/>
      <c r="H476" s="296"/>
      <c r="I476" s="297"/>
      <c r="J476" s="292"/>
      <c r="K476" s="284"/>
      <c r="L476" s="284"/>
      <c r="M476" s="295"/>
      <c r="N476" s="296"/>
      <c r="O476" s="296"/>
      <c r="P476" s="284"/>
      <c r="Q476" s="298"/>
      <c r="R476" s="292"/>
      <c r="S476" s="299"/>
      <c r="T476" s="300"/>
      <c r="U476" s="317" t="str">
        <f t="shared" si="197"/>
        <v/>
      </c>
      <c r="V476" s="301"/>
      <c r="W476" s="137" t="str">
        <f t="shared" si="198"/>
        <v/>
      </c>
      <c r="X476" s="589" t="str">
        <f t="shared" si="216"/>
        <v/>
      </c>
      <c r="Y476" s="581"/>
      <c r="Z476" s="251" t="str">
        <f t="shared" si="199"/>
        <v/>
      </c>
      <c r="AA476" s="138" t="str">
        <f t="shared" si="224"/>
        <v/>
      </c>
      <c r="AB476" s="243" t="str">
        <f t="shared" si="217"/>
        <v/>
      </c>
      <c r="AC476" s="141" t="str">
        <f t="shared" si="200"/>
        <v/>
      </c>
      <c r="AD476" s="138" t="str">
        <f t="shared" si="218"/>
        <v/>
      </c>
      <c r="AE476" s="243" t="str">
        <f t="shared" si="201"/>
        <v/>
      </c>
      <c r="AF476" s="342" t="str">
        <f>IF(AM476="Row Not Used","",INDEX(SpaceTable[Annual Hours],(MATCH(B476,SpaceTable[Space Name Concatenated Helper],0))))</f>
        <v/>
      </c>
      <c r="AG476" s="205" t="str">
        <f t="shared" si="202"/>
        <v/>
      </c>
      <c r="AH476" s="234" t="str">
        <f t="shared" si="203"/>
        <v/>
      </c>
      <c r="AI476" s="205" t="str">
        <f t="shared" si="204"/>
        <v/>
      </c>
      <c r="AJ476" s="234" t="str">
        <f t="shared" si="205"/>
        <v/>
      </c>
      <c r="AK476" s="144" t="str">
        <f>IF(AM476="Row Not Used","",INDEX(SpaceTable[Row],(MATCH(B476,SpaceTable[Space Name Concatenated Helper],0))))</f>
        <v/>
      </c>
      <c r="AL476" s="238" t="str">
        <f>IF(AM476="Row Not Used","",INDEX(SpaceTable[HVAC Factor],(MATCH(B476,SpaceTable[Space Name Concatenated Helper],0))))</f>
        <v/>
      </c>
      <c r="AM476" s="520" t="str">
        <f t="shared" si="206"/>
        <v>Row Not Used</v>
      </c>
      <c r="AN476" s="512" t="e" cm="1">
        <f t="array" ref="AN476">INDEX(BallastFactorTable[Ballast Factor],MATCH(1,(BallastFactorTable[Fixture Class]=D476)*(BallastFactorTable[Fixture Category]=E476)*(BallastFactorTable[Fixture Sub-category]=F476),0))</f>
        <v>#N/A</v>
      </c>
      <c r="AO476" s="143" t="str">
        <f t="shared" si="219"/>
        <v/>
      </c>
      <c r="AP476" s="501" t="e" cm="1">
        <f t="array" ref="AP476">INDEX(BallastFactorTable[Wattage Range Name],MATCH(1,(BallastFactorTable[Fixture Class]=D476)*(BallastFactorTable[Fixture Category]=E476)*(BallastFactorTable[Fixture Sub-category]=F476),0))</f>
        <v>#N/A</v>
      </c>
      <c r="AQ476" s="515" t="str">
        <f t="shared" ca="1" si="207"/>
        <v>Okay</v>
      </c>
      <c r="AR476" s="512">
        <f t="shared" si="208"/>
        <v>0</v>
      </c>
      <c r="AS476" s="511" t="str">
        <f>IF(OR(Measures!AM476="Row Not Used",Measures!C476="Controls Only",Measures!C476="Decommissioning"),"",_xlfn.CONCAT(P476," ",Q476))</f>
        <v/>
      </c>
      <c r="AT476" s="264" t="str">
        <f t="shared" si="209"/>
        <v>None</v>
      </c>
      <c r="AU476" s="229">
        <f>IF(OR(AM476="Row Not Used",AM476="Controls Only"),0,INDEX(IncentiveRateTable[Incentive Rate],MATCH(AT476,IncentiveRateTable[Incentive Name],0)))</f>
        <v>0</v>
      </c>
      <c r="AV476" s="133" t="str">
        <f>IF(OR(AM476="Row Not Used",AM476="Controls Only"),"None",INDEX(IncentiveRateTable[Incentive Unit],MATCH(AT476,IncentiveRateTable[Incentive Name],0)))</f>
        <v>None</v>
      </c>
      <c r="AW476" s="578">
        <f t="shared" si="220"/>
        <v>0</v>
      </c>
      <c r="AX476" s="264" t="str">
        <f t="shared" si="210"/>
        <v>None</v>
      </c>
      <c r="AY476" s="229">
        <f>IF(OR(AM476="Row Not Used",AM476="Fixtures Only",AM476="Decommissioning"),0,INDEX(IncentiveRateTable[Incentive Rate],MATCH(AX476,IncentiveRateTable[Incentive Name],0)))</f>
        <v>0</v>
      </c>
      <c r="AZ476" s="133" t="str">
        <f>IF(OR(AM476="Row Not Used",AM476="Fixtures Only",AM476="Decommissioning"),"None",INDEX(IncentiveRateTable[Incentive Unit],MATCH(AX476,IncentiveRateTable[Incentive Name],0)))</f>
        <v>None</v>
      </c>
      <c r="BA476" s="465">
        <f t="shared" si="211"/>
        <v>0</v>
      </c>
      <c r="BB476" s="264" t="e" cm="1">
        <f t="array" ref="BB476">INDEX(BallastFactorTable[Commercial BPA Reference Number],MATCH(1,(BallastFactorTable[Fixture Class]=J476)*(BallastFactorTable[Fixture Category]=K476)*(BallastFactorTable[Fixture Sub-category]=L476),0))</f>
        <v>#N/A</v>
      </c>
      <c r="BC476" s="133" t="e" cm="1">
        <f t="array" ref="BC476">INDEX(BallastFactorTable[Industrial BPA Reference Number],MATCH(1,(BallastFactorTable[Fixture Class]=J476)*(BallastFactorTable[Fixture Category]=K476)*(BallastFactorTable[Fixture Sub-category]=L476),0))</f>
        <v>#N/A</v>
      </c>
      <c r="BD476" s="264" t="str">
        <f t="shared" si="212"/>
        <v>Sector is blank</v>
      </c>
      <c r="BE476" s="269" t="str">
        <f>IF(ISBLANK(SectorField),"Sector is blank",IF(AM476="Row Not Used","",IF(OR(R476="No Controls",ISBLANK(R476)),"",INDEX(ControlsBPARefNoTable[Reference Number],MATCH(SectorField,ControlsBPARefNoTable[Sector],0)))))</f>
        <v>Sector is blank</v>
      </c>
      <c r="BF476" s="530" t="str">
        <f t="shared" si="213"/>
        <v/>
      </c>
      <c r="BG476" s="132" t="str">
        <f t="shared" si="214"/>
        <v/>
      </c>
      <c r="BH476" s="531" t="str">
        <f t="shared" si="215"/>
        <v/>
      </c>
      <c r="BI476" s="532"/>
      <c r="BJ476" s="538" t="str">
        <f t="shared" si="221"/>
        <v/>
      </c>
      <c r="BK476" s="539" t="str">
        <f t="shared" si="222"/>
        <v/>
      </c>
      <c r="BL476" s="547" t="str">
        <f t="shared" si="223"/>
        <v/>
      </c>
    </row>
    <row r="477" spans="1:64" x14ac:dyDescent="0.3">
      <c r="A477" s="133">
        <v>470</v>
      </c>
      <c r="B477" s="294"/>
      <c r="C477" s="313"/>
      <c r="D477" s="292"/>
      <c r="E477" s="284"/>
      <c r="F477" s="284"/>
      <c r="G477" s="295"/>
      <c r="H477" s="296"/>
      <c r="I477" s="297"/>
      <c r="J477" s="292"/>
      <c r="K477" s="284"/>
      <c r="L477" s="284"/>
      <c r="M477" s="295"/>
      <c r="N477" s="296"/>
      <c r="O477" s="296"/>
      <c r="P477" s="284"/>
      <c r="Q477" s="298"/>
      <c r="R477" s="292"/>
      <c r="S477" s="299"/>
      <c r="T477" s="300"/>
      <c r="U477" s="317" t="str">
        <f t="shared" si="197"/>
        <v/>
      </c>
      <c r="V477" s="301"/>
      <c r="W477" s="136" t="str">
        <f t="shared" si="198"/>
        <v/>
      </c>
      <c r="X477" s="588" t="str">
        <f t="shared" si="216"/>
        <v/>
      </c>
      <c r="Y477" s="580"/>
      <c r="Z477" s="251" t="str">
        <f t="shared" si="199"/>
        <v/>
      </c>
      <c r="AA477" s="138" t="str">
        <f t="shared" si="224"/>
        <v/>
      </c>
      <c r="AB477" s="243" t="str">
        <f t="shared" si="217"/>
        <v/>
      </c>
      <c r="AC477" s="141" t="str">
        <f t="shared" si="200"/>
        <v/>
      </c>
      <c r="AD477" s="138" t="str">
        <f t="shared" si="218"/>
        <v/>
      </c>
      <c r="AE477" s="243" t="str">
        <f t="shared" si="201"/>
        <v/>
      </c>
      <c r="AF477" s="342" t="str">
        <f>IF(AM477="Row Not Used","",INDEX(SpaceTable[Annual Hours],(MATCH(B477,SpaceTable[Space Name Concatenated Helper],0))))</f>
        <v/>
      </c>
      <c r="AG477" s="205" t="str">
        <f t="shared" si="202"/>
        <v/>
      </c>
      <c r="AH477" s="234" t="str">
        <f t="shared" si="203"/>
        <v/>
      </c>
      <c r="AI477" s="205" t="str">
        <f t="shared" si="204"/>
        <v/>
      </c>
      <c r="AJ477" s="234" t="str">
        <f t="shared" si="205"/>
        <v/>
      </c>
      <c r="AK477" s="144" t="str">
        <f>IF(AM477="Row Not Used","",INDEX(SpaceTable[Row],(MATCH(B477,SpaceTable[Space Name Concatenated Helper],0))))</f>
        <v/>
      </c>
      <c r="AL477" s="238" t="str">
        <f>IF(AM477="Row Not Used","",INDEX(SpaceTable[HVAC Factor],(MATCH(B477,SpaceTable[Space Name Concatenated Helper],0))))</f>
        <v/>
      </c>
      <c r="AM477" s="520" t="str">
        <f t="shared" si="206"/>
        <v>Row Not Used</v>
      </c>
      <c r="AN477" s="512" t="e" cm="1">
        <f t="array" ref="AN477">INDEX(BallastFactorTable[Ballast Factor],MATCH(1,(BallastFactorTable[Fixture Class]=D477)*(BallastFactorTable[Fixture Category]=E477)*(BallastFactorTable[Fixture Sub-category]=F477),0))</f>
        <v>#N/A</v>
      </c>
      <c r="AO477" s="143" t="str">
        <f t="shared" si="219"/>
        <v/>
      </c>
      <c r="AP477" s="501" t="e" cm="1">
        <f t="array" ref="AP477">INDEX(BallastFactorTable[Wattage Range Name],MATCH(1,(BallastFactorTable[Fixture Class]=D477)*(BallastFactorTable[Fixture Category]=E477)*(BallastFactorTable[Fixture Sub-category]=F477),0))</f>
        <v>#N/A</v>
      </c>
      <c r="AQ477" s="515" t="str">
        <f t="shared" ca="1" si="207"/>
        <v>Okay</v>
      </c>
      <c r="AR477" s="512">
        <f t="shared" si="208"/>
        <v>0</v>
      </c>
      <c r="AS477" s="511" t="str">
        <f>IF(OR(Measures!AM477="Row Not Used",Measures!C477="Controls Only",Measures!C477="Decommissioning"),"",_xlfn.CONCAT(P477," ",Q477))</f>
        <v/>
      </c>
      <c r="AT477" s="264" t="str">
        <f t="shared" si="209"/>
        <v>None</v>
      </c>
      <c r="AU477" s="229">
        <f>IF(OR(AM477="Row Not Used",AM477="Controls Only"),0,INDEX(IncentiveRateTable[Incentive Rate],MATCH(AT477,IncentiveRateTable[Incentive Name],0)))</f>
        <v>0</v>
      </c>
      <c r="AV477" s="133" t="str">
        <f>IF(OR(AM477="Row Not Used",AM477="Controls Only"),"None",INDEX(IncentiveRateTable[Incentive Unit],MATCH(AT477,IncentiveRateTable[Incentive Name],0)))</f>
        <v>None</v>
      </c>
      <c r="AW477" s="578">
        <f t="shared" si="220"/>
        <v>0</v>
      </c>
      <c r="AX477" s="264" t="str">
        <f t="shared" si="210"/>
        <v>None</v>
      </c>
      <c r="AY477" s="229">
        <f>IF(OR(AM477="Row Not Used",AM477="Fixtures Only",AM477="Decommissioning"),0,INDEX(IncentiveRateTable[Incentive Rate],MATCH(AX477,IncentiveRateTable[Incentive Name],0)))</f>
        <v>0</v>
      </c>
      <c r="AZ477" s="133" t="str">
        <f>IF(OR(AM477="Row Not Used",AM477="Fixtures Only",AM477="Decommissioning"),"None",INDEX(IncentiveRateTable[Incentive Unit],MATCH(AX477,IncentiveRateTable[Incentive Name],0)))</f>
        <v>None</v>
      </c>
      <c r="BA477" s="465">
        <f t="shared" si="211"/>
        <v>0</v>
      </c>
      <c r="BB477" s="264" t="e" cm="1">
        <f t="array" ref="BB477">INDEX(BallastFactorTable[Commercial BPA Reference Number],MATCH(1,(BallastFactorTable[Fixture Class]=J477)*(BallastFactorTable[Fixture Category]=K477)*(BallastFactorTable[Fixture Sub-category]=L477),0))</f>
        <v>#N/A</v>
      </c>
      <c r="BC477" s="133" t="e" cm="1">
        <f t="array" ref="BC477">INDEX(BallastFactorTable[Industrial BPA Reference Number],MATCH(1,(BallastFactorTable[Fixture Class]=J477)*(BallastFactorTable[Fixture Category]=K477)*(BallastFactorTable[Fixture Sub-category]=L477),0))</f>
        <v>#N/A</v>
      </c>
      <c r="BD477" s="264" t="str">
        <f t="shared" si="212"/>
        <v>Sector is blank</v>
      </c>
      <c r="BE477" s="269" t="str">
        <f>IF(ISBLANK(SectorField),"Sector is blank",IF(AM477="Row Not Used","",IF(OR(R477="No Controls",ISBLANK(R477)),"",INDEX(ControlsBPARefNoTable[Reference Number],MATCH(SectorField,ControlsBPARefNoTable[Sector],0)))))</f>
        <v>Sector is blank</v>
      </c>
      <c r="BF477" s="530" t="str">
        <f t="shared" si="213"/>
        <v/>
      </c>
      <c r="BG477" s="132" t="str">
        <f t="shared" si="214"/>
        <v/>
      </c>
      <c r="BH477" s="531" t="str">
        <f t="shared" si="215"/>
        <v/>
      </c>
      <c r="BI477" s="532"/>
      <c r="BJ477" s="538" t="str">
        <f t="shared" si="221"/>
        <v/>
      </c>
      <c r="BK477" s="539" t="str">
        <f t="shared" si="222"/>
        <v/>
      </c>
      <c r="BL477" s="547" t="str">
        <f t="shared" si="223"/>
        <v/>
      </c>
    </row>
    <row r="478" spans="1:64" x14ac:dyDescent="0.3">
      <c r="A478" s="133">
        <v>471</v>
      </c>
      <c r="B478" s="294"/>
      <c r="C478" s="313"/>
      <c r="D478" s="292"/>
      <c r="E478" s="284"/>
      <c r="F478" s="284"/>
      <c r="G478" s="295"/>
      <c r="H478" s="296"/>
      <c r="I478" s="297"/>
      <c r="J478" s="292"/>
      <c r="K478" s="284"/>
      <c r="L478" s="284"/>
      <c r="M478" s="295"/>
      <c r="N478" s="296"/>
      <c r="O478" s="296"/>
      <c r="P478" s="284"/>
      <c r="Q478" s="298"/>
      <c r="R478" s="292"/>
      <c r="S478" s="299"/>
      <c r="T478" s="300"/>
      <c r="U478" s="317" t="str">
        <f t="shared" si="197"/>
        <v/>
      </c>
      <c r="V478" s="301"/>
      <c r="W478" s="137" t="str">
        <f t="shared" si="198"/>
        <v/>
      </c>
      <c r="X478" s="589" t="str">
        <f t="shared" si="216"/>
        <v/>
      </c>
      <c r="Y478" s="581"/>
      <c r="Z478" s="251" t="str">
        <f t="shared" si="199"/>
        <v/>
      </c>
      <c r="AA478" s="138" t="str">
        <f t="shared" si="224"/>
        <v/>
      </c>
      <c r="AB478" s="243" t="str">
        <f t="shared" si="217"/>
        <v/>
      </c>
      <c r="AC478" s="141" t="str">
        <f t="shared" si="200"/>
        <v/>
      </c>
      <c r="AD478" s="138" t="str">
        <f t="shared" si="218"/>
        <v/>
      </c>
      <c r="AE478" s="243" t="str">
        <f t="shared" si="201"/>
        <v/>
      </c>
      <c r="AF478" s="342" t="str">
        <f>IF(AM478="Row Not Used","",INDEX(SpaceTable[Annual Hours],(MATCH(B478,SpaceTable[Space Name Concatenated Helper],0))))</f>
        <v/>
      </c>
      <c r="AG478" s="205" t="str">
        <f t="shared" si="202"/>
        <v/>
      </c>
      <c r="AH478" s="234" t="str">
        <f t="shared" si="203"/>
        <v/>
      </c>
      <c r="AI478" s="205" t="str">
        <f t="shared" si="204"/>
        <v/>
      </c>
      <c r="AJ478" s="234" t="str">
        <f t="shared" si="205"/>
        <v/>
      </c>
      <c r="AK478" s="144" t="str">
        <f>IF(AM478="Row Not Used","",INDEX(SpaceTable[Row],(MATCH(B478,SpaceTable[Space Name Concatenated Helper],0))))</f>
        <v/>
      </c>
      <c r="AL478" s="238" t="str">
        <f>IF(AM478="Row Not Used","",INDEX(SpaceTable[HVAC Factor],(MATCH(B478,SpaceTable[Space Name Concatenated Helper],0))))</f>
        <v/>
      </c>
      <c r="AM478" s="520" t="str">
        <f t="shared" si="206"/>
        <v>Row Not Used</v>
      </c>
      <c r="AN478" s="512" t="e" cm="1">
        <f t="array" ref="AN478">INDEX(BallastFactorTable[Ballast Factor],MATCH(1,(BallastFactorTable[Fixture Class]=D478)*(BallastFactorTable[Fixture Category]=E478)*(BallastFactorTable[Fixture Sub-category]=F478),0))</f>
        <v>#N/A</v>
      </c>
      <c r="AO478" s="143" t="str">
        <f t="shared" si="219"/>
        <v/>
      </c>
      <c r="AP478" s="501" t="e" cm="1">
        <f t="array" ref="AP478">INDEX(BallastFactorTable[Wattage Range Name],MATCH(1,(BallastFactorTable[Fixture Class]=D478)*(BallastFactorTable[Fixture Category]=E478)*(BallastFactorTable[Fixture Sub-category]=F478),0))</f>
        <v>#N/A</v>
      </c>
      <c r="AQ478" s="515" t="str">
        <f t="shared" ca="1" si="207"/>
        <v>Okay</v>
      </c>
      <c r="AR478" s="512">
        <f t="shared" si="208"/>
        <v>0</v>
      </c>
      <c r="AS478" s="511" t="str">
        <f>IF(OR(Measures!AM478="Row Not Used",Measures!C478="Controls Only",Measures!C478="Decommissioning"),"",_xlfn.CONCAT(P478," ",Q478))</f>
        <v/>
      </c>
      <c r="AT478" s="264" t="str">
        <f t="shared" si="209"/>
        <v>None</v>
      </c>
      <c r="AU478" s="229">
        <f>IF(OR(AM478="Row Not Used",AM478="Controls Only"),0,INDEX(IncentiveRateTable[Incentive Rate],MATCH(AT478,IncentiveRateTable[Incentive Name],0)))</f>
        <v>0</v>
      </c>
      <c r="AV478" s="133" t="str">
        <f>IF(OR(AM478="Row Not Used",AM478="Controls Only"),"None",INDEX(IncentiveRateTable[Incentive Unit],MATCH(AT478,IncentiveRateTable[Incentive Name],0)))</f>
        <v>None</v>
      </c>
      <c r="AW478" s="578">
        <f t="shared" si="220"/>
        <v>0</v>
      </c>
      <c r="AX478" s="264" t="str">
        <f t="shared" si="210"/>
        <v>None</v>
      </c>
      <c r="AY478" s="229">
        <f>IF(OR(AM478="Row Not Used",AM478="Fixtures Only",AM478="Decommissioning"),0,INDEX(IncentiveRateTable[Incentive Rate],MATCH(AX478,IncentiveRateTable[Incentive Name],0)))</f>
        <v>0</v>
      </c>
      <c r="AZ478" s="133" t="str">
        <f>IF(OR(AM478="Row Not Used",AM478="Fixtures Only",AM478="Decommissioning"),"None",INDEX(IncentiveRateTable[Incentive Unit],MATCH(AX478,IncentiveRateTable[Incentive Name],0)))</f>
        <v>None</v>
      </c>
      <c r="BA478" s="465">
        <f t="shared" si="211"/>
        <v>0</v>
      </c>
      <c r="BB478" s="264" t="e" cm="1">
        <f t="array" ref="BB478">INDEX(BallastFactorTable[Commercial BPA Reference Number],MATCH(1,(BallastFactorTable[Fixture Class]=J478)*(BallastFactorTable[Fixture Category]=K478)*(BallastFactorTable[Fixture Sub-category]=L478),0))</f>
        <v>#N/A</v>
      </c>
      <c r="BC478" s="133" t="e" cm="1">
        <f t="array" ref="BC478">INDEX(BallastFactorTable[Industrial BPA Reference Number],MATCH(1,(BallastFactorTable[Fixture Class]=J478)*(BallastFactorTable[Fixture Category]=K478)*(BallastFactorTable[Fixture Sub-category]=L478),0))</f>
        <v>#N/A</v>
      </c>
      <c r="BD478" s="264" t="str">
        <f t="shared" si="212"/>
        <v>Sector is blank</v>
      </c>
      <c r="BE478" s="269" t="str">
        <f>IF(ISBLANK(SectorField),"Sector is blank",IF(AM478="Row Not Used","",IF(OR(R478="No Controls",ISBLANK(R478)),"",INDEX(ControlsBPARefNoTable[Reference Number],MATCH(SectorField,ControlsBPARefNoTable[Sector],0)))))</f>
        <v>Sector is blank</v>
      </c>
      <c r="BF478" s="530" t="str">
        <f t="shared" si="213"/>
        <v/>
      </c>
      <c r="BG478" s="132" t="str">
        <f t="shared" si="214"/>
        <v/>
      </c>
      <c r="BH478" s="531" t="str">
        <f t="shared" si="215"/>
        <v/>
      </c>
      <c r="BI478" s="532"/>
      <c r="BJ478" s="538" t="str">
        <f t="shared" si="221"/>
        <v/>
      </c>
      <c r="BK478" s="539" t="str">
        <f t="shared" si="222"/>
        <v/>
      </c>
      <c r="BL478" s="547" t="str">
        <f t="shared" si="223"/>
        <v/>
      </c>
    </row>
    <row r="479" spans="1:64" x14ac:dyDescent="0.3">
      <c r="A479" s="133">
        <v>472</v>
      </c>
      <c r="B479" s="294"/>
      <c r="C479" s="313"/>
      <c r="D479" s="292"/>
      <c r="E479" s="284"/>
      <c r="F479" s="284"/>
      <c r="G479" s="295"/>
      <c r="H479" s="296"/>
      <c r="I479" s="297"/>
      <c r="J479" s="292"/>
      <c r="K479" s="284"/>
      <c r="L479" s="284"/>
      <c r="M479" s="295"/>
      <c r="N479" s="296"/>
      <c r="O479" s="296"/>
      <c r="P479" s="284"/>
      <c r="Q479" s="298"/>
      <c r="R479" s="292"/>
      <c r="S479" s="299"/>
      <c r="T479" s="300"/>
      <c r="U479" s="317" t="str">
        <f t="shared" si="197"/>
        <v/>
      </c>
      <c r="V479" s="301"/>
      <c r="W479" s="136" t="str">
        <f t="shared" si="198"/>
        <v/>
      </c>
      <c r="X479" s="588" t="str">
        <f t="shared" si="216"/>
        <v/>
      </c>
      <c r="Y479" s="580"/>
      <c r="Z479" s="251" t="str">
        <f t="shared" si="199"/>
        <v/>
      </c>
      <c r="AA479" s="138" t="str">
        <f t="shared" si="224"/>
        <v/>
      </c>
      <c r="AB479" s="243" t="str">
        <f t="shared" si="217"/>
        <v/>
      </c>
      <c r="AC479" s="141" t="str">
        <f t="shared" si="200"/>
        <v/>
      </c>
      <c r="AD479" s="138" t="str">
        <f t="shared" si="218"/>
        <v/>
      </c>
      <c r="AE479" s="243" t="str">
        <f t="shared" si="201"/>
        <v/>
      </c>
      <c r="AF479" s="342" t="str">
        <f>IF(AM479="Row Not Used","",INDEX(SpaceTable[Annual Hours],(MATCH(B479,SpaceTable[Space Name Concatenated Helper],0))))</f>
        <v/>
      </c>
      <c r="AG479" s="205" t="str">
        <f t="shared" si="202"/>
        <v/>
      </c>
      <c r="AH479" s="234" t="str">
        <f t="shared" si="203"/>
        <v/>
      </c>
      <c r="AI479" s="205" t="str">
        <f t="shared" si="204"/>
        <v/>
      </c>
      <c r="AJ479" s="234" t="str">
        <f t="shared" si="205"/>
        <v/>
      </c>
      <c r="AK479" s="144" t="str">
        <f>IF(AM479="Row Not Used","",INDEX(SpaceTable[Row],(MATCH(B479,SpaceTable[Space Name Concatenated Helper],0))))</f>
        <v/>
      </c>
      <c r="AL479" s="238" t="str">
        <f>IF(AM479="Row Not Used","",INDEX(SpaceTable[HVAC Factor],(MATCH(B479,SpaceTable[Space Name Concatenated Helper],0))))</f>
        <v/>
      </c>
      <c r="AM479" s="520" t="str">
        <f t="shared" si="206"/>
        <v>Row Not Used</v>
      </c>
      <c r="AN479" s="512" t="e" cm="1">
        <f t="array" ref="AN479">INDEX(BallastFactorTable[Ballast Factor],MATCH(1,(BallastFactorTable[Fixture Class]=D479)*(BallastFactorTable[Fixture Category]=E479)*(BallastFactorTable[Fixture Sub-category]=F479),0))</f>
        <v>#N/A</v>
      </c>
      <c r="AO479" s="143" t="str">
        <f t="shared" si="219"/>
        <v/>
      </c>
      <c r="AP479" s="501" t="e" cm="1">
        <f t="array" ref="AP479">INDEX(BallastFactorTable[Wattage Range Name],MATCH(1,(BallastFactorTable[Fixture Class]=D479)*(BallastFactorTable[Fixture Category]=E479)*(BallastFactorTable[Fixture Sub-category]=F479),0))</f>
        <v>#N/A</v>
      </c>
      <c r="AQ479" s="515" t="str">
        <f t="shared" ca="1" si="207"/>
        <v>Okay</v>
      </c>
      <c r="AR479" s="512">
        <f t="shared" si="208"/>
        <v>0</v>
      </c>
      <c r="AS479" s="511" t="str">
        <f>IF(OR(Measures!AM479="Row Not Used",Measures!C479="Controls Only",Measures!C479="Decommissioning"),"",_xlfn.CONCAT(P479," ",Q479))</f>
        <v/>
      </c>
      <c r="AT479" s="264" t="str">
        <f t="shared" si="209"/>
        <v>None</v>
      </c>
      <c r="AU479" s="229">
        <f>IF(OR(AM479="Row Not Used",AM479="Controls Only"),0,INDEX(IncentiveRateTable[Incentive Rate],MATCH(AT479,IncentiveRateTable[Incentive Name],0)))</f>
        <v>0</v>
      </c>
      <c r="AV479" s="133" t="str">
        <f>IF(OR(AM479="Row Not Used",AM479="Controls Only"),"None",INDEX(IncentiveRateTable[Incentive Unit],MATCH(AT479,IncentiveRateTable[Incentive Name],0)))</f>
        <v>None</v>
      </c>
      <c r="AW479" s="578">
        <f t="shared" si="220"/>
        <v>0</v>
      </c>
      <c r="AX479" s="264" t="str">
        <f t="shared" si="210"/>
        <v>None</v>
      </c>
      <c r="AY479" s="229">
        <f>IF(OR(AM479="Row Not Used",AM479="Fixtures Only",AM479="Decommissioning"),0,INDEX(IncentiveRateTable[Incentive Rate],MATCH(AX479,IncentiveRateTable[Incentive Name],0)))</f>
        <v>0</v>
      </c>
      <c r="AZ479" s="133" t="str">
        <f>IF(OR(AM479="Row Not Used",AM479="Fixtures Only",AM479="Decommissioning"),"None",INDEX(IncentiveRateTable[Incentive Unit],MATCH(AX479,IncentiveRateTable[Incentive Name],0)))</f>
        <v>None</v>
      </c>
      <c r="BA479" s="465">
        <f t="shared" si="211"/>
        <v>0</v>
      </c>
      <c r="BB479" s="264" t="e" cm="1">
        <f t="array" ref="BB479">INDEX(BallastFactorTable[Commercial BPA Reference Number],MATCH(1,(BallastFactorTable[Fixture Class]=J479)*(BallastFactorTable[Fixture Category]=K479)*(BallastFactorTable[Fixture Sub-category]=L479),0))</f>
        <v>#N/A</v>
      </c>
      <c r="BC479" s="133" t="e" cm="1">
        <f t="array" ref="BC479">INDEX(BallastFactorTable[Industrial BPA Reference Number],MATCH(1,(BallastFactorTable[Fixture Class]=J479)*(BallastFactorTable[Fixture Category]=K479)*(BallastFactorTable[Fixture Sub-category]=L479),0))</f>
        <v>#N/A</v>
      </c>
      <c r="BD479" s="264" t="str">
        <f t="shared" si="212"/>
        <v>Sector is blank</v>
      </c>
      <c r="BE479" s="269" t="str">
        <f>IF(ISBLANK(SectorField),"Sector is blank",IF(AM479="Row Not Used","",IF(OR(R479="No Controls",ISBLANK(R479)),"",INDEX(ControlsBPARefNoTable[Reference Number],MATCH(SectorField,ControlsBPARefNoTable[Sector],0)))))</f>
        <v>Sector is blank</v>
      </c>
      <c r="BF479" s="530" t="str">
        <f t="shared" si="213"/>
        <v/>
      </c>
      <c r="BG479" s="132" t="str">
        <f t="shared" si="214"/>
        <v/>
      </c>
      <c r="BH479" s="531" t="str">
        <f t="shared" si="215"/>
        <v/>
      </c>
      <c r="BI479" s="532"/>
      <c r="BJ479" s="538" t="str">
        <f t="shared" si="221"/>
        <v/>
      </c>
      <c r="BK479" s="539" t="str">
        <f t="shared" si="222"/>
        <v/>
      </c>
      <c r="BL479" s="547" t="str">
        <f t="shared" si="223"/>
        <v/>
      </c>
    </row>
    <row r="480" spans="1:64" x14ac:dyDescent="0.3">
      <c r="A480" s="133">
        <v>473</v>
      </c>
      <c r="B480" s="294"/>
      <c r="C480" s="313"/>
      <c r="D480" s="292"/>
      <c r="E480" s="284"/>
      <c r="F480" s="284"/>
      <c r="G480" s="295"/>
      <c r="H480" s="296"/>
      <c r="I480" s="297"/>
      <c r="J480" s="292"/>
      <c r="K480" s="284"/>
      <c r="L480" s="284"/>
      <c r="M480" s="295"/>
      <c r="N480" s="296"/>
      <c r="O480" s="296"/>
      <c r="P480" s="284"/>
      <c r="Q480" s="298"/>
      <c r="R480" s="292"/>
      <c r="S480" s="299"/>
      <c r="T480" s="300"/>
      <c r="U480" s="317" t="str">
        <f t="shared" si="197"/>
        <v/>
      </c>
      <c r="V480" s="301"/>
      <c r="W480" s="137" t="str">
        <f t="shared" si="198"/>
        <v/>
      </c>
      <c r="X480" s="589" t="str">
        <f t="shared" si="216"/>
        <v/>
      </c>
      <c r="Y480" s="581"/>
      <c r="Z480" s="251" t="str">
        <f t="shared" si="199"/>
        <v/>
      </c>
      <c r="AA480" s="138" t="str">
        <f t="shared" si="224"/>
        <v/>
      </c>
      <c r="AB480" s="243" t="str">
        <f t="shared" si="217"/>
        <v/>
      </c>
      <c r="AC480" s="141" t="str">
        <f t="shared" si="200"/>
        <v/>
      </c>
      <c r="AD480" s="138" t="str">
        <f t="shared" si="218"/>
        <v/>
      </c>
      <c r="AE480" s="243" t="str">
        <f t="shared" si="201"/>
        <v/>
      </c>
      <c r="AF480" s="342" t="str">
        <f>IF(AM480="Row Not Used","",INDEX(SpaceTable[Annual Hours],(MATCH(B480,SpaceTable[Space Name Concatenated Helper],0))))</f>
        <v/>
      </c>
      <c r="AG480" s="205" t="str">
        <f t="shared" si="202"/>
        <v/>
      </c>
      <c r="AH480" s="234" t="str">
        <f t="shared" si="203"/>
        <v/>
      </c>
      <c r="AI480" s="205" t="str">
        <f t="shared" si="204"/>
        <v/>
      </c>
      <c r="AJ480" s="234" t="str">
        <f t="shared" si="205"/>
        <v/>
      </c>
      <c r="AK480" s="144" t="str">
        <f>IF(AM480="Row Not Used","",INDEX(SpaceTable[Row],(MATCH(B480,SpaceTable[Space Name Concatenated Helper],0))))</f>
        <v/>
      </c>
      <c r="AL480" s="238" t="str">
        <f>IF(AM480="Row Not Used","",INDEX(SpaceTable[HVAC Factor],(MATCH(B480,SpaceTable[Space Name Concatenated Helper],0))))</f>
        <v/>
      </c>
      <c r="AM480" s="520" t="str">
        <f t="shared" si="206"/>
        <v>Row Not Used</v>
      </c>
      <c r="AN480" s="512" t="e" cm="1">
        <f t="array" ref="AN480">INDEX(BallastFactorTable[Ballast Factor],MATCH(1,(BallastFactorTable[Fixture Class]=D480)*(BallastFactorTable[Fixture Category]=E480)*(BallastFactorTable[Fixture Sub-category]=F480),0))</f>
        <v>#N/A</v>
      </c>
      <c r="AO480" s="143" t="str">
        <f t="shared" si="219"/>
        <v/>
      </c>
      <c r="AP480" s="501" t="e" cm="1">
        <f t="array" ref="AP480">INDEX(BallastFactorTable[Wattage Range Name],MATCH(1,(BallastFactorTable[Fixture Class]=D480)*(BallastFactorTable[Fixture Category]=E480)*(BallastFactorTable[Fixture Sub-category]=F480),0))</f>
        <v>#N/A</v>
      </c>
      <c r="AQ480" s="515" t="str">
        <f t="shared" ca="1" si="207"/>
        <v>Okay</v>
      </c>
      <c r="AR480" s="512">
        <f t="shared" si="208"/>
        <v>0</v>
      </c>
      <c r="AS480" s="511" t="str">
        <f>IF(OR(Measures!AM480="Row Not Used",Measures!C480="Controls Only",Measures!C480="Decommissioning"),"",_xlfn.CONCAT(P480," ",Q480))</f>
        <v/>
      </c>
      <c r="AT480" s="264" t="str">
        <f t="shared" si="209"/>
        <v>None</v>
      </c>
      <c r="AU480" s="229">
        <f>IF(OR(AM480="Row Not Used",AM480="Controls Only"),0,INDEX(IncentiveRateTable[Incentive Rate],MATCH(AT480,IncentiveRateTable[Incentive Name],0)))</f>
        <v>0</v>
      </c>
      <c r="AV480" s="133" t="str">
        <f>IF(OR(AM480="Row Not Used",AM480="Controls Only"),"None",INDEX(IncentiveRateTable[Incentive Unit],MATCH(AT480,IncentiveRateTable[Incentive Name],0)))</f>
        <v>None</v>
      </c>
      <c r="AW480" s="578">
        <f t="shared" si="220"/>
        <v>0</v>
      </c>
      <c r="AX480" s="264" t="str">
        <f t="shared" si="210"/>
        <v>None</v>
      </c>
      <c r="AY480" s="229">
        <f>IF(OR(AM480="Row Not Used",AM480="Fixtures Only",AM480="Decommissioning"),0,INDEX(IncentiveRateTable[Incentive Rate],MATCH(AX480,IncentiveRateTable[Incentive Name],0)))</f>
        <v>0</v>
      </c>
      <c r="AZ480" s="133" t="str">
        <f>IF(OR(AM480="Row Not Used",AM480="Fixtures Only",AM480="Decommissioning"),"None",INDEX(IncentiveRateTable[Incentive Unit],MATCH(AX480,IncentiveRateTable[Incentive Name],0)))</f>
        <v>None</v>
      </c>
      <c r="BA480" s="465">
        <f t="shared" si="211"/>
        <v>0</v>
      </c>
      <c r="BB480" s="264" t="e" cm="1">
        <f t="array" ref="BB480">INDEX(BallastFactorTable[Commercial BPA Reference Number],MATCH(1,(BallastFactorTable[Fixture Class]=J480)*(BallastFactorTable[Fixture Category]=K480)*(BallastFactorTable[Fixture Sub-category]=L480),0))</f>
        <v>#N/A</v>
      </c>
      <c r="BC480" s="133" t="e" cm="1">
        <f t="array" ref="BC480">INDEX(BallastFactorTable[Industrial BPA Reference Number],MATCH(1,(BallastFactorTable[Fixture Class]=J480)*(BallastFactorTable[Fixture Category]=K480)*(BallastFactorTable[Fixture Sub-category]=L480),0))</f>
        <v>#N/A</v>
      </c>
      <c r="BD480" s="264" t="str">
        <f t="shared" si="212"/>
        <v>Sector is blank</v>
      </c>
      <c r="BE480" s="269" t="str">
        <f>IF(ISBLANK(SectorField),"Sector is blank",IF(AM480="Row Not Used","",IF(OR(R480="No Controls",ISBLANK(R480)),"",INDEX(ControlsBPARefNoTable[Reference Number],MATCH(SectorField,ControlsBPARefNoTable[Sector],0)))))</f>
        <v>Sector is blank</v>
      </c>
      <c r="BF480" s="530" t="str">
        <f t="shared" si="213"/>
        <v/>
      </c>
      <c r="BG480" s="132" t="str">
        <f t="shared" si="214"/>
        <v/>
      </c>
      <c r="BH480" s="531" t="str">
        <f t="shared" si="215"/>
        <v/>
      </c>
      <c r="BI480" s="532"/>
      <c r="BJ480" s="538" t="str">
        <f t="shared" si="221"/>
        <v/>
      </c>
      <c r="BK480" s="539" t="str">
        <f t="shared" si="222"/>
        <v/>
      </c>
      <c r="BL480" s="547" t="str">
        <f t="shared" si="223"/>
        <v/>
      </c>
    </row>
    <row r="481" spans="1:64" x14ac:dyDescent="0.3">
      <c r="A481" s="133">
        <v>474</v>
      </c>
      <c r="B481" s="294"/>
      <c r="C481" s="313"/>
      <c r="D481" s="292"/>
      <c r="E481" s="284"/>
      <c r="F481" s="284"/>
      <c r="G481" s="295"/>
      <c r="H481" s="296"/>
      <c r="I481" s="297"/>
      <c r="J481" s="292"/>
      <c r="K481" s="284"/>
      <c r="L481" s="284"/>
      <c r="M481" s="295"/>
      <c r="N481" s="296"/>
      <c r="O481" s="296"/>
      <c r="P481" s="284"/>
      <c r="Q481" s="298"/>
      <c r="R481" s="292"/>
      <c r="S481" s="299"/>
      <c r="T481" s="300"/>
      <c r="U481" s="317" t="str">
        <f t="shared" si="197"/>
        <v/>
      </c>
      <c r="V481" s="301"/>
      <c r="W481" s="136" t="str">
        <f t="shared" si="198"/>
        <v/>
      </c>
      <c r="X481" s="588" t="str">
        <f t="shared" si="216"/>
        <v/>
      </c>
      <c r="Y481" s="580"/>
      <c r="Z481" s="251" t="str">
        <f t="shared" si="199"/>
        <v/>
      </c>
      <c r="AA481" s="138" t="str">
        <f t="shared" si="224"/>
        <v/>
      </c>
      <c r="AB481" s="243" t="str">
        <f t="shared" si="217"/>
        <v/>
      </c>
      <c r="AC481" s="141" t="str">
        <f t="shared" si="200"/>
        <v/>
      </c>
      <c r="AD481" s="138" t="str">
        <f t="shared" si="218"/>
        <v/>
      </c>
      <c r="AE481" s="243" t="str">
        <f t="shared" si="201"/>
        <v/>
      </c>
      <c r="AF481" s="342" t="str">
        <f>IF(AM481="Row Not Used","",INDEX(SpaceTable[Annual Hours],(MATCH(B481,SpaceTable[Space Name Concatenated Helper],0))))</f>
        <v/>
      </c>
      <c r="AG481" s="205" t="str">
        <f t="shared" si="202"/>
        <v/>
      </c>
      <c r="AH481" s="234" t="str">
        <f t="shared" si="203"/>
        <v/>
      </c>
      <c r="AI481" s="205" t="str">
        <f t="shared" si="204"/>
        <v/>
      </c>
      <c r="AJ481" s="234" t="str">
        <f t="shared" si="205"/>
        <v/>
      </c>
      <c r="AK481" s="144" t="str">
        <f>IF(AM481="Row Not Used","",INDEX(SpaceTable[Row],(MATCH(B481,SpaceTable[Space Name Concatenated Helper],0))))</f>
        <v/>
      </c>
      <c r="AL481" s="238" t="str">
        <f>IF(AM481="Row Not Used","",INDEX(SpaceTable[HVAC Factor],(MATCH(B481,SpaceTable[Space Name Concatenated Helper],0))))</f>
        <v/>
      </c>
      <c r="AM481" s="520" t="str">
        <f t="shared" si="206"/>
        <v>Row Not Used</v>
      </c>
      <c r="AN481" s="512" t="e" cm="1">
        <f t="array" ref="AN481">INDEX(BallastFactorTable[Ballast Factor],MATCH(1,(BallastFactorTable[Fixture Class]=D481)*(BallastFactorTable[Fixture Category]=E481)*(BallastFactorTable[Fixture Sub-category]=F481),0))</f>
        <v>#N/A</v>
      </c>
      <c r="AO481" s="143" t="str">
        <f t="shared" si="219"/>
        <v/>
      </c>
      <c r="AP481" s="501" t="e" cm="1">
        <f t="array" ref="AP481">INDEX(BallastFactorTable[Wattage Range Name],MATCH(1,(BallastFactorTable[Fixture Class]=D481)*(BallastFactorTable[Fixture Category]=E481)*(BallastFactorTable[Fixture Sub-category]=F481),0))</f>
        <v>#N/A</v>
      </c>
      <c r="AQ481" s="515" t="str">
        <f t="shared" ca="1" si="207"/>
        <v>Okay</v>
      </c>
      <c r="AR481" s="512">
        <f t="shared" si="208"/>
        <v>0</v>
      </c>
      <c r="AS481" s="511" t="str">
        <f>IF(OR(Measures!AM481="Row Not Used",Measures!C481="Controls Only",Measures!C481="Decommissioning"),"",_xlfn.CONCAT(P481," ",Q481))</f>
        <v/>
      </c>
      <c r="AT481" s="264" t="str">
        <f t="shared" si="209"/>
        <v>None</v>
      </c>
      <c r="AU481" s="229">
        <f>IF(OR(AM481="Row Not Used",AM481="Controls Only"),0,INDEX(IncentiveRateTable[Incentive Rate],MATCH(AT481,IncentiveRateTable[Incentive Name],0)))</f>
        <v>0</v>
      </c>
      <c r="AV481" s="133" t="str">
        <f>IF(OR(AM481="Row Not Used",AM481="Controls Only"),"None",INDEX(IncentiveRateTable[Incentive Unit],MATCH(AT481,IncentiveRateTable[Incentive Name],0)))</f>
        <v>None</v>
      </c>
      <c r="AW481" s="578">
        <f t="shared" si="220"/>
        <v>0</v>
      </c>
      <c r="AX481" s="264" t="str">
        <f t="shared" si="210"/>
        <v>None</v>
      </c>
      <c r="AY481" s="229">
        <f>IF(OR(AM481="Row Not Used",AM481="Fixtures Only",AM481="Decommissioning"),0,INDEX(IncentiveRateTable[Incentive Rate],MATCH(AX481,IncentiveRateTable[Incentive Name],0)))</f>
        <v>0</v>
      </c>
      <c r="AZ481" s="133" t="str">
        <f>IF(OR(AM481="Row Not Used",AM481="Fixtures Only",AM481="Decommissioning"),"None",INDEX(IncentiveRateTable[Incentive Unit],MATCH(AX481,IncentiveRateTable[Incentive Name],0)))</f>
        <v>None</v>
      </c>
      <c r="BA481" s="465">
        <f t="shared" si="211"/>
        <v>0</v>
      </c>
      <c r="BB481" s="264" t="e" cm="1">
        <f t="array" ref="BB481">INDEX(BallastFactorTable[Commercial BPA Reference Number],MATCH(1,(BallastFactorTable[Fixture Class]=J481)*(BallastFactorTable[Fixture Category]=K481)*(BallastFactorTable[Fixture Sub-category]=L481),0))</f>
        <v>#N/A</v>
      </c>
      <c r="BC481" s="133" t="e" cm="1">
        <f t="array" ref="BC481">INDEX(BallastFactorTable[Industrial BPA Reference Number],MATCH(1,(BallastFactorTable[Fixture Class]=J481)*(BallastFactorTable[Fixture Category]=K481)*(BallastFactorTable[Fixture Sub-category]=L481),0))</f>
        <v>#N/A</v>
      </c>
      <c r="BD481" s="264" t="str">
        <f t="shared" si="212"/>
        <v>Sector is blank</v>
      </c>
      <c r="BE481" s="269" t="str">
        <f>IF(ISBLANK(SectorField),"Sector is blank",IF(AM481="Row Not Used","",IF(OR(R481="No Controls",ISBLANK(R481)),"",INDEX(ControlsBPARefNoTable[Reference Number],MATCH(SectorField,ControlsBPARefNoTable[Sector],0)))))</f>
        <v>Sector is blank</v>
      </c>
      <c r="BF481" s="530" t="str">
        <f t="shared" si="213"/>
        <v/>
      </c>
      <c r="BG481" s="132" t="str">
        <f t="shared" si="214"/>
        <v/>
      </c>
      <c r="BH481" s="531" t="str">
        <f t="shared" si="215"/>
        <v/>
      </c>
      <c r="BI481" s="532"/>
      <c r="BJ481" s="538" t="str">
        <f t="shared" si="221"/>
        <v/>
      </c>
      <c r="BK481" s="539" t="str">
        <f t="shared" si="222"/>
        <v/>
      </c>
      <c r="BL481" s="547" t="str">
        <f t="shared" si="223"/>
        <v/>
      </c>
    </row>
    <row r="482" spans="1:64" x14ac:dyDescent="0.3">
      <c r="A482" s="133">
        <v>475</v>
      </c>
      <c r="B482" s="294"/>
      <c r="C482" s="313"/>
      <c r="D482" s="292"/>
      <c r="E482" s="284"/>
      <c r="F482" s="284"/>
      <c r="G482" s="295"/>
      <c r="H482" s="296"/>
      <c r="I482" s="297"/>
      <c r="J482" s="292"/>
      <c r="K482" s="284"/>
      <c r="L482" s="284"/>
      <c r="M482" s="295"/>
      <c r="N482" s="296"/>
      <c r="O482" s="296"/>
      <c r="P482" s="284"/>
      <c r="Q482" s="298"/>
      <c r="R482" s="292"/>
      <c r="S482" s="299"/>
      <c r="T482" s="300"/>
      <c r="U482" s="317" t="str">
        <f t="shared" si="197"/>
        <v/>
      </c>
      <c r="V482" s="301"/>
      <c r="W482" s="137" t="str">
        <f t="shared" si="198"/>
        <v/>
      </c>
      <c r="X482" s="589" t="str">
        <f t="shared" si="216"/>
        <v/>
      </c>
      <c r="Y482" s="581"/>
      <c r="Z482" s="251" t="str">
        <f t="shared" si="199"/>
        <v/>
      </c>
      <c r="AA482" s="138" t="str">
        <f t="shared" si="224"/>
        <v/>
      </c>
      <c r="AB482" s="243" t="str">
        <f t="shared" si="217"/>
        <v/>
      </c>
      <c r="AC482" s="141" t="str">
        <f t="shared" si="200"/>
        <v/>
      </c>
      <c r="AD482" s="138" t="str">
        <f t="shared" si="218"/>
        <v/>
      </c>
      <c r="AE482" s="243" t="str">
        <f t="shared" si="201"/>
        <v/>
      </c>
      <c r="AF482" s="342" t="str">
        <f>IF(AM482="Row Not Used","",INDEX(SpaceTable[Annual Hours],(MATCH(B482,SpaceTable[Space Name Concatenated Helper],0))))</f>
        <v/>
      </c>
      <c r="AG482" s="205" t="str">
        <f t="shared" si="202"/>
        <v/>
      </c>
      <c r="AH482" s="234" t="str">
        <f t="shared" si="203"/>
        <v/>
      </c>
      <c r="AI482" s="205" t="str">
        <f t="shared" si="204"/>
        <v/>
      </c>
      <c r="AJ482" s="234" t="str">
        <f t="shared" si="205"/>
        <v/>
      </c>
      <c r="AK482" s="144" t="str">
        <f>IF(AM482="Row Not Used","",INDEX(SpaceTable[Row],(MATCH(B482,SpaceTable[Space Name Concatenated Helper],0))))</f>
        <v/>
      </c>
      <c r="AL482" s="238" t="str">
        <f>IF(AM482="Row Not Used","",INDEX(SpaceTable[HVAC Factor],(MATCH(B482,SpaceTable[Space Name Concatenated Helper],0))))</f>
        <v/>
      </c>
      <c r="AM482" s="520" t="str">
        <f t="shared" si="206"/>
        <v>Row Not Used</v>
      </c>
      <c r="AN482" s="512" t="e" cm="1">
        <f t="array" ref="AN482">INDEX(BallastFactorTable[Ballast Factor],MATCH(1,(BallastFactorTable[Fixture Class]=D482)*(BallastFactorTable[Fixture Category]=E482)*(BallastFactorTable[Fixture Sub-category]=F482),0))</f>
        <v>#N/A</v>
      </c>
      <c r="AO482" s="143" t="str">
        <f t="shared" si="219"/>
        <v/>
      </c>
      <c r="AP482" s="501" t="e" cm="1">
        <f t="array" ref="AP482">INDEX(BallastFactorTable[Wattage Range Name],MATCH(1,(BallastFactorTable[Fixture Class]=D482)*(BallastFactorTable[Fixture Category]=E482)*(BallastFactorTable[Fixture Sub-category]=F482),0))</f>
        <v>#N/A</v>
      </c>
      <c r="AQ482" s="515" t="str">
        <f t="shared" ca="1" si="207"/>
        <v>Okay</v>
      </c>
      <c r="AR482" s="512">
        <f t="shared" si="208"/>
        <v>0</v>
      </c>
      <c r="AS482" s="511" t="str">
        <f>IF(OR(Measures!AM482="Row Not Used",Measures!C482="Controls Only",Measures!C482="Decommissioning"),"",_xlfn.CONCAT(P482," ",Q482))</f>
        <v/>
      </c>
      <c r="AT482" s="264" t="str">
        <f t="shared" si="209"/>
        <v>None</v>
      </c>
      <c r="AU482" s="229">
        <f>IF(OR(AM482="Row Not Used",AM482="Controls Only"),0,INDEX(IncentiveRateTable[Incentive Rate],MATCH(AT482,IncentiveRateTable[Incentive Name],0)))</f>
        <v>0</v>
      </c>
      <c r="AV482" s="133" t="str">
        <f>IF(OR(AM482="Row Not Used",AM482="Controls Only"),"None",INDEX(IncentiveRateTable[Incentive Unit],MATCH(AT482,IncentiveRateTable[Incentive Name],0)))</f>
        <v>None</v>
      </c>
      <c r="AW482" s="578">
        <f t="shared" si="220"/>
        <v>0</v>
      </c>
      <c r="AX482" s="264" t="str">
        <f t="shared" si="210"/>
        <v>None</v>
      </c>
      <c r="AY482" s="229">
        <f>IF(OR(AM482="Row Not Used",AM482="Fixtures Only",AM482="Decommissioning"),0,INDEX(IncentiveRateTable[Incentive Rate],MATCH(AX482,IncentiveRateTable[Incentive Name],0)))</f>
        <v>0</v>
      </c>
      <c r="AZ482" s="133" t="str">
        <f>IF(OR(AM482="Row Not Used",AM482="Fixtures Only",AM482="Decommissioning"),"None",INDEX(IncentiveRateTable[Incentive Unit],MATCH(AX482,IncentiveRateTable[Incentive Name],0)))</f>
        <v>None</v>
      </c>
      <c r="BA482" s="465">
        <f t="shared" si="211"/>
        <v>0</v>
      </c>
      <c r="BB482" s="264" t="e" cm="1">
        <f t="array" ref="BB482">INDEX(BallastFactorTable[Commercial BPA Reference Number],MATCH(1,(BallastFactorTable[Fixture Class]=J482)*(BallastFactorTable[Fixture Category]=K482)*(BallastFactorTable[Fixture Sub-category]=L482),0))</f>
        <v>#N/A</v>
      </c>
      <c r="BC482" s="133" t="e" cm="1">
        <f t="array" ref="BC482">INDEX(BallastFactorTable[Industrial BPA Reference Number],MATCH(1,(BallastFactorTable[Fixture Class]=J482)*(BallastFactorTable[Fixture Category]=K482)*(BallastFactorTable[Fixture Sub-category]=L482),0))</f>
        <v>#N/A</v>
      </c>
      <c r="BD482" s="264" t="str">
        <f t="shared" si="212"/>
        <v>Sector is blank</v>
      </c>
      <c r="BE482" s="269" t="str">
        <f>IF(ISBLANK(SectorField),"Sector is blank",IF(AM482="Row Not Used","",IF(OR(R482="No Controls",ISBLANK(R482)),"",INDEX(ControlsBPARefNoTable[Reference Number],MATCH(SectorField,ControlsBPARefNoTable[Sector],0)))))</f>
        <v>Sector is blank</v>
      </c>
      <c r="BF482" s="530" t="str">
        <f t="shared" si="213"/>
        <v/>
      </c>
      <c r="BG482" s="132" t="str">
        <f t="shared" si="214"/>
        <v/>
      </c>
      <c r="BH482" s="531" t="str">
        <f t="shared" si="215"/>
        <v/>
      </c>
      <c r="BI482" s="532"/>
      <c r="BJ482" s="538" t="str">
        <f t="shared" si="221"/>
        <v/>
      </c>
      <c r="BK482" s="539" t="str">
        <f t="shared" si="222"/>
        <v/>
      </c>
      <c r="BL482" s="547" t="str">
        <f t="shared" si="223"/>
        <v/>
      </c>
    </row>
    <row r="483" spans="1:64" x14ac:dyDescent="0.3">
      <c r="A483" s="133">
        <v>476</v>
      </c>
      <c r="B483" s="294"/>
      <c r="C483" s="313"/>
      <c r="D483" s="292"/>
      <c r="E483" s="284"/>
      <c r="F483" s="284"/>
      <c r="G483" s="295"/>
      <c r="H483" s="296"/>
      <c r="I483" s="297"/>
      <c r="J483" s="292"/>
      <c r="K483" s="284"/>
      <c r="L483" s="284"/>
      <c r="M483" s="295"/>
      <c r="N483" s="296"/>
      <c r="O483" s="296"/>
      <c r="P483" s="284"/>
      <c r="Q483" s="298"/>
      <c r="R483" s="292"/>
      <c r="S483" s="299"/>
      <c r="T483" s="300"/>
      <c r="U483" s="317" t="str">
        <f t="shared" si="197"/>
        <v/>
      </c>
      <c r="V483" s="301"/>
      <c r="W483" s="136" t="str">
        <f t="shared" si="198"/>
        <v/>
      </c>
      <c r="X483" s="588" t="str">
        <f t="shared" si="216"/>
        <v/>
      </c>
      <c r="Y483" s="580"/>
      <c r="Z483" s="251" t="str">
        <f t="shared" si="199"/>
        <v/>
      </c>
      <c r="AA483" s="138" t="str">
        <f t="shared" si="224"/>
        <v/>
      </c>
      <c r="AB483" s="243" t="str">
        <f t="shared" si="217"/>
        <v/>
      </c>
      <c r="AC483" s="141" t="str">
        <f t="shared" si="200"/>
        <v/>
      </c>
      <c r="AD483" s="138" t="str">
        <f t="shared" si="218"/>
        <v/>
      </c>
      <c r="AE483" s="243" t="str">
        <f t="shared" si="201"/>
        <v/>
      </c>
      <c r="AF483" s="342" t="str">
        <f>IF(AM483="Row Not Used","",INDEX(SpaceTable[Annual Hours],(MATCH(B483,SpaceTable[Space Name Concatenated Helper],0))))</f>
        <v/>
      </c>
      <c r="AG483" s="205" t="str">
        <f t="shared" si="202"/>
        <v/>
      </c>
      <c r="AH483" s="234" t="str">
        <f t="shared" si="203"/>
        <v/>
      </c>
      <c r="AI483" s="205" t="str">
        <f t="shared" si="204"/>
        <v/>
      </c>
      <c r="AJ483" s="234" t="str">
        <f t="shared" si="205"/>
        <v/>
      </c>
      <c r="AK483" s="144" t="str">
        <f>IF(AM483="Row Not Used","",INDEX(SpaceTable[Row],(MATCH(B483,SpaceTable[Space Name Concatenated Helper],0))))</f>
        <v/>
      </c>
      <c r="AL483" s="238" t="str">
        <f>IF(AM483="Row Not Used","",INDEX(SpaceTable[HVAC Factor],(MATCH(B483,SpaceTable[Space Name Concatenated Helper],0))))</f>
        <v/>
      </c>
      <c r="AM483" s="520" t="str">
        <f t="shared" si="206"/>
        <v>Row Not Used</v>
      </c>
      <c r="AN483" s="512" t="e" cm="1">
        <f t="array" ref="AN483">INDEX(BallastFactorTable[Ballast Factor],MATCH(1,(BallastFactorTable[Fixture Class]=D483)*(BallastFactorTable[Fixture Category]=E483)*(BallastFactorTable[Fixture Sub-category]=F483),0))</f>
        <v>#N/A</v>
      </c>
      <c r="AO483" s="143" t="str">
        <f t="shared" si="219"/>
        <v/>
      </c>
      <c r="AP483" s="501" t="e" cm="1">
        <f t="array" ref="AP483">INDEX(BallastFactorTable[Wattage Range Name],MATCH(1,(BallastFactorTable[Fixture Class]=D483)*(BallastFactorTable[Fixture Category]=E483)*(BallastFactorTable[Fixture Sub-category]=F483),0))</f>
        <v>#N/A</v>
      </c>
      <c r="AQ483" s="515" t="str">
        <f t="shared" ca="1" si="207"/>
        <v>Okay</v>
      </c>
      <c r="AR483" s="512">
        <f t="shared" si="208"/>
        <v>0</v>
      </c>
      <c r="AS483" s="511" t="str">
        <f>IF(OR(Measures!AM483="Row Not Used",Measures!C483="Controls Only",Measures!C483="Decommissioning"),"",_xlfn.CONCAT(P483," ",Q483))</f>
        <v/>
      </c>
      <c r="AT483" s="264" t="str">
        <f t="shared" si="209"/>
        <v>None</v>
      </c>
      <c r="AU483" s="229">
        <f>IF(OR(AM483="Row Not Used",AM483="Controls Only"),0,INDEX(IncentiveRateTable[Incentive Rate],MATCH(AT483,IncentiveRateTable[Incentive Name],0)))</f>
        <v>0</v>
      </c>
      <c r="AV483" s="133" t="str">
        <f>IF(OR(AM483="Row Not Used",AM483="Controls Only"),"None",INDEX(IncentiveRateTable[Incentive Unit],MATCH(AT483,IncentiveRateTable[Incentive Name],0)))</f>
        <v>None</v>
      </c>
      <c r="AW483" s="578">
        <f t="shared" si="220"/>
        <v>0</v>
      </c>
      <c r="AX483" s="264" t="str">
        <f t="shared" si="210"/>
        <v>None</v>
      </c>
      <c r="AY483" s="229">
        <f>IF(OR(AM483="Row Not Used",AM483="Fixtures Only",AM483="Decommissioning"),0,INDEX(IncentiveRateTable[Incentive Rate],MATCH(AX483,IncentiveRateTable[Incentive Name],0)))</f>
        <v>0</v>
      </c>
      <c r="AZ483" s="133" t="str">
        <f>IF(OR(AM483="Row Not Used",AM483="Fixtures Only",AM483="Decommissioning"),"None",INDEX(IncentiveRateTable[Incentive Unit],MATCH(AX483,IncentiveRateTable[Incentive Name],0)))</f>
        <v>None</v>
      </c>
      <c r="BA483" s="465">
        <f t="shared" si="211"/>
        <v>0</v>
      </c>
      <c r="BB483" s="264" t="e" cm="1">
        <f t="array" ref="BB483">INDEX(BallastFactorTable[Commercial BPA Reference Number],MATCH(1,(BallastFactorTable[Fixture Class]=J483)*(BallastFactorTable[Fixture Category]=K483)*(BallastFactorTable[Fixture Sub-category]=L483),0))</f>
        <v>#N/A</v>
      </c>
      <c r="BC483" s="133" t="e" cm="1">
        <f t="array" ref="BC483">INDEX(BallastFactorTable[Industrial BPA Reference Number],MATCH(1,(BallastFactorTable[Fixture Class]=J483)*(BallastFactorTable[Fixture Category]=K483)*(BallastFactorTable[Fixture Sub-category]=L483),0))</f>
        <v>#N/A</v>
      </c>
      <c r="BD483" s="264" t="str">
        <f t="shared" si="212"/>
        <v>Sector is blank</v>
      </c>
      <c r="BE483" s="269" t="str">
        <f>IF(ISBLANK(SectorField),"Sector is blank",IF(AM483="Row Not Used","",IF(OR(R483="No Controls",ISBLANK(R483)),"",INDEX(ControlsBPARefNoTable[Reference Number],MATCH(SectorField,ControlsBPARefNoTable[Sector],0)))))</f>
        <v>Sector is blank</v>
      </c>
      <c r="BF483" s="530" t="str">
        <f t="shared" si="213"/>
        <v/>
      </c>
      <c r="BG483" s="132" t="str">
        <f t="shared" si="214"/>
        <v/>
      </c>
      <c r="BH483" s="531" t="str">
        <f t="shared" si="215"/>
        <v/>
      </c>
      <c r="BI483" s="532"/>
      <c r="BJ483" s="538" t="str">
        <f t="shared" si="221"/>
        <v/>
      </c>
      <c r="BK483" s="539" t="str">
        <f t="shared" si="222"/>
        <v/>
      </c>
      <c r="BL483" s="547" t="str">
        <f t="shared" si="223"/>
        <v/>
      </c>
    </row>
    <row r="484" spans="1:64" x14ac:dyDescent="0.3">
      <c r="A484" s="133">
        <v>477</v>
      </c>
      <c r="B484" s="294"/>
      <c r="C484" s="313"/>
      <c r="D484" s="292"/>
      <c r="E484" s="284"/>
      <c r="F484" s="284"/>
      <c r="G484" s="295"/>
      <c r="H484" s="296"/>
      <c r="I484" s="297"/>
      <c r="J484" s="292"/>
      <c r="K484" s="284"/>
      <c r="L484" s="284"/>
      <c r="M484" s="295"/>
      <c r="N484" s="296"/>
      <c r="O484" s="296"/>
      <c r="P484" s="284"/>
      <c r="Q484" s="298"/>
      <c r="R484" s="292"/>
      <c r="S484" s="299"/>
      <c r="T484" s="300"/>
      <c r="U484" s="317" t="str">
        <f t="shared" si="197"/>
        <v/>
      </c>
      <c r="V484" s="301"/>
      <c r="W484" s="137" t="str">
        <f t="shared" si="198"/>
        <v/>
      </c>
      <c r="X484" s="589" t="str">
        <f t="shared" si="216"/>
        <v/>
      </c>
      <c r="Y484" s="581"/>
      <c r="Z484" s="251" t="str">
        <f t="shared" si="199"/>
        <v/>
      </c>
      <c r="AA484" s="138" t="str">
        <f t="shared" si="224"/>
        <v/>
      </c>
      <c r="AB484" s="243" t="str">
        <f t="shared" si="217"/>
        <v/>
      </c>
      <c r="AC484" s="141" t="str">
        <f t="shared" si="200"/>
        <v/>
      </c>
      <c r="AD484" s="138" t="str">
        <f t="shared" si="218"/>
        <v/>
      </c>
      <c r="AE484" s="243" t="str">
        <f t="shared" si="201"/>
        <v/>
      </c>
      <c r="AF484" s="342" t="str">
        <f>IF(AM484="Row Not Used","",INDEX(SpaceTable[Annual Hours],(MATCH(B484,SpaceTable[Space Name Concatenated Helper],0))))</f>
        <v/>
      </c>
      <c r="AG484" s="205" t="str">
        <f t="shared" si="202"/>
        <v/>
      </c>
      <c r="AH484" s="234" t="str">
        <f t="shared" si="203"/>
        <v/>
      </c>
      <c r="AI484" s="205" t="str">
        <f t="shared" si="204"/>
        <v/>
      </c>
      <c r="AJ484" s="234" t="str">
        <f t="shared" si="205"/>
        <v/>
      </c>
      <c r="AK484" s="144" t="str">
        <f>IF(AM484="Row Not Used","",INDEX(SpaceTable[Row],(MATCH(B484,SpaceTable[Space Name Concatenated Helper],0))))</f>
        <v/>
      </c>
      <c r="AL484" s="238" t="str">
        <f>IF(AM484="Row Not Used","",INDEX(SpaceTable[HVAC Factor],(MATCH(B484,SpaceTable[Space Name Concatenated Helper],0))))</f>
        <v/>
      </c>
      <c r="AM484" s="520" t="str">
        <f t="shared" si="206"/>
        <v>Row Not Used</v>
      </c>
      <c r="AN484" s="512" t="e" cm="1">
        <f t="array" ref="AN484">INDEX(BallastFactorTable[Ballast Factor],MATCH(1,(BallastFactorTable[Fixture Class]=D484)*(BallastFactorTable[Fixture Category]=E484)*(BallastFactorTable[Fixture Sub-category]=F484),0))</f>
        <v>#N/A</v>
      </c>
      <c r="AO484" s="143" t="str">
        <f t="shared" si="219"/>
        <v/>
      </c>
      <c r="AP484" s="501" t="e" cm="1">
        <f t="array" ref="AP484">INDEX(BallastFactorTable[Wattage Range Name],MATCH(1,(BallastFactorTable[Fixture Class]=D484)*(BallastFactorTable[Fixture Category]=E484)*(BallastFactorTable[Fixture Sub-category]=F484),0))</f>
        <v>#N/A</v>
      </c>
      <c r="AQ484" s="515" t="str">
        <f t="shared" ca="1" si="207"/>
        <v>Okay</v>
      </c>
      <c r="AR484" s="512">
        <f t="shared" si="208"/>
        <v>0</v>
      </c>
      <c r="AS484" s="511" t="str">
        <f>IF(OR(Measures!AM484="Row Not Used",Measures!C484="Controls Only",Measures!C484="Decommissioning"),"",_xlfn.CONCAT(P484," ",Q484))</f>
        <v/>
      </c>
      <c r="AT484" s="264" t="str">
        <f t="shared" si="209"/>
        <v>None</v>
      </c>
      <c r="AU484" s="229">
        <f>IF(OR(AM484="Row Not Used",AM484="Controls Only"),0,INDEX(IncentiveRateTable[Incentive Rate],MATCH(AT484,IncentiveRateTable[Incentive Name],0)))</f>
        <v>0</v>
      </c>
      <c r="AV484" s="133" t="str">
        <f>IF(OR(AM484="Row Not Used",AM484="Controls Only"),"None",INDEX(IncentiveRateTable[Incentive Unit],MATCH(AT484,IncentiveRateTable[Incentive Name],0)))</f>
        <v>None</v>
      </c>
      <c r="AW484" s="578">
        <f t="shared" si="220"/>
        <v>0</v>
      </c>
      <c r="AX484" s="264" t="str">
        <f t="shared" si="210"/>
        <v>None</v>
      </c>
      <c r="AY484" s="229">
        <f>IF(OR(AM484="Row Not Used",AM484="Fixtures Only",AM484="Decommissioning"),0,INDEX(IncentiveRateTable[Incentive Rate],MATCH(AX484,IncentiveRateTable[Incentive Name],0)))</f>
        <v>0</v>
      </c>
      <c r="AZ484" s="133" t="str">
        <f>IF(OR(AM484="Row Not Used",AM484="Fixtures Only",AM484="Decommissioning"),"None",INDEX(IncentiveRateTable[Incentive Unit],MATCH(AX484,IncentiveRateTable[Incentive Name],0)))</f>
        <v>None</v>
      </c>
      <c r="BA484" s="465">
        <f t="shared" si="211"/>
        <v>0</v>
      </c>
      <c r="BB484" s="264" t="e" cm="1">
        <f t="array" ref="BB484">INDEX(BallastFactorTable[Commercial BPA Reference Number],MATCH(1,(BallastFactorTable[Fixture Class]=J484)*(BallastFactorTable[Fixture Category]=K484)*(BallastFactorTable[Fixture Sub-category]=L484),0))</f>
        <v>#N/A</v>
      </c>
      <c r="BC484" s="133" t="e" cm="1">
        <f t="array" ref="BC484">INDEX(BallastFactorTable[Industrial BPA Reference Number],MATCH(1,(BallastFactorTable[Fixture Class]=J484)*(BallastFactorTable[Fixture Category]=K484)*(BallastFactorTable[Fixture Sub-category]=L484),0))</f>
        <v>#N/A</v>
      </c>
      <c r="BD484" s="264" t="str">
        <f t="shared" si="212"/>
        <v>Sector is blank</v>
      </c>
      <c r="BE484" s="269" t="str">
        <f>IF(ISBLANK(SectorField),"Sector is blank",IF(AM484="Row Not Used","",IF(OR(R484="No Controls",ISBLANK(R484)),"",INDEX(ControlsBPARefNoTable[Reference Number],MATCH(SectorField,ControlsBPARefNoTable[Sector],0)))))</f>
        <v>Sector is blank</v>
      </c>
      <c r="BF484" s="530" t="str">
        <f t="shared" si="213"/>
        <v/>
      </c>
      <c r="BG484" s="132" t="str">
        <f t="shared" si="214"/>
        <v/>
      </c>
      <c r="BH484" s="531" t="str">
        <f t="shared" si="215"/>
        <v/>
      </c>
      <c r="BI484" s="532"/>
      <c r="BJ484" s="538" t="str">
        <f t="shared" si="221"/>
        <v/>
      </c>
      <c r="BK484" s="539" t="str">
        <f t="shared" si="222"/>
        <v/>
      </c>
      <c r="BL484" s="547" t="str">
        <f t="shared" si="223"/>
        <v/>
      </c>
    </row>
    <row r="485" spans="1:64" x14ac:dyDescent="0.3">
      <c r="A485" s="133">
        <v>478</v>
      </c>
      <c r="B485" s="294"/>
      <c r="C485" s="313"/>
      <c r="D485" s="292"/>
      <c r="E485" s="284"/>
      <c r="F485" s="284"/>
      <c r="G485" s="295"/>
      <c r="H485" s="296"/>
      <c r="I485" s="297"/>
      <c r="J485" s="292"/>
      <c r="K485" s="284"/>
      <c r="L485" s="284"/>
      <c r="M485" s="295"/>
      <c r="N485" s="296"/>
      <c r="O485" s="296"/>
      <c r="P485" s="284"/>
      <c r="Q485" s="298"/>
      <c r="R485" s="292"/>
      <c r="S485" s="299"/>
      <c r="T485" s="300"/>
      <c r="U485" s="317" t="str">
        <f t="shared" si="197"/>
        <v/>
      </c>
      <c r="V485" s="301"/>
      <c r="W485" s="136" t="str">
        <f t="shared" si="198"/>
        <v/>
      </c>
      <c r="X485" s="588" t="str">
        <f t="shared" si="216"/>
        <v/>
      </c>
      <c r="Y485" s="580"/>
      <c r="Z485" s="251" t="str">
        <f t="shared" si="199"/>
        <v/>
      </c>
      <c r="AA485" s="138" t="str">
        <f t="shared" si="224"/>
        <v/>
      </c>
      <c r="AB485" s="243" t="str">
        <f t="shared" si="217"/>
        <v/>
      </c>
      <c r="AC485" s="141" t="str">
        <f t="shared" si="200"/>
        <v/>
      </c>
      <c r="AD485" s="138" t="str">
        <f t="shared" si="218"/>
        <v/>
      </c>
      <c r="AE485" s="243" t="str">
        <f t="shared" si="201"/>
        <v/>
      </c>
      <c r="AF485" s="342" t="str">
        <f>IF(AM485="Row Not Used","",INDEX(SpaceTable[Annual Hours],(MATCH(B485,SpaceTable[Space Name Concatenated Helper],0))))</f>
        <v/>
      </c>
      <c r="AG485" s="205" t="str">
        <f t="shared" si="202"/>
        <v/>
      </c>
      <c r="AH485" s="234" t="str">
        <f t="shared" si="203"/>
        <v/>
      </c>
      <c r="AI485" s="205" t="str">
        <f t="shared" si="204"/>
        <v/>
      </c>
      <c r="AJ485" s="234" t="str">
        <f t="shared" si="205"/>
        <v/>
      </c>
      <c r="AK485" s="144" t="str">
        <f>IF(AM485="Row Not Used","",INDEX(SpaceTable[Row],(MATCH(B485,SpaceTable[Space Name Concatenated Helper],0))))</f>
        <v/>
      </c>
      <c r="AL485" s="238" t="str">
        <f>IF(AM485="Row Not Used","",INDEX(SpaceTable[HVAC Factor],(MATCH(B485,SpaceTable[Space Name Concatenated Helper],0))))</f>
        <v/>
      </c>
      <c r="AM485" s="520" t="str">
        <f t="shared" si="206"/>
        <v>Row Not Used</v>
      </c>
      <c r="AN485" s="512" t="e" cm="1">
        <f t="array" ref="AN485">INDEX(BallastFactorTable[Ballast Factor],MATCH(1,(BallastFactorTable[Fixture Class]=D485)*(BallastFactorTable[Fixture Category]=E485)*(BallastFactorTable[Fixture Sub-category]=F485),0))</f>
        <v>#N/A</v>
      </c>
      <c r="AO485" s="143" t="str">
        <f t="shared" si="219"/>
        <v/>
      </c>
      <c r="AP485" s="501" t="e" cm="1">
        <f t="array" ref="AP485">INDEX(BallastFactorTable[Wattage Range Name],MATCH(1,(BallastFactorTable[Fixture Class]=D485)*(BallastFactorTable[Fixture Category]=E485)*(BallastFactorTable[Fixture Sub-category]=F485),0))</f>
        <v>#N/A</v>
      </c>
      <c r="AQ485" s="515" t="str">
        <f t="shared" ca="1" si="207"/>
        <v>Okay</v>
      </c>
      <c r="AR485" s="512">
        <f t="shared" si="208"/>
        <v>0</v>
      </c>
      <c r="AS485" s="511" t="str">
        <f>IF(OR(Measures!AM485="Row Not Used",Measures!C485="Controls Only",Measures!C485="Decommissioning"),"",_xlfn.CONCAT(P485," ",Q485))</f>
        <v/>
      </c>
      <c r="AT485" s="264" t="str">
        <f t="shared" si="209"/>
        <v>None</v>
      </c>
      <c r="AU485" s="229">
        <f>IF(OR(AM485="Row Not Used",AM485="Controls Only"),0,INDEX(IncentiveRateTable[Incentive Rate],MATCH(AT485,IncentiveRateTable[Incentive Name],0)))</f>
        <v>0</v>
      </c>
      <c r="AV485" s="133" t="str">
        <f>IF(OR(AM485="Row Not Used",AM485="Controls Only"),"None",INDEX(IncentiveRateTable[Incentive Unit],MATCH(AT485,IncentiveRateTable[Incentive Name],0)))</f>
        <v>None</v>
      </c>
      <c r="AW485" s="578">
        <f t="shared" si="220"/>
        <v>0</v>
      </c>
      <c r="AX485" s="264" t="str">
        <f t="shared" si="210"/>
        <v>None</v>
      </c>
      <c r="AY485" s="229">
        <f>IF(OR(AM485="Row Not Used",AM485="Fixtures Only",AM485="Decommissioning"),0,INDEX(IncentiveRateTable[Incentive Rate],MATCH(AX485,IncentiveRateTable[Incentive Name],0)))</f>
        <v>0</v>
      </c>
      <c r="AZ485" s="133" t="str">
        <f>IF(OR(AM485="Row Not Used",AM485="Fixtures Only",AM485="Decommissioning"),"None",INDEX(IncentiveRateTable[Incentive Unit],MATCH(AX485,IncentiveRateTable[Incentive Name],0)))</f>
        <v>None</v>
      </c>
      <c r="BA485" s="465">
        <f t="shared" si="211"/>
        <v>0</v>
      </c>
      <c r="BB485" s="264" t="e" cm="1">
        <f t="array" ref="BB485">INDEX(BallastFactorTable[Commercial BPA Reference Number],MATCH(1,(BallastFactorTable[Fixture Class]=J485)*(BallastFactorTable[Fixture Category]=K485)*(BallastFactorTable[Fixture Sub-category]=L485),0))</f>
        <v>#N/A</v>
      </c>
      <c r="BC485" s="133" t="e" cm="1">
        <f t="array" ref="BC485">INDEX(BallastFactorTable[Industrial BPA Reference Number],MATCH(1,(BallastFactorTable[Fixture Class]=J485)*(BallastFactorTable[Fixture Category]=K485)*(BallastFactorTable[Fixture Sub-category]=L485),0))</f>
        <v>#N/A</v>
      </c>
      <c r="BD485" s="264" t="str">
        <f t="shared" si="212"/>
        <v>Sector is blank</v>
      </c>
      <c r="BE485" s="269" t="str">
        <f>IF(ISBLANK(SectorField),"Sector is blank",IF(AM485="Row Not Used","",IF(OR(R485="No Controls",ISBLANK(R485)),"",INDEX(ControlsBPARefNoTable[Reference Number],MATCH(SectorField,ControlsBPARefNoTable[Sector],0)))))</f>
        <v>Sector is blank</v>
      </c>
      <c r="BF485" s="530" t="str">
        <f t="shared" si="213"/>
        <v/>
      </c>
      <c r="BG485" s="132" t="str">
        <f t="shared" si="214"/>
        <v/>
      </c>
      <c r="BH485" s="531" t="str">
        <f t="shared" si="215"/>
        <v/>
      </c>
      <c r="BI485" s="532"/>
      <c r="BJ485" s="538" t="str">
        <f t="shared" si="221"/>
        <v/>
      </c>
      <c r="BK485" s="539" t="str">
        <f t="shared" si="222"/>
        <v/>
      </c>
      <c r="BL485" s="547" t="str">
        <f t="shared" si="223"/>
        <v/>
      </c>
    </row>
    <row r="486" spans="1:64" x14ac:dyDescent="0.3">
      <c r="A486" s="133">
        <v>479</v>
      </c>
      <c r="B486" s="294"/>
      <c r="C486" s="313"/>
      <c r="D486" s="292"/>
      <c r="E486" s="284"/>
      <c r="F486" s="284"/>
      <c r="G486" s="295"/>
      <c r="H486" s="296"/>
      <c r="I486" s="297"/>
      <c r="J486" s="292"/>
      <c r="K486" s="284"/>
      <c r="L486" s="284"/>
      <c r="M486" s="295"/>
      <c r="N486" s="296"/>
      <c r="O486" s="296"/>
      <c r="P486" s="284"/>
      <c r="Q486" s="298"/>
      <c r="R486" s="292"/>
      <c r="S486" s="299"/>
      <c r="T486" s="300"/>
      <c r="U486" s="317" t="str">
        <f t="shared" si="197"/>
        <v/>
      </c>
      <c r="V486" s="301"/>
      <c r="W486" s="137" t="str">
        <f t="shared" si="198"/>
        <v/>
      </c>
      <c r="X486" s="589" t="str">
        <f t="shared" si="216"/>
        <v/>
      </c>
      <c r="Y486" s="581"/>
      <c r="Z486" s="251" t="str">
        <f t="shared" si="199"/>
        <v/>
      </c>
      <c r="AA486" s="138" t="str">
        <f t="shared" si="224"/>
        <v/>
      </c>
      <c r="AB486" s="243" t="str">
        <f t="shared" si="217"/>
        <v/>
      </c>
      <c r="AC486" s="141" t="str">
        <f t="shared" si="200"/>
        <v/>
      </c>
      <c r="AD486" s="138" t="str">
        <f t="shared" si="218"/>
        <v/>
      </c>
      <c r="AE486" s="243" t="str">
        <f t="shared" si="201"/>
        <v/>
      </c>
      <c r="AF486" s="342" t="str">
        <f>IF(AM486="Row Not Used","",INDEX(SpaceTable[Annual Hours],(MATCH(B486,SpaceTable[Space Name Concatenated Helper],0))))</f>
        <v/>
      </c>
      <c r="AG486" s="205" t="str">
        <f t="shared" si="202"/>
        <v/>
      </c>
      <c r="AH486" s="234" t="str">
        <f t="shared" si="203"/>
        <v/>
      </c>
      <c r="AI486" s="205" t="str">
        <f t="shared" si="204"/>
        <v/>
      </c>
      <c r="AJ486" s="234" t="str">
        <f t="shared" si="205"/>
        <v/>
      </c>
      <c r="AK486" s="144" t="str">
        <f>IF(AM486="Row Not Used","",INDEX(SpaceTable[Row],(MATCH(B486,SpaceTable[Space Name Concatenated Helper],0))))</f>
        <v/>
      </c>
      <c r="AL486" s="238" t="str">
        <f>IF(AM486="Row Not Used","",INDEX(SpaceTable[HVAC Factor],(MATCH(B486,SpaceTable[Space Name Concatenated Helper],0))))</f>
        <v/>
      </c>
      <c r="AM486" s="520" t="str">
        <f t="shared" si="206"/>
        <v>Row Not Used</v>
      </c>
      <c r="AN486" s="512" t="e" cm="1">
        <f t="array" ref="AN486">INDEX(BallastFactorTable[Ballast Factor],MATCH(1,(BallastFactorTable[Fixture Class]=D486)*(BallastFactorTable[Fixture Category]=E486)*(BallastFactorTable[Fixture Sub-category]=F486),0))</f>
        <v>#N/A</v>
      </c>
      <c r="AO486" s="143" t="str">
        <f t="shared" si="219"/>
        <v/>
      </c>
      <c r="AP486" s="501" t="e" cm="1">
        <f t="array" ref="AP486">INDEX(BallastFactorTable[Wattage Range Name],MATCH(1,(BallastFactorTable[Fixture Class]=D486)*(BallastFactorTable[Fixture Category]=E486)*(BallastFactorTable[Fixture Sub-category]=F486),0))</f>
        <v>#N/A</v>
      </c>
      <c r="AQ486" s="515" t="str">
        <f t="shared" ca="1" si="207"/>
        <v>Okay</v>
      </c>
      <c r="AR486" s="512">
        <f t="shared" si="208"/>
        <v>0</v>
      </c>
      <c r="AS486" s="511" t="str">
        <f>IF(OR(Measures!AM486="Row Not Used",Measures!C486="Controls Only",Measures!C486="Decommissioning"),"",_xlfn.CONCAT(P486," ",Q486))</f>
        <v/>
      </c>
      <c r="AT486" s="264" t="str">
        <f t="shared" si="209"/>
        <v>None</v>
      </c>
      <c r="AU486" s="229">
        <f>IF(OR(AM486="Row Not Used",AM486="Controls Only"),0,INDEX(IncentiveRateTable[Incentive Rate],MATCH(AT486,IncentiveRateTable[Incentive Name],0)))</f>
        <v>0</v>
      </c>
      <c r="AV486" s="133" t="str">
        <f>IF(OR(AM486="Row Not Used",AM486="Controls Only"),"None",INDEX(IncentiveRateTable[Incentive Unit],MATCH(AT486,IncentiveRateTable[Incentive Name],0)))</f>
        <v>None</v>
      </c>
      <c r="AW486" s="578">
        <f t="shared" si="220"/>
        <v>0</v>
      </c>
      <c r="AX486" s="264" t="str">
        <f t="shared" si="210"/>
        <v>None</v>
      </c>
      <c r="AY486" s="229">
        <f>IF(OR(AM486="Row Not Used",AM486="Fixtures Only",AM486="Decommissioning"),0,INDEX(IncentiveRateTable[Incentive Rate],MATCH(AX486,IncentiveRateTable[Incentive Name],0)))</f>
        <v>0</v>
      </c>
      <c r="AZ486" s="133" t="str">
        <f>IF(OR(AM486="Row Not Used",AM486="Fixtures Only",AM486="Decommissioning"),"None",INDEX(IncentiveRateTable[Incentive Unit],MATCH(AX486,IncentiveRateTable[Incentive Name],0)))</f>
        <v>None</v>
      </c>
      <c r="BA486" s="465">
        <f t="shared" si="211"/>
        <v>0</v>
      </c>
      <c r="BB486" s="264" t="e" cm="1">
        <f t="array" ref="BB486">INDEX(BallastFactorTable[Commercial BPA Reference Number],MATCH(1,(BallastFactorTable[Fixture Class]=J486)*(BallastFactorTable[Fixture Category]=K486)*(BallastFactorTable[Fixture Sub-category]=L486),0))</f>
        <v>#N/A</v>
      </c>
      <c r="BC486" s="133" t="e" cm="1">
        <f t="array" ref="BC486">INDEX(BallastFactorTable[Industrial BPA Reference Number],MATCH(1,(BallastFactorTable[Fixture Class]=J486)*(BallastFactorTable[Fixture Category]=K486)*(BallastFactorTable[Fixture Sub-category]=L486),0))</f>
        <v>#N/A</v>
      </c>
      <c r="BD486" s="264" t="str">
        <f t="shared" si="212"/>
        <v>Sector is blank</v>
      </c>
      <c r="BE486" s="269" t="str">
        <f>IF(ISBLANK(SectorField),"Sector is blank",IF(AM486="Row Not Used","",IF(OR(R486="No Controls",ISBLANK(R486)),"",INDEX(ControlsBPARefNoTable[Reference Number],MATCH(SectorField,ControlsBPARefNoTable[Sector],0)))))</f>
        <v>Sector is blank</v>
      </c>
      <c r="BF486" s="530" t="str">
        <f t="shared" si="213"/>
        <v/>
      </c>
      <c r="BG486" s="132" t="str">
        <f t="shared" si="214"/>
        <v/>
      </c>
      <c r="BH486" s="531" t="str">
        <f t="shared" si="215"/>
        <v/>
      </c>
      <c r="BI486" s="532"/>
      <c r="BJ486" s="538" t="str">
        <f t="shared" si="221"/>
        <v/>
      </c>
      <c r="BK486" s="539" t="str">
        <f t="shared" si="222"/>
        <v/>
      </c>
      <c r="BL486" s="547" t="str">
        <f t="shared" si="223"/>
        <v/>
      </c>
    </row>
    <row r="487" spans="1:64" x14ac:dyDescent="0.3">
      <c r="A487" s="133">
        <v>480</v>
      </c>
      <c r="B487" s="294"/>
      <c r="C487" s="313"/>
      <c r="D487" s="292"/>
      <c r="E487" s="284"/>
      <c r="F487" s="284"/>
      <c r="G487" s="295"/>
      <c r="H487" s="296"/>
      <c r="I487" s="297"/>
      <c r="J487" s="292"/>
      <c r="K487" s="284"/>
      <c r="L487" s="284"/>
      <c r="M487" s="295"/>
      <c r="N487" s="296"/>
      <c r="O487" s="296"/>
      <c r="P487" s="284"/>
      <c r="Q487" s="298"/>
      <c r="R487" s="292"/>
      <c r="S487" s="299"/>
      <c r="T487" s="300"/>
      <c r="U487" s="317" t="str">
        <f t="shared" si="197"/>
        <v/>
      </c>
      <c r="V487" s="301"/>
      <c r="W487" s="136" t="str">
        <f t="shared" si="198"/>
        <v/>
      </c>
      <c r="X487" s="588" t="str">
        <f t="shared" si="216"/>
        <v/>
      </c>
      <c r="Y487" s="580"/>
      <c r="Z487" s="251" t="str">
        <f t="shared" si="199"/>
        <v/>
      </c>
      <c r="AA487" s="138" t="str">
        <f t="shared" si="224"/>
        <v/>
      </c>
      <c r="AB487" s="243" t="str">
        <f t="shared" si="217"/>
        <v/>
      </c>
      <c r="AC487" s="141" t="str">
        <f t="shared" si="200"/>
        <v/>
      </c>
      <c r="AD487" s="138" t="str">
        <f t="shared" si="218"/>
        <v/>
      </c>
      <c r="AE487" s="243" t="str">
        <f t="shared" si="201"/>
        <v/>
      </c>
      <c r="AF487" s="342" t="str">
        <f>IF(AM487="Row Not Used","",INDEX(SpaceTable[Annual Hours],(MATCH(B487,SpaceTable[Space Name Concatenated Helper],0))))</f>
        <v/>
      </c>
      <c r="AG487" s="205" t="str">
        <f t="shared" si="202"/>
        <v/>
      </c>
      <c r="AH487" s="234" t="str">
        <f t="shared" si="203"/>
        <v/>
      </c>
      <c r="AI487" s="205" t="str">
        <f t="shared" si="204"/>
        <v/>
      </c>
      <c r="AJ487" s="234" t="str">
        <f t="shared" si="205"/>
        <v/>
      </c>
      <c r="AK487" s="144" t="str">
        <f>IF(AM487="Row Not Used","",INDEX(SpaceTable[Row],(MATCH(B487,SpaceTable[Space Name Concatenated Helper],0))))</f>
        <v/>
      </c>
      <c r="AL487" s="238" t="str">
        <f>IF(AM487="Row Not Used","",INDEX(SpaceTable[HVAC Factor],(MATCH(B487,SpaceTable[Space Name Concatenated Helper],0))))</f>
        <v/>
      </c>
      <c r="AM487" s="520" t="str">
        <f t="shared" si="206"/>
        <v>Row Not Used</v>
      </c>
      <c r="AN487" s="512" t="e" cm="1">
        <f t="array" ref="AN487">INDEX(BallastFactorTable[Ballast Factor],MATCH(1,(BallastFactorTable[Fixture Class]=D487)*(BallastFactorTable[Fixture Category]=E487)*(BallastFactorTable[Fixture Sub-category]=F487),0))</f>
        <v>#N/A</v>
      </c>
      <c r="AO487" s="143" t="str">
        <f t="shared" si="219"/>
        <v/>
      </c>
      <c r="AP487" s="501" t="e" cm="1">
        <f t="array" ref="AP487">INDEX(BallastFactorTable[Wattage Range Name],MATCH(1,(BallastFactorTable[Fixture Class]=D487)*(BallastFactorTable[Fixture Category]=E487)*(BallastFactorTable[Fixture Sub-category]=F487),0))</f>
        <v>#N/A</v>
      </c>
      <c r="AQ487" s="515" t="str">
        <f t="shared" ca="1" si="207"/>
        <v>Okay</v>
      </c>
      <c r="AR487" s="512">
        <f t="shared" si="208"/>
        <v>0</v>
      </c>
      <c r="AS487" s="511" t="str">
        <f>IF(OR(Measures!AM487="Row Not Used",Measures!C487="Controls Only",Measures!C487="Decommissioning"),"",_xlfn.CONCAT(P487," ",Q487))</f>
        <v/>
      </c>
      <c r="AT487" s="264" t="str">
        <f t="shared" si="209"/>
        <v>None</v>
      </c>
      <c r="AU487" s="229">
        <f>IF(OR(AM487="Row Not Used",AM487="Controls Only"),0,INDEX(IncentiveRateTable[Incentive Rate],MATCH(AT487,IncentiveRateTable[Incentive Name],0)))</f>
        <v>0</v>
      </c>
      <c r="AV487" s="133" t="str">
        <f>IF(OR(AM487="Row Not Used",AM487="Controls Only"),"None",INDEX(IncentiveRateTable[Incentive Unit],MATCH(AT487,IncentiveRateTable[Incentive Name],0)))</f>
        <v>None</v>
      </c>
      <c r="AW487" s="578">
        <f t="shared" si="220"/>
        <v>0</v>
      </c>
      <c r="AX487" s="264" t="str">
        <f t="shared" si="210"/>
        <v>None</v>
      </c>
      <c r="AY487" s="229">
        <f>IF(OR(AM487="Row Not Used",AM487="Fixtures Only",AM487="Decommissioning"),0,INDEX(IncentiveRateTable[Incentive Rate],MATCH(AX487,IncentiveRateTable[Incentive Name],0)))</f>
        <v>0</v>
      </c>
      <c r="AZ487" s="133" t="str">
        <f>IF(OR(AM487="Row Not Used",AM487="Fixtures Only",AM487="Decommissioning"),"None",INDEX(IncentiveRateTable[Incentive Unit],MATCH(AX487,IncentiveRateTable[Incentive Name],0)))</f>
        <v>None</v>
      </c>
      <c r="BA487" s="465">
        <f t="shared" si="211"/>
        <v>0</v>
      </c>
      <c r="BB487" s="264" t="e" cm="1">
        <f t="array" ref="BB487">INDEX(BallastFactorTable[Commercial BPA Reference Number],MATCH(1,(BallastFactorTable[Fixture Class]=J487)*(BallastFactorTable[Fixture Category]=K487)*(BallastFactorTable[Fixture Sub-category]=L487),0))</f>
        <v>#N/A</v>
      </c>
      <c r="BC487" s="133" t="e" cm="1">
        <f t="array" ref="BC487">INDEX(BallastFactorTable[Industrial BPA Reference Number],MATCH(1,(BallastFactorTable[Fixture Class]=J487)*(BallastFactorTable[Fixture Category]=K487)*(BallastFactorTable[Fixture Sub-category]=L487),0))</f>
        <v>#N/A</v>
      </c>
      <c r="BD487" s="264" t="str">
        <f t="shared" si="212"/>
        <v>Sector is blank</v>
      </c>
      <c r="BE487" s="269" t="str">
        <f>IF(ISBLANK(SectorField),"Sector is blank",IF(AM487="Row Not Used","",IF(OR(R487="No Controls",ISBLANK(R487)),"",INDEX(ControlsBPARefNoTable[Reference Number],MATCH(SectorField,ControlsBPARefNoTable[Sector],0)))))</f>
        <v>Sector is blank</v>
      </c>
      <c r="BF487" s="530" t="str">
        <f t="shared" si="213"/>
        <v/>
      </c>
      <c r="BG487" s="132" t="str">
        <f t="shared" si="214"/>
        <v/>
      </c>
      <c r="BH487" s="531" t="str">
        <f t="shared" si="215"/>
        <v/>
      </c>
      <c r="BI487" s="532"/>
      <c r="BJ487" s="538" t="str">
        <f t="shared" si="221"/>
        <v/>
      </c>
      <c r="BK487" s="539" t="str">
        <f t="shared" si="222"/>
        <v/>
      </c>
      <c r="BL487" s="547" t="str">
        <f t="shared" si="223"/>
        <v/>
      </c>
    </row>
    <row r="488" spans="1:64" x14ac:dyDescent="0.3">
      <c r="A488" s="133">
        <v>481</v>
      </c>
      <c r="B488" s="294"/>
      <c r="C488" s="313"/>
      <c r="D488" s="292"/>
      <c r="E488" s="284"/>
      <c r="F488" s="284"/>
      <c r="G488" s="295"/>
      <c r="H488" s="296"/>
      <c r="I488" s="297"/>
      <c r="J488" s="292"/>
      <c r="K488" s="284"/>
      <c r="L488" s="284"/>
      <c r="M488" s="295"/>
      <c r="N488" s="296"/>
      <c r="O488" s="296"/>
      <c r="P488" s="284"/>
      <c r="Q488" s="298"/>
      <c r="R488" s="292"/>
      <c r="S488" s="299"/>
      <c r="T488" s="300"/>
      <c r="U488" s="317" t="str">
        <f t="shared" si="197"/>
        <v/>
      </c>
      <c r="V488" s="301"/>
      <c r="W488" s="137" t="str">
        <f t="shared" si="198"/>
        <v/>
      </c>
      <c r="X488" s="589" t="str">
        <f t="shared" si="216"/>
        <v/>
      </c>
      <c r="Y488" s="581"/>
      <c r="Z488" s="251" t="str">
        <f t="shared" si="199"/>
        <v/>
      </c>
      <c r="AA488" s="138" t="str">
        <f t="shared" si="224"/>
        <v/>
      </c>
      <c r="AB488" s="243" t="str">
        <f t="shared" si="217"/>
        <v/>
      </c>
      <c r="AC488" s="141" t="str">
        <f t="shared" si="200"/>
        <v/>
      </c>
      <c r="AD488" s="138" t="str">
        <f t="shared" si="218"/>
        <v/>
      </c>
      <c r="AE488" s="243" t="str">
        <f t="shared" si="201"/>
        <v/>
      </c>
      <c r="AF488" s="342" t="str">
        <f>IF(AM488="Row Not Used","",INDEX(SpaceTable[Annual Hours],(MATCH(B488,SpaceTable[Space Name Concatenated Helper],0))))</f>
        <v/>
      </c>
      <c r="AG488" s="205" t="str">
        <f t="shared" si="202"/>
        <v/>
      </c>
      <c r="AH488" s="234" t="str">
        <f t="shared" si="203"/>
        <v/>
      </c>
      <c r="AI488" s="205" t="str">
        <f t="shared" si="204"/>
        <v/>
      </c>
      <c r="AJ488" s="234" t="str">
        <f t="shared" si="205"/>
        <v/>
      </c>
      <c r="AK488" s="144" t="str">
        <f>IF(AM488="Row Not Used","",INDEX(SpaceTable[Row],(MATCH(B488,SpaceTable[Space Name Concatenated Helper],0))))</f>
        <v/>
      </c>
      <c r="AL488" s="238" t="str">
        <f>IF(AM488="Row Not Used","",INDEX(SpaceTable[HVAC Factor],(MATCH(B488,SpaceTable[Space Name Concatenated Helper],0))))</f>
        <v/>
      </c>
      <c r="AM488" s="520" t="str">
        <f t="shared" si="206"/>
        <v>Row Not Used</v>
      </c>
      <c r="AN488" s="512" t="e" cm="1">
        <f t="array" ref="AN488">INDEX(BallastFactorTable[Ballast Factor],MATCH(1,(BallastFactorTable[Fixture Class]=D488)*(BallastFactorTable[Fixture Category]=E488)*(BallastFactorTable[Fixture Sub-category]=F488),0))</f>
        <v>#N/A</v>
      </c>
      <c r="AO488" s="143" t="str">
        <f t="shared" si="219"/>
        <v/>
      </c>
      <c r="AP488" s="501" t="e" cm="1">
        <f t="array" ref="AP488">INDEX(BallastFactorTable[Wattage Range Name],MATCH(1,(BallastFactorTable[Fixture Class]=D488)*(BallastFactorTable[Fixture Category]=E488)*(BallastFactorTable[Fixture Sub-category]=F488),0))</f>
        <v>#N/A</v>
      </c>
      <c r="AQ488" s="515" t="str">
        <f t="shared" ca="1" si="207"/>
        <v>Okay</v>
      </c>
      <c r="AR488" s="512">
        <f t="shared" si="208"/>
        <v>0</v>
      </c>
      <c r="AS488" s="511" t="str">
        <f>IF(OR(Measures!AM488="Row Not Used",Measures!C488="Controls Only",Measures!C488="Decommissioning"),"",_xlfn.CONCAT(P488," ",Q488))</f>
        <v/>
      </c>
      <c r="AT488" s="264" t="str">
        <f t="shared" si="209"/>
        <v>None</v>
      </c>
      <c r="AU488" s="229">
        <f>IF(OR(AM488="Row Not Used",AM488="Controls Only"),0,INDEX(IncentiveRateTable[Incentive Rate],MATCH(AT488,IncentiveRateTable[Incentive Name],0)))</f>
        <v>0</v>
      </c>
      <c r="AV488" s="133" t="str">
        <f>IF(OR(AM488="Row Not Used",AM488="Controls Only"),"None",INDEX(IncentiveRateTable[Incentive Unit],MATCH(AT488,IncentiveRateTable[Incentive Name],0)))</f>
        <v>None</v>
      </c>
      <c r="AW488" s="578">
        <f t="shared" si="220"/>
        <v>0</v>
      </c>
      <c r="AX488" s="264" t="str">
        <f t="shared" si="210"/>
        <v>None</v>
      </c>
      <c r="AY488" s="229">
        <f>IF(OR(AM488="Row Not Used",AM488="Fixtures Only",AM488="Decommissioning"),0,INDEX(IncentiveRateTable[Incentive Rate],MATCH(AX488,IncentiveRateTable[Incentive Name],0)))</f>
        <v>0</v>
      </c>
      <c r="AZ488" s="133" t="str">
        <f>IF(OR(AM488="Row Not Used",AM488="Fixtures Only",AM488="Decommissioning"),"None",INDEX(IncentiveRateTable[Incentive Unit],MATCH(AX488,IncentiveRateTable[Incentive Name],0)))</f>
        <v>None</v>
      </c>
      <c r="BA488" s="465">
        <f t="shared" si="211"/>
        <v>0</v>
      </c>
      <c r="BB488" s="264" t="e" cm="1">
        <f t="array" ref="BB488">INDEX(BallastFactorTable[Commercial BPA Reference Number],MATCH(1,(BallastFactorTable[Fixture Class]=J488)*(BallastFactorTable[Fixture Category]=K488)*(BallastFactorTable[Fixture Sub-category]=L488),0))</f>
        <v>#N/A</v>
      </c>
      <c r="BC488" s="133" t="e" cm="1">
        <f t="array" ref="BC488">INDEX(BallastFactorTable[Industrial BPA Reference Number],MATCH(1,(BallastFactorTable[Fixture Class]=J488)*(BallastFactorTable[Fixture Category]=K488)*(BallastFactorTable[Fixture Sub-category]=L488),0))</f>
        <v>#N/A</v>
      </c>
      <c r="BD488" s="264" t="str">
        <f t="shared" si="212"/>
        <v>Sector is blank</v>
      </c>
      <c r="BE488" s="269" t="str">
        <f>IF(ISBLANK(SectorField),"Sector is blank",IF(AM488="Row Not Used","",IF(OR(R488="No Controls",ISBLANK(R488)),"",INDEX(ControlsBPARefNoTable[Reference Number],MATCH(SectorField,ControlsBPARefNoTable[Sector],0)))))</f>
        <v>Sector is blank</v>
      </c>
      <c r="BF488" s="530" t="str">
        <f t="shared" si="213"/>
        <v/>
      </c>
      <c r="BG488" s="132" t="str">
        <f t="shared" si="214"/>
        <v/>
      </c>
      <c r="BH488" s="531" t="str">
        <f t="shared" si="215"/>
        <v/>
      </c>
      <c r="BI488" s="532"/>
      <c r="BJ488" s="538" t="str">
        <f t="shared" si="221"/>
        <v/>
      </c>
      <c r="BK488" s="539" t="str">
        <f t="shared" si="222"/>
        <v/>
      </c>
      <c r="BL488" s="547" t="str">
        <f t="shared" si="223"/>
        <v/>
      </c>
    </row>
    <row r="489" spans="1:64" x14ac:dyDescent="0.3">
      <c r="A489" s="133">
        <v>482</v>
      </c>
      <c r="B489" s="294"/>
      <c r="C489" s="313"/>
      <c r="D489" s="292"/>
      <c r="E489" s="284"/>
      <c r="F489" s="284"/>
      <c r="G489" s="295"/>
      <c r="H489" s="296"/>
      <c r="I489" s="297"/>
      <c r="J489" s="292"/>
      <c r="K489" s="284"/>
      <c r="L489" s="284"/>
      <c r="M489" s="295"/>
      <c r="N489" s="296"/>
      <c r="O489" s="296"/>
      <c r="P489" s="284"/>
      <c r="Q489" s="298"/>
      <c r="R489" s="292"/>
      <c r="S489" s="299"/>
      <c r="T489" s="300"/>
      <c r="U489" s="317" t="str">
        <f t="shared" si="197"/>
        <v/>
      </c>
      <c r="V489" s="301"/>
      <c r="W489" s="136" t="str">
        <f t="shared" si="198"/>
        <v/>
      </c>
      <c r="X489" s="588" t="str">
        <f t="shared" si="216"/>
        <v/>
      </c>
      <c r="Y489" s="580"/>
      <c r="Z489" s="251" t="str">
        <f t="shared" si="199"/>
        <v/>
      </c>
      <c r="AA489" s="138" t="str">
        <f t="shared" si="224"/>
        <v/>
      </c>
      <c r="AB489" s="243" t="str">
        <f t="shared" si="217"/>
        <v/>
      </c>
      <c r="AC489" s="141" t="str">
        <f t="shared" si="200"/>
        <v/>
      </c>
      <c r="AD489" s="138" t="str">
        <f t="shared" si="218"/>
        <v/>
      </c>
      <c r="AE489" s="243" t="str">
        <f t="shared" si="201"/>
        <v/>
      </c>
      <c r="AF489" s="342" t="str">
        <f>IF(AM489="Row Not Used","",INDEX(SpaceTable[Annual Hours],(MATCH(B489,SpaceTable[Space Name Concatenated Helper],0))))</f>
        <v/>
      </c>
      <c r="AG489" s="205" t="str">
        <f t="shared" si="202"/>
        <v/>
      </c>
      <c r="AH489" s="234" t="str">
        <f t="shared" si="203"/>
        <v/>
      </c>
      <c r="AI489" s="205" t="str">
        <f t="shared" si="204"/>
        <v/>
      </c>
      <c r="AJ489" s="234" t="str">
        <f t="shared" si="205"/>
        <v/>
      </c>
      <c r="AK489" s="144" t="str">
        <f>IF(AM489="Row Not Used","",INDEX(SpaceTable[Row],(MATCH(B489,SpaceTable[Space Name Concatenated Helper],0))))</f>
        <v/>
      </c>
      <c r="AL489" s="238" t="str">
        <f>IF(AM489="Row Not Used","",INDEX(SpaceTable[HVAC Factor],(MATCH(B489,SpaceTable[Space Name Concatenated Helper],0))))</f>
        <v/>
      </c>
      <c r="AM489" s="520" t="str">
        <f t="shared" si="206"/>
        <v>Row Not Used</v>
      </c>
      <c r="AN489" s="512" t="e" cm="1">
        <f t="array" ref="AN489">INDEX(BallastFactorTable[Ballast Factor],MATCH(1,(BallastFactorTable[Fixture Class]=D489)*(BallastFactorTable[Fixture Category]=E489)*(BallastFactorTable[Fixture Sub-category]=F489),0))</f>
        <v>#N/A</v>
      </c>
      <c r="AO489" s="143" t="str">
        <f t="shared" si="219"/>
        <v/>
      </c>
      <c r="AP489" s="501" t="e" cm="1">
        <f t="array" ref="AP489">INDEX(BallastFactorTable[Wattage Range Name],MATCH(1,(BallastFactorTable[Fixture Class]=D489)*(BallastFactorTable[Fixture Category]=E489)*(BallastFactorTable[Fixture Sub-category]=F489),0))</f>
        <v>#N/A</v>
      </c>
      <c r="AQ489" s="515" t="str">
        <f t="shared" ca="1" si="207"/>
        <v>Okay</v>
      </c>
      <c r="AR489" s="512">
        <f t="shared" si="208"/>
        <v>0</v>
      </c>
      <c r="AS489" s="511" t="str">
        <f>IF(OR(Measures!AM489="Row Not Used",Measures!C489="Controls Only",Measures!C489="Decommissioning"),"",_xlfn.CONCAT(P489," ",Q489))</f>
        <v/>
      </c>
      <c r="AT489" s="264" t="str">
        <f t="shared" si="209"/>
        <v>None</v>
      </c>
      <c r="AU489" s="229">
        <f>IF(OR(AM489="Row Not Used",AM489="Controls Only"),0,INDEX(IncentiveRateTable[Incentive Rate],MATCH(AT489,IncentiveRateTable[Incentive Name],0)))</f>
        <v>0</v>
      </c>
      <c r="AV489" s="133" t="str">
        <f>IF(OR(AM489="Row Not Used",AM489="Controls Only"),"None",INDEX(IncentiveRateTable[Incentive Unit],MATCH(AT489,IncentiveRateTable[Incentive Name],0)))</f>
        <v>None</v>
      </c>
      <c r="AW489" s="578">
        <f t="shared" si="220"/>
        <v>0</v>
      </c>
      <c r="AX489" s="264" t="str">
        <f t="shared" si="210"/>
        <v>None</v>
      </c>
      <c r="AY489" s="229">
        <f>IF(OR(AM489="Row Not Used",AM489="Fixtures Only",AM489="Decommissioning"),0,INDEX(IncentiveRateTable[Incentive Rate],MATCH(AX489,IncentiveRateTable[Incentive Name],0)))</f>
        <v>0</v>
      </c>
      <c r="AZ489" s="133" t="str">
        <f>IF(OR(AM489="Row Not Used",AM489="Fixtures Only",AM489="Decommissioning"),"None",INDEX(IncentiveRateTable[Incentive Unit],MATCH(AX489,IncentiveRateTable[Incentive Name],0)))</f>
        <v>None</v>
      </c>
      <c r="BA489" s="465">
        <f t="shared" si="211"/>
        <v>0</v>
      </c>
      <c r="BB489" s="264" t="e" cm="1">
        <f t="array" ref="BB489">INDEX(BallastFactorTable[Commercial BPA Reference Number],MATCH(1,(BallastFactorTable[Fixture Class]=J489)*(BallastFactorTable[Fixture Category]=K489)*(BallastFactorTable[Fixture Sub-category]=L489),0))</f>
        <v>#N/A</v>
      </c>
      <c r="BC489" s="133" t="e" cm="1">
        <f t="array" ref="BC489">INDEX(BallastFactorTable[Industrial BPA Reference Number],MATCH(1,(BallastFactorTable[Fixture Class]=J489)*(BallastFactorTable[Fixture Category]=K489)*(BallastFactorTable[Fixture Sub-category]=L489),0))</f>
        <v>#N/A</v>
      </c>
      <c r="BD489" s="264" t="str">
        <f t="shared" si="212"/>
        <v>Sector is blank</v>
      </c>
      <c r="BE489" s="269" t="str">
        <f>IF(ISBLANK(SectorField),"Sector is blank",IF(AM489="Row Not Used","",IF(OR(R489="No Controls",ISBLANK(R489)),"",INDEX(ControlsBPARefNoTable[Reference Number],MATCH(SectorField,ControlsBPARefNoTable[Sector],0)))))</f>
        <v>Sector is blank</v>
      </c>
      <c r="BF489" s="530" t="str">
        <f t="shared" si="213"/>
        <v/>
      </c>
      <c r="BG489" s="132" t="str">
        <f t="shared" si="214"/>
        <v/>
      </c>
      <c r="BH489" s="531" t="str">
        <f t="shared" si="215"/>
        <v/>
      </c>
      <c r="BI489" s="532"/>
      <c r="BJ489" s="538" t="str">
        <f t="shared" si="221"/>
        <v/>
      </c>
      <c r="BK489" s="539" t="str">
        <f t="shared" si="222"/>
        <v/>
      </c>
      <c r="BL489" s="547" t="str">
        <f t="shared" si="223"/>
        <v/>
      </c>
    </row>
    <row r="490" spans="1:64" x14ac:dyDescent="0.3">
      <c r="A490" s="133">
        <v>483</v>
      </c>
      <c r="B490" s="294"/>
      <c r="C490" s="313"/>
      <c r="D490" s="292"/>
      <c r="E490" s="284"/>
      <c r="F490" s="284"/>
      <c r="G490" s="295"/>
      <c r="H490" s="296"/>
      <c r="I490" s="297"/>
      <c r="J490" s="292"/>
      <c r="K490" s="284"/>
      <c r="L490" s="284"/>
      <c r="M490" s="295"/>
      <c r="N490" s="296"/>
      <c r="O490" s="296"/>
      <c r="P490" s="284"/>
      <c r="Q490" s="298"/>
      <c r="R490" s="292"/>
      <c r="S490" s="299"/>
      <c r="T490" s="300"/>
      <c r="U490" s="317" t="str">
        <f t="shared" si="197"/>
        <v/>
      </c>
      <c r="V490" s="301"/>
      <c r="W490" s="137" t="str">
        <f t="shared" si="198"/>
        <v/>
      </c>
      <c r="X490" s="589" t="str">
        <f t="shared" si="216"/>
        <v/>
      </c>
      <c r="Y490" s="581"/>
      <c r="Z490" s="251" t="str">
        <f t="shared" si="199"/>
        <v/>
      </c>
      <c r="AA490" s="138" t="str">
        <f t="shared" si="224"/>
        <v/>
      </c>
      <c r="AB490" s="243" t="str">
        <f t="shared" si="217"/>
        <v/>
      </c>
      <c r="AC490" s="141" t="str">
        <f t="shared" si="200"/>
        <v/>
      </c>
      <c r="AD490" s="138" t="str">
        <f t="shared" si="218"/>
        <v/>
      </c>
      <c r="AE490" s="243" t="str">
        <f t="shared" si="201"/>
        <v/>
      </c>
      <c r="AF490" s="342" t="str">
        <f>IF(AM490="Row Not Used","",INDEX(SpaceTable[Annual Hours],(MATCH(B490,SpaceTable[Space Name Concatenated Helper],0))))</f>
        <v/>
      </c>
      <c r="AG490" s="205" t="str">
        <f t="shared" si="202"/>
        <v/>
      </c>
      <c r="AH490" s="234" t="str">
        <f t="shared" si="203"/>
        <v/>
      </c>
      <c r="AI490" s="205" t="str">
        <f t="shared" si="204"/>
        <v/>
      </c>
      <c r="AJ490" s="234" t="str">
        <f t="shared" si="205"/>
        <v/>
      </c>
      <c r="AK490" s="144" t="str">
        <f>IF(AM490="Row Not Used","",INDEX(SpaceTable[Row],(MATCH(B490,SpaceTable[Space Name Concatenated Helper],0))))</f>
        <v/>
      </c>
      <c r="AL490" s="238" t="str">
        <f>IF(AM490="Row Not Used","",INDEX(SpaceTable[HVAC Factor],(MATCH(B490,SpaceTable[Space Name Concatenated Helper],0))))</f>
        <v/>
      </c>
      <c r="AM490" s="520" t="str">
        <f t="shared" si="206"/>
        <v>Row Not Used</v>
      </c>
      <c r="AN490" s="512" t="e" cm="1">
        <f t="array" ref="AN490">INDEX(BallastFactorTable[Ballast Factor],MATCH(1,(BallastFactorTable[Fixture Class]=D490)*(BallastFactorTable[Fixture Category]=E490)*(BallastFactorTable[Fixture Sub-category]=F490),0))</f>
        <v>#N/A</v>
      </c>
      <c r="AO490" s="143" t="str">
        <f t="shared" si="219"/>
        <v/>
      </c>
      <c r="AP490" s="501" t="e" cm="1">
        <f t="array" ref="AP490">INDEX(BallastFactorTable[Wattage Range Name],MATCH(1,(BallastFactorTable[Fixture Class]=D490)*(BallastFactorTable[Fixture Category]=E490)*(BallastFactorTable[Fixture Sub-category]=F490),0))</f>
        <v>#N/A</v>
      </c>
      <c r="AQ490" s="515" t="str">
        <f t="shared" ca="1" si="207"/>
        <v>Okay</v>
      </c>
      <c r="AR490" s="512">
        <f t="shared" si="208"/>
        <v>0</v>
      </c>
      <c r="AS490" s="511" t="str">
        <f>IF(OR(Measures!AM490="Row Not Used",Measures!C490="Controls Only",Measures!C490="Decommissioning"),"",_xlfn.CONCAT(P490," ",Q490))</f>
        <v/>
      </c>
      <c r="AT490" s="264" t="str">
        <f t="shared" si="209"/>
        <v>None</v>
      </c>
      <c r="AU490" s="229">
        <f>IF(OR(AM490="Row Not Used",AM490="Controls Only"),0,INDEX(IncentiveRateTable[Incentive Rate],MATCH(AT490,IncentiveRateTable[Incentive Name],0)))</f>
        <v>0</v>
      </c>
      <c r="AV490" s="133" t="str">
        <f>IF(OR(AM490="Row Not Used",AM490="Controls Only"),"None",INDEX(IncentiveRateTable[Incentive Unit],MATCH(AT490,IncentiveRateTable[Incentive Name],0)))</f>
        <v>None</v>
      </c>
      <c r="AW490" s="578">
        <f t="shared" si="220"/>
        <v>0</v>
      </c>
      <c r="AX490" s="264" t="str">
        <f t="shared" si="210"/>
        <v>None</v>
      </c>
      <c r="AY490" s="229">
        <f>IF(OR(AM490="Row Not Used",AM490="Fixtures Only",AM490="Decommissioning"),0,INDEX(IncentiveRateTable[Incentive Rate],MATCH(AX490,IncentiveRateTable[Incentive Name],0)))</f>
        <v>0</v>
      </c>
      <c r="AZ490" s="133" t="str">
        <f>IF(OR(AM490="Row Not Used",AM490="Fixtures Only",AM490="Decommissioning"),"None",INDEX(IncentiveRateTable[Incentive Unit],MATCH(AX490,IncentiveRateTable[Incentive Name],0)))</f>
        <v>None</v>
      </c>
      <c r="BA490" s="465">
        <f t="shared" si="211"/>
        <v>0</v>
      </c>
      <c r="BB490" s="264" t="e" cm="1">
        <f t="array" ref="BB490">INDEX(BallastFactorTable[Commercial BPA Reference Number],MATCH(1,(BallastFactorTable[Fixture Class]=J490)*(BallastFactorTable[Fixture Category]=K490)*(BallastFactorTable[Fixture Sub-category]=L490),0))</f>
        <v>#N/A</v>
      </c>
      <c r="BC490" s="133" t="e" cm="1">
        <f t="array" ref="BC490">INDEX(BallastFactorTable[Industrial BPA Reference Number],MATCH(1,(BallastFactorTable[Fixture Class]=J490)*(BallastFactorTable[Fixture Category]=K490)*(BallastFactorTable[Fixture Sub-category]=L490),0))</f>
        <v>#N/A</v>
      </c>
      <c r="BD490" s="264" t="str">
        <f t="shared" si="212"/>
        <v>Sector is blank</v>
      </c>
      <c r="BE490" s="269" t="str">
        <f>IF(ISBLANK(SectorField),"Sector is blank",IF(AM490="Row Not Used","",IF(OR(R490="No Controls",ISBLANK(R490)),"",INDEX(ControlsBPARefNoTable[Reference Number],MATCH(SectorField,ControlsBPARefNoTable[Sector],0)))))</f>
        <v>Sector is blank</v>
      </c>
      <c r="BF490" s="530" t="str">
        <f t="shared" si="213"/>
        <v/>
      </c>
      <c r="BG490" s="132" t="str">
        <f t="shared" si="214"/>
        <v/>
      </c>
      <c r="BH490" s="531" t="str">
        <f t="shared" si="215"/>
        <v/>
      </c>
      <c r="BI490" s="532"/>
      <c r="BJ490" s="538" t="str">
        <f t="shared" si="221"/>
        <v/>
      </c>
      <c r="BK490" s="539" t="str">
        <f t="shared" si="222"/>
        <v/>
      </c>
      <c r="BL490" s="547" t="str">
        <f t="shared" si="223"/>
        <v/>
      </c>
    </row>
    <row r="491" spans="1:64" x14ac:dyDescent="0.3">
      <c r="A491" s="133">
        <v>484</v>
      </c>
      <c r="B491" s="294"/>
      <c r="C491" s="313"/>
      <c r="D491" s="292"/>
      <c r="E491" s="284"/>
      <c r="F491" s="284"/>
      <c r="G491" s="295"/>
      <c r="H491" s="296"/>
      <c r="I491" s="297"/>
      <c r="J491" s="292"/>
      <c r="K491" s="284"/>
      <c r="L491" s="284"/>
      <c r="M491" s="295"/>
      <c r="N491" s="296"/>
      <c r="O491" s="296"/>
      <c r="P491" s="284"/>
      <c r="Q491" s="298"/>
      <c r="R491" s="292"/>
      <c r="S491" s="299"/>
      <c r="T491" s="300"/>
      <c r="U491" s="317" t="str">
        <f t="shared" si="197"/>
        <v/>
      </c>
      <c r="V491" s="301"/>
      <c r="W491" s="136" t="str">
        <f t="shared" si="198"/>
        <v/>
      </c>
      <c r="X491" s="588" t="str">
        <f t="shared" si="216"/>
        <v/>
      </c>
      <c r="Y491" s="580"/>
      <c r="Z491" s="251" t="str">
        <f t="shared" si="199"/>
        <v/>
      </c>
      <c r="AA491" s="138" t="str">
        <f t="shared" si="224"/>
        <v/>
      </c>
      <c r="AB491" s="243" t="str">
        <f t="shared" si="217"/>
        <v/>
      </c>
      <c r="AC491" s="141" t="str">
        <f t="shared" si="200"/>
        <v/>
      </c>
      <c r="AD491" s="138" t="str">
        <f t="shared" si="218"/>
        <v/>
      </c>
      <c r="AE491" s="243" t="str">
        <f t="shared" si="201"/>
        <v/>
      </c>
      <c r="AF491" s="342" t="str">
        <f>IF(AM491="Row Not Used","",INDEX(SpaceTable[Annual Hours],(MATCH(B491,SpaceTable[Space Name Concatenated Helper],0))))</f>
        <v/>
      </c>
      <c r="AG491" s="205" t="str">
        <f t="shared" si="202"/>
        <v/>
      </c>
      <c r="AH491" s="234" t="str">
        <f t="shared" si="203"/>
        <v/>
      </c>
      <c r="AI491" s="205" t="str">
        <f t="shared" si="204"/>
        <v/>
      </c>
      <c r="AJ491" s="234" t="str">
        <f t="shared" si="205"/>
        <v/>
      </c>
      <c r="AK491" s="144" t="str">
        <f>IF(AM491="Row Not Used","",INDEX(SpaceTable[Row],(MATCH(B491,SpaceTable[Space Name Concatenated Helper],0))))</f>
        <v/>
      </c>
      <c r="AL491" s="238" t="str">
        <f>IF(AM491="Row Not Used","",INDEX(SpaceTable[HVAC Factor],(MATCH(B491,SpaceTable[Space Name Concatenated Helper],0))))</f>
        <v/>
      </c>
      <c r="AM491" s="520" t="str">
        <f t="shared" si="206"/>
        <v>Row Not Used</v>
      </c>
      <c r="AN491" s="512" t="e" cm="1">
        <f t="array" ref="AN491">INDEX(BallastFactorTable[Ballast Factor],MATCH(1,(BallastFactorTable[Fixture Class]=D491)*(BallastFactorTable[Fixture Category]=E491)*(BallastFactorTable[Fixture Sub-category]=F491),0))</f>
        <v>#N/A</v>
      </c>
      <c r="AO491" s="143" t="str">
        <f t="shared" si="219"/>
        <v/>
      </c>
      <c r="AP491" s="501" t="e" cm="1">
        <f t="array" ref="AP491">INDEX(BallastFactorTable[Wattage Range Name],MATCH(1,(BallastFactorTable[Fixture Class]=D491)*(BallastFactorTable[Fixture Category]=E491)*(BallastFactorTable[Fixture Sub-category]=F491),0))</f>
        <v>#N/A</v>
      </c>
      <c r="AQ491" s="515" t="str">
        <f t="shared" ca="1" si="207"/>
        <v>Okay</v>
      </c>
      <c r="AR491" s="512">
        <f t="shared" si="208"/>
        <v>0</v>
      </c>
      <c r="AS491" s="511" t="str">
        <f>IF(OR(Measures!AM491="Row Not Used",Measures!C491="Controls Only",Measures!C491="Decommissioning"),"",_xlfn.CONCAT(P491," ",Q491))</f>
        <v/>
      </c>
      <c r="AT491" s="264" t="str">
        <f t="shared" si="209"/>
        <v>None</v>
      </c>
      <c r="AU491" s="229">
        <f>IF(OR(AM491="Row Not Used",AM491="Controls Only"),0,INDEX(IncentiveRateTable[Incentive Rate],MATCH(AT491,IncentiveRateTable[Incentive Name],0)))</f>
        <v>0</v>
      </c>
      <c r="AV491" s="133" t="str">
        <f>IF(OR(AM491="Row Not Used",AM491="Controls Only"),"None",INDEX(IncentiveRateTable[Incentive Unit],MATCH(AT491,IncentiveRateTable[Incentive Name],0)))</f>
        <v>None</v>
      </c>
      <c r="AW491" s="578">
        <f t="shared" si="220"/>
        <v>0</v>
      </c>
      <c r="AX491" s="264" t="str">
        <f t="shared" si="210"/>
        <v>None</v>
      </c>
      <c r="AY491" s="229">
        <f>IF(OR(AM491="Row Not Used",AM491="Fixtures Only",AM491="Decommissioning"),0,INDEX(IncentiveRateTable[Incentive Rate],MATCH(AX491,IncentiveRateTable[Incentive Name],0)))</f>
        <v>0</v>
      </c>
      <c r="AZ491" s="133" t="str">
        <f>IF(OR(AM491="Row Not Used",AM491="Fixtures Only",AM491="Decommissioning"),"None",INDEX(IncentiveRateTable[Incentive Unit],MATCH(AX491,IncentiveRateTable[Incentive Name],0)))</f>
        <v>None</v>
      </c>
      <c r="BA491" s="465">
        <f t="shared" si="211"/>
        <v>0</v>
      </c>
      <c r="BB491" s="264" t="e" cm="1">
        <f t="array" ref="BB491">INDEX(BallastFactorTable[Commercial BPA Reference Number],MATCH(1,(BallastFactorTable[Fixture Class]=J491)*(BallastFactorTable[Fixture Category]=K491)*(BallastFactorTable[Fixture Sub-category]=L491),0))</f>
        <v>#N/A</v>
      </c>
      <c r="BC491" s="133" t="e" cm="1">
        <f t="array" ref="BC491">INDEX(BallastFactorTable[Industrial BPA Reference Number],MATCH(1,(BallastFactorTable[Fixture Class]=J491)*(BallastFactorTable[Fixture Category]=K491)*(BallastFactorTable[Fixture Sub-category]=L491),0))</f>
        <v>#N/A</v>
      </c>
      <c r="BD491" s="264" t="str">
        <f t="shared" si="212"/>
        <v>Sector is blank</v>
      </c>
      <c r="BE491" s="269" t="str">
        <f>IF(ISBLANK(SectorField),"Sector is blank",IF(AM491="Row Not Used","",IF(OR(R491="No Controls",ISBLANK(R491)),"",INDEX(ControlsBPARefNoTable[Reference Number],MATCH(SectorField,ControlsBPARefNoTable[Sector],0)))))</f>
        <v>Sector is blank</v>
      </c>
      <c r="BF491" s="530" t="str">
        <f t="shared" si="213"/>
        <v/>
      </c>
      <c r="BG491" s="132" t="str">
        <f t="shared" si="214"/>
        <v/>
      </c>
      <c r="BH491" s="531" t="str">
        <f t="shared" si="215"/>
        <v/>
      </c>
      <c r="BI491" s="532"/>
      <c r="BJ491" s="538" t="str">
        <f t="shared" si="221"/>
        <v/>
      </c>
      <c r="BK491" s="539" t="str">
        <f t="shared" si="222"/>
        <v/>
      </c>
      <c r="BL491" s="547" t="str">
        <f t="shared" si="223"/>
        <v/>
      </c>
    </row>
    <row r="492" spans="1:64" x14ac:dyDescent="0.3">
      <c r="A492" s="133">
        <v>485</v>
      </c>
      <c r="B492" s="294"/>
      <c r="C492" s="313"/>
      <c r="D492" s="292"/>
      <c r="E492" s="284"/>
      <c r="F492" s="284"/>
      <c r="G492" s="295"/>
      <c r="H492" s="296"/>
      <c r="I492" s="297"/>
      <c r="J492" s="292"/>
      <c r="K492" s="284"/>
      <c r="L492" s="284"/>
      <c r="M492" s="295"/>
      <c r="N492" s="296"/>
      <c r="O492" s="296"/>
      <c r="P492" s="284"/>
      <c r="Q492" s="298"/>
      <c r="R492" s="292"/>
      <c r="S492" s="299"/>
      <c r="T492" s="300"/>
      <c r="U492" s="317" t="str">
        <f t="shared" si="197"/>
        <v/>
      </c>
      <c r="V492" s="301"/>
      <c r="W492" s="137" t="str">
        <f t="shared" si="198"/>
        <v/>
      </c>
      <c r="X492" s="589" t="str">
        <f t="shared" si="216"/>
        <v/>
      </c>
      <c r="Y492" s="581"/>
      <c r="Z492" s="251" t="str">
        <f t="shared" si="199"/>
        <v/>
      </c>
      <c r="AA492" s="138" t="str">
        <f t="shared" si="224"/>
        <v/>
      </c>
      <c r="AB492" s="243" t="str">
        <f t="shared" si="217"/>
        <v/>
      </c>
      <c r="AC492" s="141" t="str">
        <f t="shared" si="200"/>
        <v/>
      </c>
      <c r="AD492" s="138" t="str">
        <f t="shared" si="218"/>
        <v/>
      </c>
      <c r="AE492" s="243" t="str">
        <f t="shared" si="201"/>
        <v/>
      </c>
      <c r="AF492" s="342" t="str">
        <f>IF(AM492="Row Not Used","",INDEX(SpaceTable[Annual Hours],(MATCH(B492,SpaceTable[Space Name Concatenated Helper],0))))</f>
        <v/>
      </c>
      <c r="AG492" s="205" t="str">
        <f t="shared" si="202"/>
        <v/>
      </c>
      <c r="AH492" s="234" t="str">
        <f t="shared" si="203"/>
        <v/>
      </c>
      <c r="AI492" s="205" t="str">
        <f t="shared" si="204"/>
        <v/>
      </c>
      <c r="AJ492" s="234" t="str">
        <f t="shared" si="205"/>
        <v/>
      </c>
      <c r="AK492" s="144" t="str">
        <f>IF(AM492="Row Not Used","",INDEX(SpaceTable[Row],(MATCH(B492,SpaceTable[Space Name Concatenated Helper],0))))</f>
        <v/>
      </c>
      <c r="AL492" s="238" t="str">
        <f>IF(AM492="Row Not Used","",INDEX(SpaceTable[HVAC Factor],(MATCH(B492,SpaceTable[Space Name Concatenated Helper],0))))</f>
        <v/>
      </c>
      <c r="AM492" s="520" t="str">
        <f t="shared" si="206"/>
        <v>Row Not Used</v>
      </c>
      <c r="AN492" s="512" t="e" cm="1">
        <f t="array" ref="AN492">INDEX(BallastFactorTable[Ballast Factor],MATCH(1,(BallastFactorTable[Fixture Class]=D492)*(BallastFactorTable[Fixture Category]=E492)*(BallastFactorTable[Fixture Sub-category]=F492),0))</f>
        <v>#N/A</v>
      </c>
      <c r="AO492" s="143" t="str">
        <f t="shared" si="219"/>
        <v/>
      </c>
      <c r="AP492" s="501" t="e" cm="1">
        <f t="array" ref="AP492">INDEX(BallastFactorTable[Wattage Range Name],MATCH(1,(BallastFactorTable[Fixture Class]=D492)*(BallastFactorTable[Fixture Category]=E492)*(BallastFactorTable[Fixture Sub-category]=F492),0))</f>
        <v>#N/A</v>
      </c>
      <c r="AQ492" s="515" t="str">
        <f t="shared" ca="1" si="207"/>
        <v>Okay</v>
      </c>
      <c r="AR492" s="512">
        <f t="shared" si="208"/>
        <v>0</v>
      </c>
      <c r="AS492" s="511" t="str">
        <f>IF(OR(Measures!AM492="Row Not Used",Measures!C492="Controls Only",Measures!C492="Decommissioning"),"",_xlfn.CONCAT(P492," ",Q492))</f>
        <v/>
      </c>
      <c r="AT492" s="264" t="str">
        <f t="shared" si="209"/>
        <v>None</v>
      </c>
      <c r="AU492" s="229">
        <f>IF(OR(AM492="Row Not Used",AM492="Controls Only"),0,INDEX(IncentiveRateTable[Incentive Rate],MATCH(AT492,IncentiveRateTable[Incentive Name],0)))</f>
        <v>0</v>
      </c>
      <c r="AV492" s="133" t="str">
        <f>IF(OR(AM492="Row Not Used",AM492="Controls Only"),"None",INDEX(IncentiveRateTable[Incentive Unit],MATCH(AT492,IncentiveRateTable[Incentive Name],0)))</f>
        <v>None</v>
      </c>
      <c r="AW492" s="578">
        <f t="shared" si="220"/>
        <v>0</v>
      </c>
      <c r="AX492" s="264" t="str">
        <f t="shared" si="210"/>
        <v>None</v>
      </c>
      <c r="AY492" s="229">
        <f>IF(OR(AM492="Row Not Used",AM492="Fixtures Only",AM492="Decommissioning"),0,INDEX(IncentiveRateTable[Incentive Rate],MATCH(AX492,IncentiveRateTable[Incentive Name],0)))</f>
        <v>0</v>
      </c>
      <c r="AZ492" s="133" t="str">
        <f>IF(OR(AM492="Row Not Used",AM492="Fixtures Only",AM492="Decommissioning"),"None",INDEX(IncentiveRateTable[Incentive Unit],MATCH(AX492,IncentiveRateTable[Incentive Name],0)))</f>
        <v>None</v>
      </c>
      <c r="BA492" s="465">
        <f t="shared" si="211"/>
        <v>0</v>
      </c>
      <c r="BB492" s="264" t="e" cm="1">
        <f t="array" ref="BB492">INDEX(BallastFactorTable[Commercial BPA Reference Number],MATCH(1,(BallastFactorTable[Fixture Class]=J492)*(BallastFactorTable[Fixture Category]=K492)*(BallastFactorTable[Fixture Sub-category]=L492),0))</f>
        <v>#N/A</v>
      </c>
      <c r="BC492" s="133" t="e" cm="1">
        <f t="array" ref="BC492">INDEX(BallastFactorTable[Industrial BPA Reference Number],MATCH(1,(BallastFactorTable[Fixture Class]=J492)*(BallastFactorTable[Fixture Category]=K492)*(BallastFactorTable[Fixture Sub-category]=L492),0))</f>
        <v>#N/A</v>
      </c>
      <c r="BD492" s="264" t="str">
        <f t="shared" si="212"/>
        <v>Sector is blank</v>
      </c>
      <c r="BE492" s="269" t="str">
        <f>IF(ISBLANK(SectorField),"Sector is blank",IF(AM492="Row Not Used","",IF(OR(R492="No Controls",ISBLANK(R492)),"",INDEX(ControlsBPARefNoTable[Reference Number],MATCH(SectorField,ControlsBPARefNoTable[Sector],0)))))</f>
        <v>Sector is blank</v>
      </c>
      <c r="BF492" s="530" t="str">
        <f t="shared" si="213"/>
        <v/>
      </c>
      <c r="BG492" s="132" t="str">
        <f t="shared" si="214"/>
        <v/>
      </c>
      <c r="BH492" s="531" t="str">
        <f t="shared" si="215"/>
        <v/>
      </c>
      <c r="BI492" s="532"/>
      <c r="BJ492" s="538" t="str">
        <f t="shared" si="221"/>
        <v/>
      </c>
      <c r="BK492" s="539" t="str">
        <f t="shared" si="222"/>
        <v/>
      </c>
      <c r="BL492" s="547" t="str">
        <f t="shared" si="223"/>
        <v/>
      </c>
    </row>
    <row r="493" spans="1:64" x14ac:dyDescent="0.3">
      <c r="A493" s="133">
        <v>486</v>
      </c>
      <c r="B493" s="294"/>
      <c r="C493" s="313"/>
      <c r="D493" s="292"/>
      <c r="E493" s="284"/>
      <c r="F493" s="284"/>
      <c r="G493" s="295"/>
      <c r="H493" s="296"/>
      <c r="I493" s="297"/>
      <c r="J493" s="292"/>
      <c r="K493" s="284"/>
      <c r="L493" s="284"/>
      <c r="M493" s="295"/>
      <c r="N493" s="296"/>
      <c r="O493" s="296"/>
      <c r="P493" s="284"/>
      <c r="Q493" s="298"/>
      <c r="R493" s="292"/>
      <c r="S493" s="299"/>
      <c r="T493" s="300"/>
      <c r="U493" s="317" t="str">
        <f t="shared" si="197"/>
        <v/>
      </c>
      <c r="V493" s="301"/>
      <c r="W493" s="136" t="str">
        <f t="shared" si="198"/>
        <v/>
      </c>
      <c r="X493" s="588" t="str">
        <f t="shared" si="216"/>
        <v/>
      </c>
      <c r="Y493" s="580"/>
      <c r="Z493" s="251" t="str">
        <f t="shared" si="199"/>
        <v/>
      </c>
      <c r="AA493" s="138" t="str">
        <f t="shared" si="224"/>
        <v/>
      </c>
      <c r="AB493" s="243" t="str">
        <f t="shared" si="217"/>
        <v/>
      </c>
      <c r="AC493" s="141" t="str">
        <f t="shared" si="200"/>
        <v/>
      </c>
      <c r="AD493" s="138" t="str">
        <f t="shared" si="218"/>
        <v/>
      </c>
      <c r="AE493" s="243" t="str">
        <f t="shared" si="201"/>
        <v/>
      </c>
      <c r="AF493" s="342" t="str">
        <f>IF(AM493="Row Not Used","",INDEX(SpaceTable[Annual Hours],(MATCH(B493,SpaceTable[Space Name Concatenated Helper],0))))</f>
        <v/>
      </c>
      <c r="AG493" s="205" t="str">
        <f t="shared" si="202"/>
        <v/>
      </c>
      <c r="AH493" s="234" t="str">
        <f t="shared" si="203"/>
        <v/>
      </c>
      <c r="AI493" s="205" t="str">
        <f t="shared" si="204"/>
        <v/>
      </c>
      <c r="AJ493" s="234" t="str">
        <f t="shared" si="205"/>
        <v/>
      </c>
      <c r="AK493" s="144" t="str">
        <f>IF(AM493="Row Not Used","",INDEX(SpaceTable[Row],(MATCH(B493,SpaceTable[Space Name Concatenated Helper],0))))</f>
        <v/>
      </c>
      <c r="AL493" s="238" t="str">
        <f>IF(AM493="Row Not Used","",INDEX(SpaceTable[HVAC Factor],(MATCH(B493,SpaceTable[Space Name Concatenated Helper],0))))</f>
        <v/>
      </c>
      <c r="AM493" s="520" t="str">
        <f t="shared" si="206"/>
        <v>Row Not Used</v>
      </c>
      <c r="AN493" s="512" t="e" cm="1">
        <f t="array" ref="AN493">INDEX(BallastFactorTable[Ballast Factor],MATCH(1,(BallastFactorTable[Fixture Class]=D493)*(BallastFactorTable[Fixture Category]=E493)*(BallastFactorTable[Fixture Sub-category]=F493),0))</f>
        <v>#N/A</v>
      </c>
      <c r="AO493" s="143" t="str">
        <f t="shared" si="219"/>
        <v/>
      </c>
      <c r="AP493" s="501" t="e" cm="1">
        <f t="array" ref="AP493">INDEX(BallastFactorTable[Wattage Range Name],MATCH(1,(BallastFactorTable[Fixture Class]=D493)*(BallastFactorTable[Fixture Category]=E493)*(BallastFactorTable[Fixture Sub-category]=F493),0))</f>
        <v>#N/A</v>
      </c>
      <c r="AQ493" s="515" t="str">
        <f t="shared" ca="1" si="207"/>
        <v>Okay</v>
      </c>
      <c r="AR493" s="512">
        <f t="shared" si="208"/>
        <v>0</v>
      </c>
      <c r="AS493" s="511" t="str">
        <f>IF(OR(Measures!AM493="Row Not Used",Measures!C493="Controls Only",Measures!C493="Decommissioning"),"",_xlfn.CONCAT(P493," ",Q493))</f>
        <v/>
      </c>
      <c r="AT493" s="264" t="str">
        <f t="shared" si="209"/>
        <v>None</v>
      </c>
      <c r="AU493" s="229">
        <f>IF(OR(AM493="Row Not Used",AM493="Controls Only"),0,INDEX(IncentiveRateTable[Incentive Rate],MATCH(AT493,IncentiveRateTable[Incentive Name],0)))</f>
        <v>0</v>
      </c>
      <c r="AV493" s="133" t="str">
        <f>IF(OR(AM493="Row Not Used",AM493="Controls Only"),"None",INDEX(IncentiveRateTable[Incentive Unit],MATCH(AT493,IncentiveRateTable[Incentive Name],0)))</f>
        <v>None</v>
      </c>
      <c r="AW493" s="578">
        <f t="shared" si="220"/>
        <v>0</v>
      </c>
      <c r="AX493" s="264" t="str">
        <f t="shared" si="210"/>
        <v>None</v>
      </c>
      <c r="AY493" s="229">
        <f>IF(OR(AM493="Row Not Used",AM493="Fixtures Only",AM493="Decommissioning"),0,INDEX(IncentiveRateTable[Incentive Rate],MATCH(AX493,IncentiveRateTable[Incentive Name],0)))</f>
        <v>0</v>
      </c>
      <c r="AZ493" s="133" t="str">
        <f>IF(OR(AM493="Row Not Used",AM493="Fixtures Only",AM493="Decommissioning"),"None",INDEX(IncentiveRateTable[Incentive Unit],MATCH(AX493,IncentiveRateTable[Incentive Name],0)))</f>
        <v>None</v>
      </c>
      <c r="BA493" s="465">
        <f t="shared" si="211"/>
        <v>0</v>
      </c>
      <c r="BB493" s="264" t="e" cm="1">
        <f t="array" ref="BB493">INDEX(BallastFactorTable[Commercial BPA Reference Number],MATCH(1,(BallastFactorTable[Fixture Class]=J493)*(BallastFactorTable[Fixture Category]=K493)*(BallastFactorTable[Fixture Sub-category]=L493),0))</f>
        <v>#N/A</v>
      </c>
      <c r="BC493" s="133" t="e" cm="1">
        <f t="array" ref="BC493">INDEX(BallastFactorTable[Industrial BPA Reference Number],MATCH(1,(BallastFactorTable[Fixture Class]=J493)*(BallastFactorTable[Fixture Category]=K493)*(BallastFactorTable[Fixture Sub-category]=L493),0))</f>
        <v>#N/A</v>
      </c>
      <c r="BD493" s="264" t="str">
        <f t="shared" si="212"/>
        <v>Sector is blank</v>
      </c>
      <c r="BE493" s="269" t="str">
        <f>IF(ISBLANK(SectorField),"Sector is blank",IF(AM493="Row Not Used","",IF(OR(R493="No Controls",ISBLANK(R493)),"",INDEX(ControlsBPARefNoTable[Reference Number],MATCH(SectorField,ControlsBPARefNoTable[Sector],0)))))</f>
        <v>Sector is blank</v>
      </c>
      <c r="BF493" s="530" t="str">
        <f t="shared" si="213"/>
        <v/>
      </c>
      <c r="BG493" s="132" t="str">
        <f t="shared" si="214"/>
        <v/>
      </c>
      <c r="BH493" s="531" t="str">
        <f t="shared" si="215"/>
        <v/>
      </c>
      <c r="BI493" s="532"/>
      <c r="BJ493" s="538" t="str">
        <f t="shared" si="221"/>
        <v/>
      </c>
      <c r="BK493" s="539" t="str">
        <f t="shared" si="222"/>
        <v/>
      </c>
      <c r="BL493" s="547" t="str">
        <f t="shared" si="223"/>
        <v/>
      </c>
    </row>
    <row r="494" spans="1:64" x14ac:dyDescent="0.3">
      <c r="A494" s="133">
        <v>487</v>
      </c>
      <c r="B494" s="294"/>
      <c r="C494" s="313"/>
      <c r="D494" s="292"/>
      <c r="E494" s="284"/>
      <c r="F494" s="284"/>
      <c r="G494" s="295"/>
      <c r="H494" s="296"/>
      <c r="I494" s="297"/>
      <c r="J494" s="292"/>
      <c r="K494" s="284"/>
      <c r="L494" s="284"/>
      <c r="M494" s="295"/>
      <c r="N494" s="296"/>
      <c r="O494" s="296"/>
      <c r="P494" s="284"/>
      <c r="Q494" s="298"/>
      <c r="R494" s="292"/>
      <c r="S494" s="299"/>
      <c r="T494" s="300"/>
      <c r="U494" s="317" t="str">
        <f t="shared" si="197"/>
        <v/>
      </c>
      <c r="V494" s="301"/>
      <c r="W494" s="137" t="str">
        <f t="shared" si="198"/>
        <v/>
      </c>
      <c r="X494" s="589" t="str">
        <f t="shared" si="216"/>
        <v/>
      </c>
      <c r="Y494" s="581"/>
      <c r="Z494" s="251" t="str">
        <f t="shared" si="199"/>
        <v/>
      </c>
      <c r="AA494" s="138" t="str">
        <f t="shared" si="224"/>
        <v/>
      </c>
      <c r="AB494" s="243" t="str">
        <f t="shared" si="217"/>
        <v/>
      </c>
      <c r="AC494" s="141" t="str">
        <f t="shared" si="200"/>
        <v/>
      </c>
      <c r="AD494" s="138" t="str">
        <f t="shared" si="218"/>
        <v/>
      </c>
      <c r="AE494" s="243" t="str">
        <f t="shared" si="201"/>
        <v/>
      </c>
      <c r="AF494" s="342" t="str">
        <f>IF(AM494="Row Not Used","",INDEX(SpaceTable[Annual Hours],(MATCH(B494,SpaceTable[Space Name Concatenated Helper],0))))</f>
        <v/>
      </c>
      <c r="AG494" s="205" t="str">
        <f t="shared" si="202"/>
        <v/>
      </c>
      <c r="AH494" s="234" t="str">
        <f t="shared" si="203"/>
        <v/>
      </c>
      <c r="AI494" s="205" t="str">
        <f t="shared" si="204"/>
        <v/>
      </c>
      <c r="AJ494" s="234" t="str">
        <f t="shared" si="205"/>
        <v/>
      </c>
      <c r="AK494" s="144" t="str">
        <f>IF(AM494="Row Not Used","",INDEX(SpaceTable[Row],(MATCH(B494,SpaceTable[Space Name Concatenated Helper],0))))</f>
        <v/>
      </c>
      <c r="AL494" s="238" t="str">
        <f>IF(AM494="Row Not Used","",INDEX(SpaceTable[HVAC Factor],(MATCH(B494,SpaceTable[Space Name Concatenated Helper],0))))</f>
        <v/>
      </c>
      <c r="AM494" s="520" t="str">
        <f t="shared" si="206"/>
        <v>Row Not Used</v>
      </c>
      <c r="AN494" s="512" t="e" cm="1">
        <f t="array" ref="AN494">INDEX(BallastFactorTable[Ballast Factor],MATCH(1,(BallastFactorTable[Fixture Class]=D494)*(BallastFactorTable[Fixture Category]=E494)*(BallastFactorTable[Fixture Sub-category]=F494),0))</f>
        <v>#N/A</v>
      </c>
      <c r="AO494" s="143" t="str">
        <f t="shared" si="219"/>
        <v/>
      </c>
      <c r="AP494" s="501" t="e" cm="1">
        <f t="array" ref="AP494">INDEX(BallastFactorTable[Wattage Range Name],MATCH(1,(BallastFactorTable[Fixture Class]=D494)*(BallastFactorTable[Fixture Category]=E494)*(BallastFactorTable[Fixture Sub-category]=F494),0))</f>
        <v>#N/A</v>
      </c>
      <c r="AQ494" s="515" t="str">
        <f t="shared" ca="1" si="207"/>
        <v>Okay</v>
      </c>
      <c r="AR494" s="512">
        <f t="shared" si="208"/>
        <v>0</v>
      </c>
      <c r="AS494" s="511" t="str">
        <f>IF(OR(Measures!AM494="Row Not Used",Measures!C494="Controls Only",Measures!C494="Decommissioning"),"",_xlfn.CONCAT(P494," ",Q494))</f>
        <v/>
      </c>
      <c r="AT494" s="264" t="str">
        <f t="shared" si="209"/>
        <v>None</v>
      </c>
      <c r="AU494" s="229">
        <f>IF(OR(AM494="Row Not Used",AM494="Controls Only"),0,INDEX(IncentiveRateTable[Incentive Rate],MATCH(AT494,IncentiveRateTable[Incentive Name],0)))</f>
        <v>0</v>
      </c>
      <c r="AV494" s="133" t="str">
        <f>IF(OR(AM494="Row Not Used",AM494="Controls Only"),"None",INDEX(IncentiveRateTable[Incentive Unit],MATCH(AT494,IncentiveRateTable[Incentive Name],0)))</f>
        <v>None</v>
      </c>
      <c r="AW494" s="578">
        <f t="shared" si="220"/>
        <v>0</v>
      </c>
      <c r="AX494" s="264" t="str">
        <f t="shared" si="210"/>
        <v>None</v>
      </c>
      <c r="AY494" s="229">
        <f>IF(OR(AM494="Row Not Used",AM494="Fixtures Only",AM494="Decommissioning"),0,INDEX(IncentiveRateTable[Incentive Rate],MATCH(AX494,IncentiveRateTable[Incentive Name],0)))</f>
        <v>0</v>
      </c>
      <c r="AZ494" s="133" t="str">
        <f>IF(OR(AM494="Row Not Used",AM494="Fixtures Only",AM494="Decommissioning"),"None",INDEX(IncentiveRateTable[Incentive Unit],MATCH(AX494,IncentiveRateTable[Incentive Name],0)))</f>
        <v>None</v>
      </c>
      <c r="BA494" s="465">
        <f t="shared" si="211"/>
        <v>0</v>
      </c>
      <c r="BB494" s="264" t="e" cm="1">
        <f t="array" ref="BB494">INDEX(BallastFactorTable[Commercial BPA Reference Number],MATCH(1,(BallastFactorTable[Fixture Class]=J494)*(BallastFactorTable[Fixture Category]=K494)*(BallastFactorTable[Fixture Sub-category]=L494),0))</f>
        <v>#N/A</v>
      </c>
      <c r="BC494" s="133" t="e" cm="1">
        <f t="array" ref="BC494">INDEX(BallastFactorTable[Industrial BPA Reference Number],MATCH(1,(BallastFactorTable[Fixture Class]=J494)*(BallastFactorTable[Fixture Category]=K494)*(BallastFactorTable[Fixture Sub-category]=L494),0))</f>
        <v>#N/A</v>
      </c>
      <c r="BD494" s="264" t="str">
        <f t="shared" si="212"/>
        <v>Sector is blank</v>
      </c>
      <c r="BE494" s="269" t="str">
        <f>IF(ISBLANK(SectorField),"Sector is blank",IF(AM494="Row Not Used","",IF(OR(R494="No Controls",ISBLANK(R494)),"",INDEX(ControlsBPARefNoTable[Reference Number],MATCH(SectorField,ControlsBPARefNoTable[Sector],0)))))</f>
        <v>Sector is blank</v>
      </c>
      <c r="BF494" s="530" t="str">
        <f t="shared" si="213"/>
        <v/>
      </c>
      <c r="BG494" s="132" t="str">
        <f t="shared" si="214"/>
        <v/>
      </c>
      <c r="BH494" s="531" t="str">
        <f t="shared" si="215"/>
        <v/>
      </c>
      <c r="BI494" s="532"/>
      <c r="BJ494" s="538" t="str">
        <f t="shared" si="221"/>
        <v/>
      </c>
      <c r="BK494" s="539" t="str">
        <f t="shared" si="222"/>
        <v/>
      </c>
      <c r="BL494" s="547" t="str">
        <f t="shared" si="223"/>
        <v/>
      </c>
    </row>
    <row r="495" spans="1:64" x14ac:dyDescent="0.3">
      <c r="A495" s="133">
        <v>488</v>
      </c>
      <c r="B495" s="294"/>
      <c r="C495" s="313"/>
      <c r="D495" s="292"/>
      <c r="E495" s="284"/>
      <c r="F495" s="284"/>
      <c r="G495" s="295"/>
      <c r="H495" s="296"/>
      <c r="I495" s="297"/>
      <c r="J495" s="292"/>
      <c r="K495" s="284"/>
      <c r="L495" s="284"/>
      <c r="M495" s="295"/>
      <c r="N495" s="296"/>
      <c r="O495" s="296"/>
      <c r="P495" s="284"/>
      <c r="Q495" s="298"/>
      <c r="R495" s="292"/>
      <c r="S495" s="299"/>
      <c r="T495" s="300"/>
      <c r="U495" s="317" t="str">
        <f t="shared" si="197"/>
        <v/>
      </c>
      <c r="V495" s="301"/>
      <c r="W495" s="136" t="str">
        <f t="shared" si="198"/>
        <v/>
      </c>
      <c r="X495" s="588" t="str">
        <f t="shared" si="216"/>
        <v/>
      </c>
      <c r="Y495" s="580"/>
      <c r="Z495" s="251" t="str">
        <f t="shared" si="199"/>
        <v/>
      </c>
      <c r="AA495" s="138" t="str">
        <f t="shared" si="224"/>
        <v/>
      </c>
      <c r="AB495" s="243" t="str">
        <f t="shared" si="217"/>
        <v/>
      </c>
      <c r="AC495" s="141" t="str">
        <f t="shared" si="200"/>
        <v/>
      </c>
      <c r="AD495" s="138" t="str">
        <f t="shared" si="218"/>
        <v/>
      </c>
      <c r="AE495" s="243" t="str">
        <f t="shared" si="201"/>
        <v/>
      </c>
      <c r="AF495" s="342" t="str">
        <f>IF(AM495="Row Not Used","",INDEX(SpaceTable[Annual Hours],(MATCH(B495,SpaceTable[Space Name Concatenated Helper],0))))</f>
        <v/>
      </c>
      <c r="AG495" s="205" t="str">
        <f t="shared" si="202"/>
        <v/>
      </c>
      <c r="AH495" s="234" t="str">
        <f t="shared" si="203"/>
        <v/>
      </c>
      <c r="AI495" s="205" t="str">
        <f t="shared" si="204"/>
        <v/>
      </c>
      <c r="AJ495" s="234" t="str">
        <f t="shared" si="205"/>
        <v/>
      </c>
      <c r="AK495" s="144" t="str">
        <f>IF(AM495="Row Not Used","",INDEX(SpaceTable[Row],(MATCH(B495,SpaceTable[Space Name Concatenated Helper],0))))</f>
        <v/>
      </c>
      <c r="AL495" s="238" t="str">
        <f>IF(AM495="Row Not Used","",INDEX(SpaceTable[HVAC Factor],(MATCH(B495,SpaceTable[Space Name Concatenated Helper],0))))</f>
        <v/>
      </c>
      <c r="AM495" s="520" t="str">
        <f t="shared" si="206"/>
        <v>Row Not Used</v>
      </c>
      <c r="AN495" s="512" t="e" cm="1">
        <f t="array" ref="AN495">INDEX(BallastFactorTable[Ballast Factor],MATCH(1,(BallastFactorTable[Fixture Class]=D495)*(BallastFactorTable[Fixture Category]=E495)*(BallastFactorTable[Fixture Sub-category]=F495),0))</f>
        <v>#N/A</v>
      </c>
      <c r="AO495" s="143" t="str">
        <f t="shared" si="219"/>
        <v/>
      </c>
      <c r="AP495" s="501" t="e" cm="1">
        <f t="array" ref="AP495">INDEX(BallastFactorTable[Wattage Range Name],MATCH(1,(BallastFactorTable[Fixture Class]=D495)*(BallastFactorTable[Fixture Category]=E495)*(BallastFactorTable[Fixture Sub-category]=F495),0))</f>
        <v>#N/A</v>
      </c>
      <c r="AQ495" s="515" t="str">
        <f t="shared" ca="1" si="207"/>
        <v>Okay</v>
      </c>
      <c r="AR495" s="512">
        <f t="shared" si="208"/>
        <v>0</v>
      </c>
      <c r="AS495" s="511" t="str">
        <f>IF(OR(Measures!AM495="Row Not Used",Measures!C495="Controls Only",Measures!C495="Decommissioning"),"",_xlfn.CONCAT(P495," ",Q495))</f>
        <v/>
      </c>
      <c r="AT495" s="264" t="str">
        <f t="shared" si="209"/>
        <v>None</v>
      </c>
      <c r="AU495" s="229">
        <f>IF(OR(AM495="Row Not Used",AM495="Controls Only"),0,INDEX(IncentiveRateTable[Incentive Rate],MATCH(AT495,IncentiveRateTable[Incentive Name],0)))</f>
        <v>0</v>
      </c>
      <c r="AV495" s="133" t="str">
        <f>IF(OR(AM495="Row Not Used",AM495="Controls Only"),"None",INDEX(IncentiveRateTable[Incentive Unit],MATCH(AT495,IncentiveRateTable[Incentive Name],0)))</f>
        <v>None</v>
      </c>
      <c r="AW495" s="578">
        <f t="shared" si="220"/>
        <v>0</v>
      </c>
      <c r="AX495" s="264" t="str">
        <f t="shared" si="210"/>
        <v>None</v>
      </c>
      <c r="AY495" s="229">
        <f>IF(OR(AM495="Row Not Used",AM495="Fixtures Only",AM495="Decommissioning"),0,INDEX(IncentiveRateTable[Incentive Rate],MATCH(AX495,IncentiveRateTable[Incentive Name],0)))</f>
        <v>0</v>
      </c>
      <c r="AZ495" s="133" t="str">
        <f>IF(OR(AM495="Row Not Used",AM495="Fixtures Only",AM495="Decommissioning"),"None",INDEX(IncentiveRateTable[Incentive Unit],MATCH(AX495,IncentiveRateTable[Incentive Name],0)))</f>
        <v>None</v>
      </c>
      <c r="BA495" s="465">
        <f t="shared" si="211"/>
        <v>0</v>
      </c>
      <c r="BB495" s="264" t="e" cm="1">
        <f t="array" ref="BB495">INDEX(BallastFactorTable[Commercial BPA Reference Number],MATCH(1,(BallastFactorTable[Fixture Class]=J495)*(BallastFactorTable[Fixture Category]=K495)*(BallastFactorTable[Fixture Sub-category]=L495),0))</f>
        <v>#N/A</v>
      </c>
      <c r="BC495" s="133" t="e" cm="1">
        <f t="array" ref="BC495">INDEX(BallastFactorTable[Industrial BPA Reference Number],MATCH(1,(BallastFactorTable[Fixture Class]=J495)*(BallastFactorTable[Fixture Category]=K495)*(BallastFactorTable[Fixture Sub-category]=L495),0))</f>
        <v>#N/A</v>
      </c>
      <c r="BD495" s="264" t="str">
        <f t="shared" si="212"/>
        <v>Sector is blank</v>
      </c>
      <c r="BE495" s="269" t="str">
        <f>IF(ISBLANK(SectorField),"Sector is blank",IF(AM495="Row Not Used","",IF(OR(R495="No Controls",ISBLANK(R495)),"",INDEX(ControlsBPARefNoTable[Reference Number],MATCH(SectorField,ControlsBPARefNoTable[Sector],0)))))</f>
        <v>Sector is blank</v>
      </c>
      <c r="BF495" s="530" t="str">
        <f t="shared" si="213"/>
        <v/>
      </c>
      <c r="BG495" s="132" t="str">
        <f t="shared" si="214"/>
        <v/>
      </c>
      <c r="BH495" s="531" t="str">
        <f t="shared" si="215"/>
        <v/>
      </c>
      <c r="BI495" s="532"/>
      <c r="BJ495" s="538" t="str">
        <f t="shared" si="221"/>
        <v/>
      </c>
      <c r="BK495" s="539" t="str">
        <f t="shared" si="222"/>
        <v/>
      </c>
      <c r="BL495" s="547" t="str">
        <f t="shared" si="223"/>
        <v/>
      </c>
    </row>
    <row r="496" spans="1:64" x14ac:dyDescent="0.3">
      <c r="A496" s="133">
        <v>489</v>
      </c>
      <c r="B496" s="294"/>
      <c r="C496" s="313"/>
      <c r="D496" s="292"/>
      <c r="E496" s="284"/>
      <c r="F496" s="284"/>
      <c r="G496" s="295"/>
      <c r="H496" s="296"/>
      <c r="I496" s="297"/>
      <c r="J496" s="292"/>
      <c r="K496" s="284"/>
      <c r="L496" s="284"/>
      <c r="M496" s="295"/>
      <c r="N496" s="296"/>
      <c r="O496" s="296"/>
      <c r="P496" s="284"/>
      <c r="Q496" s="298"/>
      <c r="R496" s="292"/>
      <c r="S496" s="299"/>
      <c r="T496" s="300"/>
      <c r="U496" s="317" t="str">
        <f t="shared" si="197"/>
        <v/>
      </c>
      <c r="V496" s="301"/>
      <c r="W496" s="137" t="str">
        <f t="shared" si="198"/>
        <v/>
      </c>
      <c r="X496" s="589" t="str">
        <f t="shared" si="216"/>
        <v/>
      </c>
      <c r="Y496" s="581"/>
      <c r="Z496" s="251" t="str">
        <f t="shared" si="199"/>
        <v/>
      </c>
      <c r="AA496" s="138" t="str">
        <f t="shared" si="224"/>
        <v/>
      </c>
      <c r="AB496" s="243" t="str">
        <f t="shared" si="217"/>
        <v/>
      </c>
      <c r="AC496" s="141" t="str">
        <f t="shared" si="200"/>
        <v/>
      </c>
      <c r="AD496" s="138" t="str">
        <f t="shared" si="218"/>
        <v/>
      </c>
      <c r="AE496" s="243" t="str">
        <f t="shared" si="201"/>
        <v/>
      </c>
      <c r="AF496" s="342" t="str">
        <f>IF(AM496="Row Not Used","",INDEX(SpaceTable[Annual Hours],(MATCH(B496,SpaceTable[Space Name Concatenated Helper],0))))</f>
        <v/>
      </c>
      <c r="AG496" s="205" t="str">
        <f t="shared" si="202"/>
        <v/>
      </c>
      <c r="AH496" s="234" t="str">
        <f t="shared" si="203"/>
        <v/>
      </c>
      <c r="AI496" s="205" t="str">
        <f t="shared" si="204"/>
        <v/>
      </c>
      <c r="AJ496" s="234" t="str">
        <f t="shared" si="205"/>
        <v/>
      </c>
      <c r="AK496" s="144" t="str">
        <f>IF(AM496="Row Not Used","",INDEX(SpaceTable[Row],(MATCH(B496,SpaceTable[Space Name Concatenated Helper],0))))</f>
        <v/>
      </c>
      <c r="AL496" s="238" t="str">
        <f>IF(AM496="Row Not Used","",INDEX(SpaceTable[HVAC Factor],(MATCH(B496,SpaceTable[Space Name Concatenated Helper],0))))</f>
        <v/>
      </c>
      <c r="AM496" s="520" t="str">
        <f t="shared" si="206"/>
        <v>Row Not Used</v>
      </c>
      <c r="AN496" s="512" t="e" cm="1">
        <f t="array" ref="AN496">INDEX(BallastFactorTable[Ballast Factor],MATCH(1,(BallastFactorTable[Fixture Class]=D496)*(BallastFactorTable[Fixture Category]=E496)*(BallastFactorTable[Fixture Sub-category]=F496),0))</f>
        <v>#N/A</v>
      </c>
      <c r="AO496" s="143" t="str">
        <f t="shared" si="219"/>
        <v/>
      </c>
      <c r="AP496" s="501" t="e" cm="1">
        <f t="array" ref="AP496">INDEX(BallastFactorTable[Wattage Range Name],MATCH(1,(BallastFactorTable[Fixture Class]=D496)*(BallastFactorTable[Fixture Category]=E496)*(BallastFactorTable[Fixture Sub-category]=F496),0))</f>
        <v>#N/A</v>
      </c>
      <c r="AQ496" s="515" t="str">
        <f t="shared" ca="1" si="207"/>
        <v>Okay</v>
      </c>
      <c r="AR496" s="512">
        <f t="shared" si="208"/>
        <v>0</v>
      </c>
      <c r="AS496" s="511" t="str">
        <f>IF(OR(Measures!AM496="Row Not Used",Measures!C496="Controls Only",Measures!C496="Decommissioning"),"",_xlfn.CONCAT(P496," ",Q496))</f>
        <v/>
      </c>
      <c r="AT496" s="264" t="str">
        <f t="shared" si="209"/>
        <v>None</v>
      </c>
      <c r="AU496" s="229">
        <f>IF(OR(AM496="Row Not Used",AM496="Controls Only"),0,INDEX(IncentiveRateTable[Incentive Rate],MATCH(AT496,IncentiveRateTable[Incentive Name],0)))</f>
        <v>0</v>
      </c>
      <c r="AV496" s="133" t="str">
        <f>IF(OR(AM496="Row Not Used",AM496="Controls Only"),"None",INDEX(IncentiveRateTable[Incentive Unit],MATCH(AT496,IncentiveRateTable[Incentive Name],0)))</f>
        <v>None</v>
      </c>
      <c r="AW496" s="578">
        <f t="shared" si="220"/>
        <v>0</v>
      </c>
      <c r="AX496" s="264" t="str">
        <f t="shared" si="210"/>
        <v>None</v>
      </c>
      <c r="AY496" s="229">
        <f>IF(OR(AM496="Row Not Used",AM496="Fixtures Only",AM496="Decommissioning"),0,INDEX(IncentiveRateTable[Incentive Rate],MATCH(AX496,IncentiveRateTable[Incentive Name],0)))</f>
        <v>0</v>
      </c>
      <c r="AZ496" s="133" t="str">
        <f>IF(OR(AM496="Row Not Used",AM496="Fixtures Only",AM496="Decommissioning"),"None",INDEX(IncentiveRateTable[Incentive Unit],MATCH(AX496,IncentiveRateTable[Incentive Name],0)))</f>
        <v>None</v>
      </c>
      <c r="BA496" s="465">
        <f t="shared" si="211"/>
        <v>0</v>
      </c>
      <c r="BB496" s="264" t="e" cm="1">
        <f t="array" ref="BB496">INDEX(BallastFactorTable[Commercial BPA Reference Number],MATCH(1,(BallastFactorTable[Fixture Class]=J496)*(BallastFactorTable[Fixture Category]=K496)*(BallastFactorTable[Fixture Sub-category]=L496),0))</f>
        <v>#N/A</v>
      </c>
      <c r="BC496" s="133" t="e" cm="1">
        <f t="array" ref="BC496">INDEX(BallastFactorTable[Industrial BPA Reference Number],MATCH(1,(BallastFactorTable[Fixture Class]=J496)*(BallastFactorTable[Fixture Category]=K496)*(BallastFactorTable[Fixture Sub-category]=L496),0))</f>
        <v>#N/A</v>
      </c>
      <c r="BD496" s="264" t="str">
        <f t="shared" si="212"/>
        <v>Sector is blank</v>
      </c>
      <c r="BE496" s="269" t="str">
        <f>IF(ISBLANK(SectorField),"Sector is blank",IF(AM496="Row Not Used","",IF(OR(R496="No Controls",ISBLANK(R496)),"",INDEX(ControlsBPARefNoTable[Reference Number],MATCH(SectorField,ControlsBPARefNoTable[Sector],0)))))</f>
        <v>Sector is blank</v>
      </c>
      <c r="BF496" s="530" t="str">
        <f t="shared" si="213"/>
        <v/>
      </c>
      <c r="BG496" s="132" t="str">
        <f t="shared" si="214"/>
        <v/>
      </c>
      <c r="BH496" s="531" t="str">
        <f t="shared" si="215"/>
        <v/>
      </c>
      <c r="BI496" s="532"/>
      <c r="BJ496" s="538" t="str">
        <f t="shared" si="221"/>
        <v/>
      </c>
      <c r="BK496" s="539" t="str">
        <f t="shared" si="222"/>
        <v/>
      </c>
      <c r="BL496" s="547" t="str">
        <f t="shared" si="223"/>
        <v/>
      </c>
    </row>
    <row r="497" spans="1:64" x14ac:dyDescent="0.3">
      <c r="A497" s="133">
        <v>490</v>
      </c>
      <c r="B497" s="294"/>
      <c r="C497" s="313"/>
      <c r="D497" s="292"/>
      <c r="E497" s="284"/>
      <c r="F497" s="284"/>
      <c r="G497" s="295"/>
      <c r="H497" s="296"/>
      <c r="I497" s="297"/>
      <c r="J497" s="292"/>
      <c r="K497" s="284"/>
      <c r="L497" s="284"/>
      <c r="M497" s="295"/>
      <c r="N497" s="296"/>
      <c r="O497" s="296"/>
      <c r="P497" s="284"/>
      <c r="Q497" s="298"/>
      <c r="R497" s="292"/>
      <c r="S497" s="299"/>
      <c r="T497" s="300"/>
      <c r="U497" s="317" t="str">
        <f t="shared" si="197"/>
        <v/>
      </c>
      <c r="V497" s="301"/>
      <c r="W497" s="136" t="str">
        <f t="shared" si="198"/>
        <v/>
      </c>
      <c r="X497" s="588" t="str">
        <f t="shared" si="216"/>
        <v/>
      </c>
      <c r="Y497" s="580"/>
      <c r="Z497" s="251" t="str">
        <f t="shared" si="199"/>
        <v/>
      </c>
      <c r="AA497" s="138" t="str">
        <f t="shared" si="224"/>
        <v/>
      </c>
      <c r="AB497" s="243" t="str">
        <f t="shared" si="217"/>
        <v/>
      </c>
      <c r="AC497" s="141" t="str">
        <f t="shared" si="200"/>
        <v/>
      </c>
      <c r="AD497" s="138" t="str">
        <f t="shared" si="218"/>
        <v/>
      </c>
      <c r="AE497" s="243" t="str">
        <f t="shared" si="201"/>
        <v/>
      </c>
      <c r="AF497" s="342" t="str">
        <f>IF(AM497="Row Not Used","",INDEX(SpaceTable[Annual Hours],(MATCH(B497,SpaceTable[Space Name Concatenated Helper],0))))</f>
        <v/>
      </c>
      <c r="AG497" s="205" t="str">
        <f t="shared" si="202"/>
        <v/>
      </c>
      <c r="AH497" s="234" t="str">
        <f t="shared" si="203"/>
        <v/>
      </c>
      <c r="AI497" s="205" t="str">
        <f t="shared" si="204"/>
        <v/>
      </c>
      <c r="AJ497" s="234" t="str">
        <f t="shared" si="205"/>
        <v/>
      </c>
      <c r="AK497" s="144" t="str">
        <f>IF(AM497="Row Not Used","",INDEX(SpaceTable[Row],(MATCH(B497,SpaceTable[Space Name Concatenated Helper],0))))</f>
        <v/>
      </c>
      <c r="AL497" s="238" t="str">
        <f>IF(AM497="Row Not Used","",INDEX(SpaceTable[HVAC Factor],(MATCH(B497,SpaceTable[Space Name Concatenated Helper],0))))</f>
        <v/>
      </c>
      <c r="AM497" s="520" t="str">
        <f t="shared" si="206"/>
        <v>Row Not Used</v>
      </c>
      <c r="AN497" s="512" t="e" cm="1">
        <f t="array" ref="AN497">INDEX(BallastFactorTable[Ballast Factor],MATCH(1,(BallastFactorTable[Fixture Class]=D497)*(BallastFactorTable[Fixture Category]=E497)*(BallastFactorTable[Fixture Sub-category]=F497),0))</f>
        <v>#N/A</v>
      </c>
      <c r="AO497" s="143" t="str">
        <f t="shared" si="219"/>
        <v/>
      </c>
      <c r="AP497" s="501" t="e" cm="1">
        <f t="array" ref="AP497">INDEX(BallastFactorTable[Wattage Range Name],MATCH(1,(BallastFactorTable[Fixture Class]=D497)*(BallastFactorTable[Fixture Category]=E497)*(BallastFactorTable[Fixture Sub-category]=F497),0))</f>
        <v>#N/A</v>
      </c>
      <c r="AQ497" s="515" t="str">
        <f t="shared" ca="1" si="207"/>
        <v>Okay</v>
      </c>
      <c r="AR497" s="512">
        <f t="shared" si="208"/>
        <v>0</v>
      </c>
      <c r="AS497" s="511" t="str">
        <f>IF(OR(Measures!AM497="Row Not Used",Measures!C497="Controls Only",Measures!C497="Decommissioning"),"",_xlfn.CONCAT(P497," ",Q497))</f>
        <v/>
      </c>
      <c r="AT497" s="264" t="str">
        <f t="shared" si="209"/>
        <v>None</v>
      </c>
      <c r="AU497" s="229">
        <f>IF(OR(AM497="Row Not Used",AM497="Controls Only"),0,INDEX(IncentiveRateTable[Incentive Rate],MATCH(AT497,IncentiveRateTable[Incentive Name],0)))</f>
        <v>0</v>
      </c>
      <c r="AV497" s="133" t="str">
        <f>IF(OR(AM497="Row Not Used",AM497="Controls Only"),"None",INDEX(IncentiveRateTable[Incentive Unit],MATCH(AT497,IncentiveRateTable[Incentive Name],0)))</f>
        <v>None</v>
      </c>
      <c r="AW497" s="578">
        <f t="shared" si="220"/>
        <v>0</v>
      </c>
      <c r="AX497" s="264" t="str">
        <f t="shared" si="210"/>
        <v>None</v>
      </c>
      <c r="AY497" s="229">
        <f>IF(OR(AM497="Row Not Used",AM497="Fixtures Only",AM497="Decommissioning"),0,INDEX(IncentiveRateTable[Incentive Rate],MATCH(AX497,IncentiveRateTable[Incentive Name],0)))</f>
        <v>0</v>
      </c>
      <c r="AZ497" s="133" t="str">
        <f>IF(OR(AM497="Row Not Used",AM497="Fixtures Only",AM497="Decommissioning"),"None",INDEX(IncentiveRateTable[Incentive Unit],MATCH(AX497,IncentiveRateTable[Incentive Name],0)))</f>
        <v>None</v>
      </c>
      <c r="BA497" s="465">
        <f t="shared" si="211"/>
        <v>0</v>
      </c>
      <c r="BB497" s="264" t="e" cm="1">
        <f t="array" ref="BB497">INDEX(BallastFactorTable[Commercial BPA Reference Number],MATCH(1,(BallastFactorTable[Fixture Class]=J497)*(BallastFactorTable[Fixture Category]=K497)*(BallastFactorTable[Fixture Sub-category]=L497),0))</f>
        <v>#N/A</v>
      </c>
      <c r="BC497" s="133" t="e" cm="1">
        <f t="array" ref="BC497">INDEX(BallastFactorTable[Industrial BPA Reference Number],MATCH(1,(BallastFactorTable[Fixture Class]=J497)*(BallastFactorTable[Fixture Category]=K497)*(BallastFactorTable[Fixture Sub-category]=L497),0))</f>
        <v>#N/A</v>
      </c>
      <c r="BD497" s="264" t="str">
        <f t="shared" si="212"/>
        <v>Sector is blank</v>
      </c>
      <c r="BE497" s="269" t="str">
        <f>IF(ISBLANK(SectorField),"Sector is blank",IF(AM497="Row Not Used","",IF(OR(R497="No Controls",ISBLANK(R497)),"",INDEX(ControlsBPARefNoTable[Reference Number],MATCH(SectorField,ControlsBPARefNoTable[Sector],0)))))</f>
        <v>Sector is blank</v>
      </c>
      <c r="BF497" s="530" t="str">
        <f t="shared" si="213"/>
        <v/>
      </c>
      <c r="BG497" s="132" t="str">
        <f t="shared" si="214"/>
        <v/>
      </c>
      <c r="BH497" s="531" t="str">
        <f t="shared" si="215"/>
        <v/>
      </c>
      <c r="BI497" s="532"/>
      <c r="BJ497" s="538" t="str">
        <f t="shared" si="221"/>
        <v/>
      </c>
      <c r="BK497" s="539" t="str">
        <f t="shared" si="222"/>
        <v/>
      </c>
      <c r="BL497" s="547" t="str">
        <f t="shared" si="223"/>
        <v/>
      </c>
    </row>
    <row r="498" spans="1:64" x14ac:dyDescent="0.3">
      <c r="A498" s="133">
        <v>491</v>
      </c>
      <c r="B498" s="294"/>
      <c r="C498" s="313"/>
      <c r="D498" s="292"/>
      <c r="E498" s="284"/>
      <c r="F498" s="284"/>
      <c r="G498" s="295"/>
      <c r="H498" s="296"/>
      <c r="I498" s="297"/>
      <c r="J498" s="292"/>
      <c r="K498" s="284"/>
      <c r="L498" s="284"/>
      <c r="M498" s="295"/>
      <c r="N498" s="296"/>
      <c r="O498" s="296"/>
      <c r="P498" s="284"/>
      <c r="Q498" s="298"/>
      <c r="R498" s="292"/>
      <c r="S498" s="299"/>
      <c r="T498" s="300"/>
      <c r="U498" s="317" t="str">
        <f t="shared" si="197"/>
        <v/>
      </c>
      <c r="V498" s="301"/>
      <c r="W498" s="137" t="str">
        <f t="shared" si="198"/>
        <v/>
      </c>
      <c r="X498" s="589" t="str">
        <f t="shared" si="216"/>
        <v/>
      </c>
      <c r="Y498" s="581"/>
      <c r="Z498" s="251" t="str">
        <f t="shared" si="199"/>
        <v/>
      </c>
      <c r="AA498" s="138" t="str">
        <f t="shared" si="224"/>
        <v/>
      </c>
      <c r="AB498" s="243" t="str">
        <f t="shared" si="217"/>
        <v/>
      </c>
      <c r="AC498" s="141" t="str">
        <f t="shared" si="200"/>
        <v/>
      </c>
      <c r="AD498" s="138" t="str">
        <f t="shared" si="218"/>
        <v/>
      </c>
      <c r="AE498" s="243" t="str">
        <f t="shared" si="201"/>
        <v/>
      </c>
      <c r="AF498" s="342" t="str">
        <f>IF(AM498="Row Not Used","",INDEX(SpaceTable[Annual Hours],(MATCH(B498,SpaceTable[Space Name Concatenated Helper],0))))</f>
        <v/>
      </c>
      <c r="AG498" s="205" t="str">
        <f t="shared" si="202"/>
        <v/>
      </c>
      <c r="AH498" s="234" t="str">
        <f t="shared" si="203"/>
        <v/>
      </c>
      <c r="AI498" s="205" t="str">
        <f t="shared" si="204"/>
        <v/>
      </c>
      <c r="AJ498" s="234" t="str">
        <f t="shared" si="205"/>
        <v/>
      </c>
      <c r="AK498" s="144" t="str">
        <f>IF(AM498="Row Not Used","",INDEX(SpaceTable[Row],(MATCH(B498,SpaceTable[Space Name Concatenated Helper],0))))</f>
        <v/>
      </c>
      <c r="AL498" s="238" t="str">
        <f>IF(AM498="Row Not Used","",INDEX(SpaceTable[HVAC Factor],(MATCH(B498,SpaceTable[Space Name Concatenated Helper],0))))</f>
        <v/>
      </c>
      <c r="AM498" s="520" t="str">
        <f t="shared" si="206"/>
        <v>Row Not Used</v>
      </c>
      <c r="AN498" s="512" t="e" cm="1">
        <f t="array" ref="AN498">INDEX(BallastFactorTable[Ballast Factor],MATCH(1,(BallastFactorTable[Fixture Class]=D498)*(BallastFactorTable[Fixture Category]=E498)*(BallastFactorTable[Fixture Sub-category]=F498),0))</f>
        <v>#N/A</v>
      </c>
      <c r="AO498" s="143" t="str">
        <f t="shared" si="219"/>
        <v/>
      </c>
      <c r="AP498" s="501" t="e" cm="1">
        <f t="array" ref="AP498">INDEX(BallastFactorTable[Wattage Range Name],MATCH(1,(BallastFactorTable[Fixture Class]=D498)*(BallastFactorTable[Fixture Category]=E498)*(BallastFactorTable[Fixture Sub-category]=F498),0))</f>
        <v>#N/A</v>
      </c>
      <c r="AQ498" s="515" t="str">
        <f t="shared" ca="1" si="207"/>
        <v>Okay</v>
      </c>
      <c r="AR498" s="512">
        <f t="shared" si="208"/>
        <v>0</v>
      </c>
      <c r="AS498" s="511" t="str">
        <f>IF(OR(Measures!AM498="Row Not Used",Measures!C498="Controls Only",Measures!C498="Decommissioning"),"",_xlfn.CONCAT(P498," ",Q498))</f>
        <v/>
      </c>
      <c r="AT498" s="264" t="str">
        <f t="shared" si="209"/>
        <v>None</v>
      </c>
      <c r="AU498" s="229">
        <f>IF(OR(AM498="Row Not Used",AM498="Controls Only"),0,INDEX(IncentiveRateTable[Incentive Rate],MATCH(AT498,IncentiveRateTable[Incentive Name],0)))</f>
        <v>0</v>
      </c>
      <c r="AV498" s="133" t="str">
        <f>IF(OR(AM498="Row Not Used",AM498="Controls Only"),"None",INDEX(IncentiveRateTable[Incentive Unit],MATCH(AT498,IncentiveRateTable[Incentive Name],0)))</f>
        <v>None</v>
      </c>
      <c r="AW498" s="578">
        <f t="shared" si="220"/>
        <v>0</v>
      </c>
      <c r="AX498" s="264" t="str">
        <f t="shared" si="210"/>
        <v>None</v>
      </c>
      <c r="AY498" s="229">
        <f>IF(OR(AM498="Row Not Used",AM498="Fixtures Only",AM498="Decommissioning"),0,INDEX(IncentiveRateTable[Incentive Rate],MATCH(AX498,IncentiveRateTable[Incentive Name],0)))</f>
        <v>0</v>
      </c>
      <c r="AZ498" s="133" t="str">
        <f>IF(OR(AM498="Row Not Used",AM498="Fixtures Only",AM498="Decommissioning"),"None",INDEX(IncentiveRateTable[Incentive Unit],MATCH(AX498,IncentiveRateTable[Incentive Name],0)))</f>
        <v>None</v>
      </c>
      <c r="BA498" s="465">
        <f t="shared" si="211"/>
        <v>0</v>
      </c>
      <c r="BB498" s="264" t="e" cm="1">
        <f t="array" ref="BB498">INDEX(BallastFactorTable[Commercial BPA Reference Number],MATCH(1,(BallastFactorTable[Fixture Class]=J498)*(BallastFactorTable[Fixture Category]=K498)*(BallastFactorTable[Fixture Sub-category]=L498),0))</f>
        <v>#N/A</v>
      </c>
      <c r="BC498" s="133" t="e" cm="1">
        <f t="array" ref="BC498">INDEX(BallastFactorTable[Industrial BPA Reference Number],MATCH(1,(BallastFactorTable[Fixture Class]=J498)*(BallastFactorTable[Fixture Category]=K498)*(BallastFactorTable[Fixture Sub-category]=L498),0))</f>
        <v>#N/A</v>
      </c>
      <c r="BD498" s="264" t="str">
        <f t="shared" si="212"/>
        <v>Sector is blank</v>
      </c>
      <c r="BE498" s="269" t="str">
        <f>IF(ISBLANK(SectorField),"Sector is blank",IF(AM498="Row Not Used","",IF(OR(R498="No Controls",ISBLANK(R498)),"",INDEX(ControlsBPARefNoTable[Reference Number],MATCH(SectorField,ControlsBPARefNoTable[Sector],0)))))</f>
        <v>Sector is blank</v>
      </c>
      <c r="BF498" s="530" t="str">
        <f t="shared" si="213"/>
        <v/>
      </c>
      <c r="BG498" s="132" t="str">
        <f t="shared" si="214"/>
        <v/>
      </c>
      <c r="BH498" s="531" t="str">
        <f t="shared" si="215"/>
        <v/>
      </c>
      <c r="BI498" s="532"/>
      <c r="BJ498" s="538" t="str">
        <f t="shared" si="221"/>
        <v/>
      </c>
      <c r="BK498" s="539" t="str">
        <f t="shared" si="222"/>
        <v/>
      </c>
      <c r="BL498" s="547" t="str">
        <f t="shared" si="223"/>
        <v/>
      </c>
    </row>
    <row r="499" spans="1:64" x14ac:dyDescent="0.3">
      <c r="A499" s="133">
        <v>492</v>
      </c>
      <c r="B499" s="294"/>
      <c r="C499" s="313"/>
      <c r="D499" s="292"/>
      <c r="E499" s="284"/>
      <c r="F499" s="284"/>
      <c r="G499" s="295"/>
      <c r="H499" s="296"/>
      <c r="I499" s="297"/>
      <c r="J499" s="292"/>
      <c r="K499" s="284"/>
      <c r="L499" s="284"/>
      <c r="M499" s="295"/>
      <c r="N499" s="296"/>
      <c r="O499" s="296"/>
      <c r="P499" s="284"/>
      <c r="Q499" s="298"/>
      <c r="R499" s="292"/>
      <c r="S499" s="299"/>
      <c r="T499" s="300"/>
      <c r="U499" s="317" t="str">
        <f t="shared" si="197"/>
        <v/>
      </c>
      <c r="V499" s="301"/>
      <c r="W499" s="136" t="str">
        <f t="shared" si="198"/>
        <v/>
      </c>
      <c r="X499" s="588" t="str">
        <f t="shared" si="216"/>
        <v/>
      </c>
      <c r="Y499" s="580"/>
      <c r="Z499" s="251" t="str">
        <f t="shared" si="199"/>
        <v/>
      </c>
      <c r="AA499" s="138" t="str">
        <f t="shared" si="224"/>
        <v/>
      </c>
      <c r="AB499" s="243" t="str">
        <f t="shared" si="217"/>
        <v/>
      </c>
      <c r="AC499" s="141" t="str">
        <f t="shared" si="200"/>
        <v/>
      </c>
      <c r="AD499" s="138" t="str">
        <f t="shared" si="218"/>
        <v/>
      </c>
      <c r="AE499" s="243" t="str">
        <f t="shared" si="201"/>
        <v/>
      </c>
      <c r="AF499" s="342" t="str">
        <f>IF(AM499="Row Not Used","",INDEX(SpaceTable[Annual Hours],(MATCH(B499,SpaceTable[Space Name Concatenated Helper],0))))</f>
        <v/>
      </c>
      <c r="AG499" s="205" t="str">
        <f t="shared" si="202"/>
        <v/>
      </c>
      <c r="AH499" s="234" t="str">
        <f t="shared" si="203"/>
        <v/>
      </c>
      <c r="AI499" s="205" t="str">
        <f t="shared" si="204"/>
        <v/>
      </c>
      <c r="AJ499" s="234" t="str">
        <f t="shared" si="205"/>
        <v/>
      </c>
      <c r="AK499" s="144" t="str">
        <f>IF(AM499="Row Not Used","",INDEX(SpaceTable[Row],(MATCH(B499,SpaceTable[Space Name Concatenated Helper],0))))</f>
        <v/>
      </c>
      <c r="AL499" s="238" t="str">
        <f>IF(AM499="Row Not Used","",INDEX(SpaceTable[HVAC Factor],(MATCH(B499,SpaceTable[Space Name Concatenated Helper],0))))</f>
        <v/>
      </c>
      <c r="AM499" s="520" t="str">
        <f t="shared" si="206"/>
        <v>Row Not Used</v>
      </c>
      <c r="AN499" s="512" t="e" cm="1">
        <f t="array" ref="AN499">INDEX(BallastFactorTable[Ballast Factor],MATCH(1,(BallastFactorTable[Fixture Class]=D499)*(BallastFactorTable[Fixture Category]=E499)*(BallastFactorTable[Fixture Sub-category]=F499),0))</f>
        <v>#N/A</v>
      </c>
      <c r="AO499" s="143" t="str">
        <f t="shared" si="219"/>
        <v/>
      </c>
      <c r="AP499" s="501" t="e" cm="1">
        <f t="array" ref="AP499">INDEX(BallastFactorTable[Wattage Range Name],MATCH(1,(BallastFactorTable[Fixture Class]=D499)*(BallastFactorTable[Fixture Category]=E499)*(BallastFactorTable[Fixture Sub-category]=F499),0))</f>
        <v>#N/A</v>
      </c>
      <c r="AQ499" s="515" t="str">
        <f t="shared" ca="1" si="207"/>
        <v>Okay</v>
      </c>
      <c r="AR499" s="512">
        <f t="shared" si="208"/>
        <v>0</v>
      </c>
      <c r="AS499" s="511" t="str">
        <f>IF(OR(Measures!AM499="Row Not Used",Measures!C499="Controls Only",Measures!C499="Decommissioning"),"",_xlfn.CONCAT(P499," ",Q499))</f>
        <v/>
      </c>
      <c r="AT499" s="264" t="str">
        <f t="shared" si="209"/>
        <v>None</v>
      </c>
      <c r="AU499" s="229">
        <f>IF(OR(AM499="Row Not Used",AM499="Controls Only"),0,INDEX(IncentiveRateTable[Incentive Rate],MATCH(AT499,IncentiveRateTable[Incentive Name],0)))</f>
        <v>0</v>
      </c>
      <c r="AV499" s="133" t="str">
        <f>IF(OR(AM499="Row Not Used",AM499="Controls Only"),"None",INDEX(IncentiveRateTable[Incentive Unit],MATCH(AT499,IncentiveRateTable[Incentive Name],0)))</f>
        <v>None</v>
      </c>
      <c r="AW499" s="578">
        <f t="shared" si="220"/>
        <v>0</v>
      </c>
      <c r="AX499" s="264" t="str">
        <f t="shared" si="210"/>
        <v>None</v>
      </c>
      <c r="AY499" s="229">
        <f>IF(OR(AM499="Row Not Used",AM499="Fixtures Only",AM499="Decommissioning"),0,INDEX(IncentiveRateTable[Incentive Rate],MATCH(AX499,IncentiveRateTable[Incentive Name],0)))</f>
        <v>0</v>
      </c>
      <c r="AZ499" s="133" t="str">
        <f>IF(OR(AM499="Row Not Used",AM499="Fixtures Only",AM499="Decommissioning"),"None",INDEX(IncentiveRateTable[Incentive Unit],MATCH(AX499,IncentiveRateTable[Incentive Name],0)))</f>
        <v>None</v>
      </c>
      <c r="BA499" s="465">
        <f t="shared" si="211"/>
        <v>0</v>
      </c>
      <c r="BB499" s="264" t="e" cm="1">
        <f t="array" ref="BB499">INDEX(BallastFactorTable[Commercial BPA Reference Number],MATCH(1,(BallastFactorTable[Fixture Class]=J499)*(BallastFactorTable[Fixture Category]=K499)*(BallastFactorTable[Fixture Sub-category]=L499),0))</f>
        <v>#N/A</v>
      </c>
      <c r="BC499" s="133" t="e" cm="1">
        <f t="array" ref="BC499">INDEX(BallastFactorTable[Industrial BPA Reference Number],MATCH(1,(BallastFactorTable[Fixture Class]=J499)*(BallastFactorTable[Fixture Category]=K499)*(BallastFactorTable[Fixture Sub-category]=L499),0))</f>
        <v>#N/A</v>
      </c>
      <c r="BD499" s="264" t="str">
        <f t="shared" si="212"/>
        <v>Sector is blank</v>
      </c>
      <c r="BE499" s="269" t="str">
        <f>IF(ISBLANK(SectorField),"Sector is blank",IF(AM499="Row Not Used","",IF(OR(R499="No Controls",ISBLANK(R499)),"",INDEX(ControlsBPARefNoTable[Reference Number],MATCH(SectorField,ControlsBPARefNoTable[Sector],0)))))</f>
        <v>Sector is blank</v>
      </c>
      <c r="BF499" s="530" t="str">
        <f t="shared" si="213"/>
        <v/>
      </c>
      <c r="BG499" s="132" t="str">
        <f t="shared" si="214"/>
        <v/>
      </c>
      <c r="BH499" s="531" t="str">
        <f t="shared" si="215"/>
        <v/>
      </c>
      <c r="BI499" s="532"/>
      <c r="BJ499" s="538" t="str">
        <f t="shared" si="221"/>
        <v/>
      </c>
      <c r="BK499" s="539" t="str">
        <f t="shared" si="222"/>
        <v/>
      </c>
      <c r="BL499" s="547" t="str">
        <f t="shared" si="223"/>
        <v/>
      </c>
    </row>
    <row r="500" spans="1:64" x14ac:dyDescent="0.3">
      <c r="A500" s="133">
        <v>493</v>
      </c>
      <c r="B500" s="294"/>
      <c r="C500" s="313"/>
      <c r="D500" s="292"/>
      <c r="E500" s="284"/>
      <c r="F500" s="284"/>
      <c r="G500" s="295"/>
      <c r="H500" s="296"/>
      <c r="I500" s="297"/>
      <c r="J500" s="292"/>
      <c r="K500" s="284"/>
      <c r="L500" s="284"/>
      <c r="M500" s="295"/>
      <c r="N500" s="296"/>
      <c r="O500" s="296"/>
      <c r="P500" s="284"/>
      <c r="Q500" s="298"/>
      <c r="R500" s="292"/>
      <c r="S500" s="299"/>
      <c r="T500" s="300"/>
      <c r="U500" s="317" t="str">
        <f t="shared" si="197"/>
        <v/>
      </c>
      <c r="V500" s="301"/>
      <c r="W500" s="137" t="str">
        <f t="shared" si="198"/>
        <v/>
      </c>
      <c r="X500" s="589" t="str">
        <f t="shared" si="216"/>
        <v/>
      </c>
      <c r="Y500" s="581"/>
      <c r="Z500" s="251" t="str">
        <f t="shared" si="199"/>
        <v/>
      </c>
      <c r="AA500" s="138" t="str">
        <f t="shared" si="224"/>
        <v/>
      </c>
      <c r="AB500" s="243" t="str">
        <f t="shared" si="217"/>
        <v/>
      </c>
      <c r="AC500" s="141" t="str">
        <f t="shared" si="200"/>
        <v/>
      </c>
      <c r="AD500" s="138" t="str">
        <f t="shared" si="218"/>
        <v/>
      </c>
      <c r="AE500" s="243" t="str">
        <f t="shared" si="201"/>
        <v/>
      </c>
      <c r="AF500" s="342" t="str">
        <f>IF(AM500="Row Not Used","",INDEX(SpaceTable[Annual Hours],(MATCH(B500,SpaceTable[Space Name Concatenated Helper],0))))</f>
        <v/>
      </c>
      <c r="AG500" s="205" t="str">
        <f t="shared" si="202"/>
        <v/>
      </c>
      <c r="AH500" s="234" t="str">
        <f t="shared" si="203"/>
        <v/>
      </c>
      <c r="AI500" s="205" t="str">
        <f t="shared" si="204"/>
        <v/>
      </c>
      <c r="AJ500" s="234" t="str">
        <f t="shared" si="205"/>
        <v/>
      </c>
      <c r="AK500" s="144" t="str">
        <f>IF(AM500="Row Not Used","",INDEX(SpaceTable[Row],(MATCH(B500,SpaceTable[Space Name Concatenated Helper],0))))</f>
        <v/>
      </c>
      <c r="AL500" s="238" t="str">
        <f>IF(AM500="Row Not Used","",INDEX(SpaceTable[HVAC Factor],(MATCH(B500,SpaceTable[Space Name Concatenated Helper],0))))</f>
        <v/>
      </c>
      <c r="AM500" s="520" t="str">
        <f t="shared" si="206"/>
        <v>Row Not Used</v>
      </c>
      <c r="AN500" s="512" t="e" cm="1">
        <f t="array" ref="AN500">INDEX(BallastFactorTable[Ballast Factor],MATCH(1,(BallastFactorTable[Fixture Class]=D500)*(BallastFactorTable[Fixture Category]=E500)*(BallastFactorTable[Fixture Sub-category]=F500),0))</f>
        <v>#N/A</v>
      </c>
      <c r="AO500" s="143" t="str">
        <f t="shared" si="219"/>
        <v/>
      </c>
      <c r="AP500" s="501" t="e" cm="1">
        <f t="array" ref="AP500">INDEX(BallastFactorTable[Wattage Range Name],MATCH(1,(BallastFactorTable[Fixture Class]=D500)*(BallastFactorTable[Fixture Category]=E500)*(BallastFactorTable[Fixture Sub-category]=F500),0))</f>
        <v>#N/A</v>
      </c>
      <c r="AQ500" s="515" t="str">
        <f t="shared" ca="1" si="207"/>
        <v>Okay</v>
      </c>
      <c r="AR500" s="512">
        <f t="shared" si="208"/>
        <v>0</v>
      </c>
      <c r="AS500" s="511" t="str">
        <f>IF(OR(Measures!AM500="Row Not Used",Measures!C500="Controls Only",Measures!C500="Decommissioning"),"",_xlfn.CONCAT(P500," ",Q500))</f>
        <v/>
      </c>
      <c r="AT500" s="264" t="str">
        <f t="shared" si="209"/>
        <v>None</v>
      </c>
      <c r="AU500" s="229">
        <f>IF(OR(AM500="Row Not Used",AM500="Controls Only"),0,INDEX(IncentiveRateTable[Incentive Rate],MATCH(AT500,IncentiveRateTable[Incentive Name],0)))</f>
        <v>0</v>
      </c>
      <c r="AV500" s="133" t="str">
        <f>IF(OR(AM500="Row Not Used",AM500="Controls Only"),"None",INDEX(IncentiveRateTable[Incentive Unit],MATCH(AT500,IncentiveRateTable[Incentive Name],0)))</f>
        <v>None</v>
      </c>
      <c r="AW500" s="578">
        <f t="shared" si="220"/>
        <v>0</v>
      </c>
      <c r="AX500" s="264" t="str">
        <f t="shared" si="210"/>
        <v>None</v>
      </c>
      <c r="AY500" s="229">
        <f>IF(OR(AM500="Row Not Used",AM500="Fixtures Only",AM500="Decommissioning"),0,INDEX(IncentiveRateTable[Incentive Rate],MATCH(AX500,IncentiveRateTable[Incentive Name],0)))</f>
        <v>0</v>
      </c>
      <c r="AZ500" s="133" t="str">
        <f>IF(OR(AM500="Row Not Used",AM500="Fixtures Only",AM500="Decommissioning"),"None",INDEX(IncentiveRateTable[Incentive Unit],MATCH(AX500,IncentiveRateTable[Incentive Name],0)))</f>
        <v>None</v>
      </c>
      <c r="BA500" s="465">
        <f t="shared" si="211"/>
        <v>0</v>
      </c>
      <c r="BB500" s="264" t="e" cm="1">
        <f t="array" ref="BB500">INDEX(BallastFactorTable[Commercial BPA Reference Number],MATCH(1,(BallastFactorTable[Fixture Class]=J500)*(BallastFactorTable[Fixture Category]=K500)*(BallastFactorTable[Fixture Sub-category]=L500),0))</f>
        <v>#N/A</v>
      </c>
      <c r="BC500" s="133" t="e" cm="1">
        <f t="array" ref="BC500">INDEX(BallastFactorTable[Industrial BPA Reference Number],MATCH(1,(BallastFactorTable[Fixture Class]=J500)*(BallastFactorTable[Fixture Category]=K500)*(BallastFactorTable[Fixture Sub-category]=L500),0))</f>
        <v>#N/A</v>
      </c>
      <c r="BD500" s="264" t="str">
        <f t="shared" si="212"/>
        <v>Sector is blank</v>
      </c>
      <c r="BE500" s="269" t="str">
        <f>IF(ISBLANK(SectorField),"Sector is blank",IF(AM500="Row Not Used","",IF(OR(R500="No Controls",ISBLANK(R500)),"",INDEX(ControlsBPARefNoTable[Reference Number],MATCH(SectorField,ControlsBPARefNoTable[Sector],0)))))</f>
        <v>Sector is blank</v>
      </c>
      <c r="BF500" s="530" t="str">
        <f t="shared" si="213"/>
        <v/>
      </c>
      <c r="BG500" s="132" t="str">
        <f t="shared" si="214"/>
        <v/>
      </c>
      <c r="BH500" s="531" t="str">
        <f t="shared" si="215"/>
        <v/>
      </c>
      <c r="BI500" s="532"/>
      <c r="BJ500" s="538" t="str">
        <f t="shared" si="221"/>
        <v/>
      </c>
      <c r="BK500" s="539" t="str">
        <f t="shared" si="222"/>
        <v/>
      </c>
      <c r="BL500" s="547" t="str">
        <f t="shared" si="223"/>
        <v/>
      </c>
    </row>
    <row r="501" spans="1:64" x14ac:dyDescent="0.3">
      <c r="A501" s="133">
        <v>494</v>
      </c>
      <c r="B501" s="294"/>
      <c r="C501" s="313"/>
      <c r="D501" s="292"/>
      <c r="E501" s="284"/>
      <c r="F501" s="284"/>
      <c r="G501" s="295"/>
      <c r="H501" s="296"/>
      <c r="I501" s="297"/>
      <c r="J501" s="292"/>
      <c r="K501" s="284"/>
      <c r="L501" s="284"/>
      <c r="M501" s="295"/>
      <c r="N501" s="296"/>
      <c r="O501" s="296"/>
      <c r="P501" s="284"/>
      <c r="Q501" s="298"/>
      <c r="R501" s="292"/>
      <c r="S501" s="299"/>
      <c r="T501" s="300"/>
      <c r="U501" s="317" t="str">
        <f t="shared" si="197"/>
        <v/>
      </c>
      <c r="V501" s="301"/>
      <c r="W501" s="136" t="str">
        <f t="shared" si="198"/>
        <v/>
      </c>
      <c r="X501" s="588" t="str">
        <f t="shared" si="216"/>
        <v/>
      </c>
      <c r="Y501" s="580"/>
      <c r="Z501" s="251" t="str">
        <f t="shared" si="199"/>
        <v/>
      </c>
      <c r="AA501" s="138" t="str">
        <f t="shared" si="224"/>
        <v/>
      </c>
      <c r="AB501" s="243" t="str">
        <f t="shared" si="217"/>
        <v/>
      </c>
      <c r="AC501" s="141" t="str">
        <f t="shared" si="200"/>
        <v/>
      </c>
      <c r="AD501" s="138" t="str">
        <f t="shared" si="218"/>
        <v/>
      </c>
      <c r="AE501" s="243" t="str">
        <f t="shared" si="201"/>
        <v/>
      </c>
      <c r="AF501" s="342" t="str">
        <f>IF(AM501="Row Not Used","",INDEX(SpaceTable[Annual Hours],(MATCH(B501,SpaceTable[Space Name Concatenated Helper],0))))</f>
        <v/>
      </c>
      <c r="AG501" s="205" t="str">
        <f t="shared" si="202"/>
        <v/>
      </c>
      <c r="AH501" s="234" t="str">
        <f t="shared" si="203"/>
        <v/>
      </c>
      <c r="AI501" s="205" t="str">
        <f t="shared" si="204"/>
        <v/>
      </c>
      <c r="AJ501" s="234" t="str">
        <f t="shared" si="205"/>
        <v/>
      </c>
      <c r="AK501" s="144" t="str">
        <f>IF(AM501="Row Not Used","",INDEX(SpaceTable[Row],(MATCH(B501,SpaceTable[Space Name Concatenated Helper],0))))</f>
        <v/>
      </c>
      <c r="AL501" s="238" t="str">
        <f>IF(AM501="Row Not Used","",INDEX(SpaceTable[HVAC Factor],(MATCH(B501,SpaceTable[Space Name Concatenated Helper],0))))</f>
        <v/>
      </c>
      <c r="AM501" s="520" t="str">
        <f t="shared" si="206"/>
        <v>Row Not Used</v>
      </c>
      <c r="AN501" s="512" t="e" cm="1">
        <f t="array" ref="AN501">INDEX(BallastFactorTable[Ballast Factor],MATCH(1,(BallastFactorTable[Fixture Class]=D501)*(BallastFactorTable[Fixture Category]=E501)*(BallastFactorTable[Fixture Sub-category]=F501),0))</f>
        <v>#N/A</v>
      </c>
      <c r="AO501" s="143" t="str">
        <f t="shared" si="219"/>
        <v/>
      </c>
      <c r="AP501" s="501" t="e" cm="1">
        <f t="array" ref="AP501">INDEX(BallastFactorTable[Wattage Range Name],MATCH(1,(BallastFactorTable[Fixture Class]=D501)*(BallastFactorTable[Fixture Category]=E501)*(BallastFactorTable[Fixture Sub-category]=F501),0))</f>
        <v>#N/A</v>
      </c>
      <c r="AQ501" s="515" t="str">
        <f t="shared" ca="1" si="207"/>
        <v>Okay</v>
      </c>
      <c r="AR501" s="512">
        <f t="shared" si="208"/>
        <v>0</v>
      </c>
      <c r="AS501" s="511" t="str">
        <f>IF(OR(Measures!AM501="Row Not Used",Measures!C501="Controls Only",Measures!C501="Decommissioning"),"",_xlfn.CONCAT(P501," ",Q501))</f>
        <v/>
      </c>
      <c r="AT501" s="264" t="str">
        <f t="shared" si="209"/>
        <v>None</v>
      </c>
      <c r="AU501" s="229">
        <f>IF(OR(AM501="Row Not Used",AM501="Controls Only"),0,INDEX(IncentiveRateTable[Incentive Rate],MATCH(AT501,IncentiveRateTable[Incentive Name],0)))</f>
        <v>0</v>
      </c>
      <c r="AV501" s="133" t="str">
        <f>IF(OR(AM501="Row Not Used",AM501="Controls Only"),"None",INDEX(IncentiveRateTable[Incentive Unit],MATCH(AT501,IncentiveRateTable[Incentive Name],0)))</f>
        <v>None</v>
      </c>
      <c r="AW501" s="578">
        <f t="shared" si="220"/>
        <v>0</v>
      </c>
      <c r="AX501" s="264" t="str">
        <f t="shared" si="210"/>
        <v>None</v>
      </c>
      <c r="AY501" s="229">
        <f>IF(OR(AM501="Row Not Used",AM501="Fixtures Only",AM501="Decommissioning"),0,INDEX(IncentiveRateTable[Incentive Rate],MATCH(AX501,IncentiveRateTable[Incentive Name],0)))</f>
        <v>0</v>
      </c>
      <c r="AZ501" s="133" t="str">
        <f>IF(OR(AM501="Row Not Used",AM501="Fixtures Only",AM501="Decommissioning"),"None",INDEX(IncentiveRateTable[Incentive Unit],MATCH(AX501,IncentiveRateTable[Incentive Name],0)))</f>
        <v>None</v>
      </c>
      <c r="BA501" s="465">
        <f t="shared" si="211"/>
        <v>0</v>
      </c>
      <c r="BB501" s="264" t="e" cm="1">
        <f t="array" ref="BB501">INDEX(BallastFactorTable[Commercial BPA Reference Number],MATCH(1,(BallastFactorTable[Fixture Class]=J501)*(BallastFactorTable[Fixture Category]=K501)*(BallastFactorTable[Fixture Sub-category]=L501),0))</f>
        <v>#N/A</v>
      </c>
      <c r="BC501" s="133" t="e" cm="1">
        <f t="array" ref="BC501">INDEX(BallastFactorTable[Industrial BPA Reference Number],MATCH(1,(BallastFactorTable[Fixture Class]=J501)*(BallastFactorTable[Fixture Category]=K501)*(BallastFactorTable[Fixture Sub-category]=L501),0))</f>
        <v>#N/A</v>
      </c>
      <c r="BD501" s="264" t="str">
        <f t="shared" si="212"/>
        <v>Sector is blank</v>
      </c>
      <c r="BE501" s="269" t="str">
        <f>IF(ISBLANK(SectorField),"Sector is blank",IF(AM501="Row Not Used","",IF(OR(R501="No Controls",ISBLANK(R501)),"",INDEX(ControlsBPARefNoTable[Reference Number],MATCH(SectorField,ControlsBPARefNoTable[Sector],0)))))</f>
        <v>Sector is blank</v>
      </c>
      <c r="BF501" s="530" t="str">
        <f t="shared" si="213"/>
        <v/>
      </c>
      <c r="BG501" s="132" t="str">
        <f t="shared" si="214"/>
        <v/>
      </c>
      <c r="BH501" s="531" t="str">
        <f t="shared" si="215"/>
        <v/>
      </c>
      <c r="BI501" s="532"/>
      <c r="BJ501" s="538" t="str">
        <f t="shared" si="221"/>
        <v/>
      </c>
      <c r="BK501" s="539" t="str">
        <f t="shared" si="222"/>
        <v/>
      </c>
      <c r="BL501" s="547" t="str">
        <f t="shared" si="223"/>
        <v/>
      </c>
    </row>
    <row r="502" spans="1:64" x14ac:dyDescent="0.3">
      <c r="A502" s="133">
        <v>495</v>
      </c>
      <c r="B502" s="294"/>
      <c r="C502" s="313"/>
      <c r="D502" s="292"/>
      <c r="E502" s="284"/>
      <c r="F502" s="284"/>
      <c r="G502" s="295"/>
      <c r="H502" s="296"/>
      <c r="I502" s="297"/>
      <c r="J502" s="292"/>
      <c r="K502" s="284"/>
      <c r="L502" s="284"/>
      <c r="M502" s="295"/>
      <c r="N502" s="296"/>
      <c r="O502" s="296"/>
      <c r="P502" s="284"/>
      <c r="Q502" s="298"/>
      <c r="R502" s="292"/>
      <c r="S502" s="299"/>
      <c r="T502" s="300"/>
      <c r="U502" s="317" t="str">
        <f t="shared" si="197"/>
        <v/>
      </c>
      <c r="V502" s="301"/>
      <c r="W502" s="137" t="str">
        <f t="shared" si="198"/>
        <v/>
      </c>
      <c r="X502" s="589" t="str">
        <f t="shared" si="216"/>
        <v/>
      </c>
      <c r="Y502" s="581"/>
      <c r="Z502" s="251" t="str">
        <f t="shared" si="199"/>
        <v/>
      </c>
      <c r="AA502" s="138" t="str">
        <f t="shared" si="224"/>
        <v/>
      </c>
      <c r="AB502" s="243" t="str">
        <f t="shared" si="217"/>
        <v/>
      </c>
      <c r="AC502" s="141" t="str">
        <f t="shared" si="200"/>
        <v/>
      </c>
      <c r="AD502" s="138" t="str">
        <f t="shared" si="218"/>
        <v/>
      </c>
      <c r="AE502" s="243" t="str">
        <f t="shared" si="201"/>
        <v/>
      </c>
      <c r="AF502" s="342" t="str">
        <f>IF(AM502="Row Not Used","",INDEX(SpaceTable[Annual Hours],(MATCH(B502,SpaceTable[Space Name Concatenated Helper],0))))</f>
        <v/>
      </c>
      <c r="AG502" s="205" t="str">
        <f t="shared" si="202"/>
        <v/>
      </c>
      <c r="AH502" s="234" t="str">
        <f t="shared" si="203"/>
        <v/>
      </c>
      <c r="AI502" s="205" t="str">
        <f t="shared" si="204"/>
        <v/>
      </c>
      <c r="AJ502" s="234" t="str">
        <f t="shared" si="205"/>
        <v/>
      </c>
      <c r="AK502" s="144" t="str">
        <f>IF(AM502="Row Not Used","",INDEX(SpaceTable[Row],(MATCH(B502,SpaceTable[Space Name Concatenated Helper],0))))</f>
        <v/>
      </c>
      <c r="AL502" s="238" t="str">
        <f>IF(AM502="Row Not Used","",INDEX(SpaceTable[HVAC Factor],(MATCH(B502,SpaceTable[Space Name Concatenated Helper],0))))</f>
        <v/>
      </c>
      <c r="AM502" s="520" t="str">
        <f t="shared" si="206"/>
        <v>Row Not Used</v>
      </c>
      <c r="AN502" s="512" t="e" cm="1">
        <f t="array" ref="AN502">INDEX(BallastFactorTable[Ballast Factor],MATCH(1,(BallastFactorTable[Fixture Class]=D502)*(BallastFactorTable[Fixture Category]=E502)*(BallastFactorTable[Fixture Sub-category]=F502),0))</f>
        <v>#N/A</v>
      </c>
      <c r="AO502" s="143" t="str">
        <f t="shared" si="219"/>
        <v/>
      </c>
      <c r="AP502" s="501" t="e" cm="1">
        <f t="array" ref="AP502">INDEX(BallastFactorTable[Wattage Range Name],MATCH(1,(BallastFactorTable[Fixture Class]=D502)*(BallastFactorTable[Fixture Category]=E502)*(BallastFactorTable[Fixture Sub-category]=F502),0))</f>
        <v>#N/A</v>
      </c>
      <c r="AQ502" s="515" t="str">
        <f t="shared" ca="1" si="207"/>
        <v>Okay</v>
      </c>
      <c r="AR502" s="512">
        <f t="shared" si="208"/>
        <v>0</v>
      </c>
      <c r="AS502" s="511" t="str">
        <f>IF(OR(Measures!AM502="Row Not Used",Measures!C502="Controls Only",Measures!C502="Decommissioning"),"",_xlfn.CONCAT(P502," ",Q502))</f>
        <v/>
      </c>
      <c r="AT502" s="264" t="str">
        <f t="shared" si="209"/>
        <v>None</v>
      </c>
      <c r="AU502" s="229">
        <f>IF(OR(AM502="Row Not Used",AM502="Controls Only"),0,INDEX(IncentiveRateTable[Incentive Rate],MATCH(AT502,IncentiveRateTable[Incentive Name],0)))</f>
        <v>0</v>
      </c>
      <c r="AV502" s="133" t="str">
        <f>IF(OR(AM502="Row Not Used",AM502="Controls Only"),"None",INDEX(IncentiveRateTable[Incentive Unit],MATCH(AT502,IncentiveRateTable[Incentive Name],0)))</f>
        <v>None</v>
      </c>
      <c r="AW502" s="578">
        <f t="shared" si="220"/>
        <v>0</v>
      </c>
      <c r="AX502" s="264" t="str">
        <f t="shared" si="210"/>
        <v>None</v>
      </c>
      <c r="AY502" s="229">
        <f>IF(OR(AM502="Row Not Used",AM502="Fixtures Only",AM502="Decommissioning"),0,INDEX(IncentiveRateTable[Incentive Rate],MATCH(AX502,IncentiveRateTable[Incentive Name],0)))</f>
        <v>0</v>
      </c>
      <c r="AZ502" s="133" t="str">
        <f>IF(OR(AM502="Row Not Used",AM502="Fixtures Only",AM502="Decommissioning"),"None",INDEX(IncentiveRateTable[Incentive Unit],MATCH(AX502,IncentiveRateTable[Incentive Name],0)))</f>
        <v>None</v>
      </c>
      <c r="BA502" s="465">
        <f t="shared" si="211"/>
        <v>0</v>
      </c>
      <c r="BB502" s="264" t="e" cm="1">
        <f t="array" ref="BB502">INDEX(BallastFactorTable[Commercial BPA Reference Number],MATCH(1,(BallastFactorTable[Fixture Class]=J502)*(BallastFactorTable[Fixture Category]=K502)*(BallastFactorTable[Fixture Sub-category]=L502),0))</f>
        <v>#N/A</v>
      </c>
      <c r="BC502" s="133" t="e" cm="1">
        <f t="array" ref="BC502">INDEX(BallastFactorTable[Industrial BPA Reference Number],MATCH(1,(BallastFactorTable[Fixture Class]=J502)*(BallastFactorTable[Fixture Category]=K502)*(BallastFactorTable[Fixture Sub-category]=L502),0))</f>
        <v>#N/A</v>
      </c>
      <c r="BD502" s="264" t="str">
        <f t="shared" si="212"/>
        <v>Sector is blank</v>
      </c>
      <c r="BE502" s="269" t="str">
        <f>IF(ISBLANK(SectorField),"Sector is blank",IF(AM502="Row Not Used","",IF(OR(R502="No Controls",ISBLANK(R502)),"",INDEX(ControlsBPARefNoTable[Reference Number],MATCH(SectorField,ControlsBPARefNoTable[Sector],0)))))</f>
        <v>Sector is blank</v>
      </c>
      <c r="BF502" s="530" t="str">
        <f t="shared" si="213"/>
        <v/>
      </c>
      <c r="BG502" s="132" t="str">
        <f t="shared" si="214"/>
        <v/>
      </c>
      <c r="BH502" s="531" t="str">
        <f t="shared" si="215"/>
        <v/>
      </c>
      <c r="BI502" s="532"/>
      <c r="BJ502" s="538" t="str">
        <f t="shared" si="221"/>
        <v/>
      </c>
      <c r="BK502" s="539" t="str">
        <f t="shared" si="222"/>
        <v/>
      </c>
      <c r="BL502" s="547" t="str">
        <f t="shared" si="223"/>
        <v/>
      </c>
    </row>
    <row r="503" spans="1:64" x14ac:dyDescent="0.3">
      <c r="A503" s="133">
        <v>496</v>
      </c>
      <c r="B503" s="294"/>
      <c r="C503" s="313"/>
      <c r="D503" s="292"/>
      <c r="E503" s="284"/>
      <c r="F503" s="284"/>
      <c r="G503" s="295"/>
      <c r="H503" s="296"/>
      <c r="I503" s="297"/>
      <c r="J503" s="292"/>
      <c r="K503" s="284"/>
      <c r="L503" s="284"/>
      <c r="M503" s="295"/>
      <c r="N503" s="296"/>
      <c r="O503" s="296"/>
      <c r="P503" s="284"/>
      <c r="Q503" s="298"/>
      <c r="R503" s="292"/>
      <c r="S503" s="299"/>
      <c r="T503" s="300"/>
      <c r="U503" s="317" t="str">
        <f t="shared" si="197"/>
        <v/>
      </c>
      <c r="V503" s="301"/>
      <c r="W503" s="136" t="str">
        <f t="shared" si="198"/>
        <v/>
      </c>
      <c r="X503" s="588" t="str">
        <f t="shared" si="216"/>
        <v/>
      </c>
      <c r="Y503" s="580"/>
      <c r="Z503" s="251" t="str">
        <f t="shared" si="199"/>
        <v/>
      </c>
      <c r="AA503" s="138" t="str">
        <f t="shared" si="224"/>
        <v/>
      </c>
      <c r="AB503" s="243" t="str">
        <f t="shared" si="217"/>
        <v/>
      </c>
      <c r="AC503" s="141" t="str">
        <f t="shared" si="200"/>
        <v/>
      </c>
      <c r="AD503" s="138" t="str">
        <f t="shared" si="218"/>
        <v/>
      </c>
      <c r="AE503" s="243" t="str">
        <f t="shared" si="201"/>
        <v/>
      </c>
      <c r="AF503" s="342" t="str">
        <f>IF(AM503="Row Not Used","",INDEX(SpaceTable[Annual Hours],(MATCH(B503,SpaceTable[Space Name Concatenated Helper],0))))</f>
        <v/>
      </c>
      <c r="AG503" s="205" t="str">
        <f t="shared" si="202"/>
        <v/>
      </c>
      <c r="AH503" s="234" t="str">
        <f t="shared" si="203"/>
        <v/>
      </c>
      <c r="AI503" s="205" t="str">
        <f t="shared" si="204"/>
        <v/>
      </c>
      <c r="AJ503" s="234" t="str">
        <f t="shared" si="205"/>
        <v/>
      </c>
      <c r="AK503" s="144" t="str">
        <f>IF(AM503="Row Not Used","",INDEX(SpaceTable[Row],(MATCH(B503,SpaceTable[Space Name Concatenated Helper],0))))</f>
        <v/>
      </c>
      <c r="AL503" s="238" t="str">
        <f>IF(AM503="Row Not Used","",INDEX(SpaceTable[HVAC Factor],(MATCH(B503,SpaceTable[Space Name Concatenated Helper],0))))</f>
        <v/>
      </c>
      <c r="AM503" s="520" t="str">
        <f t="shared" si="206"/>
        <v>Row Not Used</v>
      </c>
      <c r="AN503" s="512" t="e" cm="1">
        <f t="array" ref="AN503">INDEX(BallastFactorTable[Ballast Factor],MATCH(1,(BallastFactorTable[Fixture Class]=D503)*(BallastFactorTable[Fixture Category]=E503)*(BallastFactorTable[Fixture Sub-category]=F503),0))</f>
        <v>#N/A</v>
      </c>
      <c r="AO503" s="143" t="str">
        <f t="shared" si="219"/>
        <v/>
      </c>
      <c r="AP503" s="501" t="e" cm="1">
        <f t="array" ref="AP503">INDEX(BallastFactorTable[Wattage Range Name],MATCH(1,(BallastFactorTable[Fixture Class]=D503)*(BallastFactorTable[Fixture Category]=E503)*(BallastFactorTable[Fixture Sub-category]=F503),0))</f>
        <v>#N/A</v>
      </c>
      <c r="AQ503" s="515" t="str">
        <f t="shared" ca="1" si="207"/>
        <v>Okay</v>
      </c>
      <c r="AR503" s="512">
        <f t="shared" si="208"/>
        <v>0</v>
      </c>
      <c r="AS503" s="511" t="str">
        <f>IF(OR(Measures!AM503="Row Not Used",Measures!C503="Controls Only",Measures!C503="Decommissioning"),"",_xlfn.CONCAT(P503," ",Q503))</f>
        <v/>
      </c>
      <c r="AT503" s="264" t="str">
        <f t="shared" si="209"/>
        <v>None</v>
      </c>
      <c r="AU503" s="229">
        <f>IF(OR(AM503="Row Not Used",AM503="Controls Only"),0,INDEX(IncentiveRateTable[Incentive Rate],MATCH(AT503,IncentiveRateTable[Incentive Name],0)))</f>
        <v>0</v>
      </c>
      <c r="AV503" s="133" t="str">
        <f>IF(OR(AM503="Row Not Used",AM503="Controls Only"),"None",INDEX(IncentiveRateTable[Incentive Unit],MATCH(AT503,IncentiveRateTable[Incentive Name],0)))</f>
        <v>None</v>
      </c>
      <c r="AW503" s="578">
        <f t="shared" si="220"/>
        <v>0</v>
      </c>
      <c r="AX503" s="264" t="str">
        <f t="shared" si="210"/>
        <v>None</v>
      </c>
      <c r="AY503" s="229">
        <f>IF(OR(AM503="Row Not Used",AM503="Fixtures Only",AM503="Decommissioning"),0,INDEX(IncentiveRateTable[Incentive Rate],MATCH(AX503,IncentiveRateTable[Incentive Name],0)))</f>
        <v>0</v>
      </c>
      <c r="AZ503" s="133" t="str">
        <f>IF(OR(AM503="Row Not Used",AM503="Fixtures Only",AM503="Decommissioning"),"None",INDEX(IncentiveRateTable[Incentive Unit],MATCH(AX503,IncentiveRateTable[Incentive Name],0)))</f>
        <v>None</v>
      </c>
      <c r="BA503" s="465">
        <f t="shared" si="211"/>
        <v>0</v>
      </c>
      <c r="BB503" s="264" t="e" cm="1">
        <f t="array" ref="BB503">INDEX(BallastFactorTable[Commercial BPA Reference Number],MATCH(1,(BallastFactorTable[Fixture Class]=J503)*(BallastFactorTable[Fixture Category]=K503)*(BallastFactorTable[Fixture Sub-category]=L503),0))</f>
        <v>#N/A</v>
      </c>
      <c r="BC503" s="133" t="e" cm="1">
        <f t="array" ref="BC503">INDEX(BallastFactorTable[Industrial BPA Reference Number],MATCH(1,(BallastFactorTable[Fixture Class]=J503)*(BallastFactorTable[Fixture Category]=K503)*(BallastFactorTable[Fixture Sub-category]=L503),0))</f>
        <v>#N/A</v>
      </c>
      <c r="BD503" s="264" t="str">
        <f t="shared" si="212"/>
        <v>Sector is blank</v>
      </c>
      <c r="BE503" s="269" t="str">
        <f>IF(ISBLANK(SectorField),"Sector is blank",IF(AM503="Row Not Used","",IF(OR(R503="No Controls",ISBLANK(R503)),"",INDEX(ControlsBPARefNoTable[Reference Number],MATCH(SectorField,ControlsBPARefNoTable[Sector],0)))))</f>
        <v>Sector is blank</v>
      </c>
      <c r="BF503" s="530" t="str">
        <f t="shared" si="213"/>
        <v/>
      </c>
      <c r="BG503" s="132" t="str">
        <f t="shared" si="214"/>
        <v/>
      </c>
      <c r="BH503" s="531" t="str">
        <f t="shared" si="215"/>
        <v/>
      </c>
      <c r="BI503" s="532"/>
      <c r="BJ503" s="538" t="str">
        <f t="shared" si="221"/>
        <v/>
      </c>
      <c r="BK503" s="539" t="str">
        <f t="shared" si="222"/>
        <v/>
      </c>
      <c r="BL503" s="547" t="str">
        <f t="shared" si="223"/>
        <v/>
      </c>
    </row>
    <row r="504" spans="1:64" x14ac:dyDescent="0.3">
      <c r="A504" s="133">
        <v>497</v>
      </c>
      <c r="B504" s="294"/>
      <c r="C504" s="313"/>
      <c r="D504" s="292"/>
      <c r="E504" s="284"/>
      <c r="F504" s="284"/>
      <c r="G504" s="295"/>
      <c r="H504" s="296"/>
      <c r="I504" s="297"/>
      <c r="J504" s="292"/>
      <c r="K504" s="284"/>
      <c r="L504" s="284"/>
      <c r="M504" s="295"/>
      <c r="N504" s="296"/>
      <c r="O504" s="296"/>
      <c r="P504" s="284"/>
      <c r="Q504" s="298"/>
      <c r="R504" s="292"/>
      <c r="S504" s="299"/>
      <c r="T504" s="300"/>
      <c r="U504" s="317" t="str">
        <f t="shared" si="197"/>
        <v/>
      </c>
      <c r="V504" s="301"/>
      <c r="W504" s="137" t="str">
        <f t="shared" si="198"/>
        <v/>
      </c>
      <c r="X504" s="589" t="str">
        <f t="shared" si="216"/>
        <v/>
      </c>
      <c r="Y504" s="581"/>
      <c r="Z504" s="251" t="str">
        <f t="shared" si="199"/>
        <v/>
      </c>
      <c r="AA504" s="138" t="str">
        <f t="shared" si="224"/>
        <v/>
      </c>
      <c r="AB504" s="243" t="str">
        <f t="shared" si="217"/>
        <v/>
      </c>
      <c r="AC504" s="141" t="str">
        <f t="shared" si="200"/>
        <v/>
      </c>
      <c r="AD504" s="138" t="str">
        <f t="shared" si="218"/>
        <v/>
      </c>
      <c r="AE504" s="243" t="str">
        <f t="shared" si="201"/>
        <v/>
      </c>
      <c r="AF504" s="342" t="str">
        <f>IF(AM504="Row Not Used","",INDEX(SpaceTable[Annual Hours],(MATCH(B504,SpaceTable[Space Name Concatenated Helper],0))))</f>
        <v/>
      </c>
      <c r="AG504" s="205" t="str">
        <f t="shared" si="202"/>
        <v/>
      </c>
      <c r="AH504" s="234" t="str">
        <f t="shared" si="203"/>
        <v/>
      </c>
      <c r="AI504" s="205" t="str">
        <f t="shared" si="204"/>
        <v/>
      </c>
      <c r="AJ504" s="234" t="str">
        <f t="shared" si="205"/>
        <v/>
      </c>
      <c r="AK504" s="144" t="str">
        <f>IF(AM504="Row Not Used","",INDEX(SpaceTable[Row],(MATCH(B504,SpaceTable[Space Name Concatenated Helper],0))))</f>
        <v/>
      </c>
      <c r="AL504" s="238" t="str">
        <f>IF(AM504="Row Not Used","",INDEX(SpaceTable[HVAC Factor],(MATCH(B504,SpaceTable[Space Name Concatenated Helper],0))))</f>
        <v/>
      </c>
      <c r="AM504" s="520" t="str">
        <f t="shared" si="206"/>
        <v>Row Not Used</v>
      </c>
      <c r="AN504" s="512" t="e" cm="1">
        <f t="array" ref="AN504">INDEX(BallastFactorTable[Ballast Factor],MATCH(1,(BallastFactorTable[Fixture Class]=D504)*(BallastFactorTable[Fixture Category]=E504)*(BallastFactorTable[Fixture Sub-category]=F504),0))</f>
        <v>#N/A</v>
      </c>
      <c r="AO504" s="143" t="str">
        <f t="shared" si="219"/>
        <v/>
      </c>
      <c r="AP504" s="501" t="e" cm="1">
        <f t="array" ref="AP504">INDEX(BallastFactorTable[Wattage Range Name],MATCH(1,(BallastFactorTable[Fixture Class]=D504)*(BallastFactorTable[Fixture Category]=E504)*(BallastFactorTable[Fixture Sub-category]=F504),0))</f>
        <v>#N/A</v>
      </c>
      <c r="AQ504" s="515" t="str">
        <f t="shared" ca="1" si="207"/>
        <v>Okay</v>
      </c>
      <c r="AR504" s="512">
        <f t="shared" si="208"/>
        <v>0</v>
      </c>
      <c r="AS504" s="511" t="str">
        <f>IF(OR(Measures!AM504="Row Not Used",Measures!C504="Controls Only",Measures!C504="Decommissioning"),"",_xlfn.CONCAT(P504," ",Q504))</f>
        <v/>
      </c>
      <c r="AT504" s="264" t="str">
        <f t="shared" si="209"/>
        <v>None</v>
      </c>
      <c r="AU504" s="229">
        <f>IF(OR(AM504="Row Not Used",AM504="Controls Only"),0,INDEX(IncentiveRateTable[Incentive Rate],MATCH(AT504,IncentiveRateTable[Incentive Name],0)))</f>
        <v>0</v>
      </c>
      <c r="AV504" s="133" t="str">
        <f>IF(OR(AM504="Row Not Used",AM504="Controls Only"),"None",INDEX(IncentiveRateTable[Incentive Unit],MATCH(AT504,IncentiveRateTable[Incentive Name],0)))</f>
        <v>None</v>
      </c>
      <c r="AW504" s="578">
        <f t="shared" si="220"/>
        <v>0</v>
      </c>
      <c r="AX504" s="264" t="str">
        <f t="shared" si="210"/>
        <v>None</v>
      </c>
      <c r="AY504" s="229">
        <f>IF(OR(AM504="Row Not Used",AM504="Fixtures Only",AM504="Decommissioning"),0,INDEX(IncentiveRateTable[Incentive Rate],MATCH(AX504,IncentiveRateTable[Incentive Name],0)))</f>
        <v>0</v>
      </c>
      <c r="AZ504" s="133" t="str">
        <f>IF(OR(AM504="Row Not Used",AM504="Fixtures Only",AM504="Decommissioning"),"None",INDEX(IncentiveRateTable[Incentive Unit],MATCH(AX504,IncentiveRateTable[Incentive Name],0)))</f>
        <v>None</v>
      </c>
      <c r="BA504" s="465">
        <f t="shared" si="211"/>
        <v>0</v>
      </c>
      <c r="BB504" s="264" t="e" cm="1">
        <f t="array" ref="BB504">INDEX(BallastFactorTable[Commercial BPA Reference Number],MATCH(1,(BallastFactorTable[Fixture Class]=J504)*(BallastFactorTable[Fixture Category]=K504)*(BallastFactorTable[Fixture Sub-category]=L504),0))</f>
        <v>#N/A</v>
      </c>
      <c r="BC504" s="133" t="e" cm="1">
        <f t="array" ref="BC504">INDEX(BallastFactorTable[Industrial BPA Reference Number],MATCH(1,(BallastFactorTable[Fixture Class]=J504)*(BallastFactorTable[Fixture Category]=K504)*(BallastFactorTable[Fixture Sub-category]=L504),0))</f>
        <v>#N/A</v>
      </c>
      <c r="BD504" s="264" t="str">
        <f t="shared" si="212"/>
        <v>Sector is blank</v>
      </c>
      <c r="BE504" s="269" t="str">
        <f>IF(ISBLANK(SectorField),"Sector is blank",IF(AM504="Row Not Used","",IF(OR(R504="No Controls",ISBLANK(R504)),"",INDEX(ControlsBPARefNoTable[Reference Number],MATCH(SectorField,ControlsBPARefNoTable[Sector],0)))))</f>
        <v>Sector is blank</v>
      </c>
      <c r="BF504" s="530" t="str">
        <f t="shared" si="213"/>
        <v/>
      </c>
      <c r="BG504" s="132" t="str">
        <f t="shared" si="214"/>
        <v/>
      </c>
      <c r="BH504" s="531" t="str">
        <f t="shared" si="215"/>
        <v/>
      </c>
      <c r="BI504" s="532"/>
      <c r="BJ504" s="538" t="str">
        <f t="shared" si="221"/>
        <v/>
      </c>
      <c r="BK504" s="539" t="str">
        <f t="shared" si="222"/>
        <v/>
      </c>
      <c r="BL504" s="547" t="str">
        <f t="shared" si="223"/>
        <v/>
      </c>
    </row>
    <row r="505" spans="1:64" x14ac:dyDescent="0.3">
      <c r="A505" s="133">
        <v>498</v>
      </c>
      <c r="B505" s="294"/>
      <c r="C505" s="313"/>
      <c r="D505" s="292"/>
      <c r="E505" s="284"/>
      <c r="F505" s="284"/>
      <c r="G505" s="295"/>
      <c r="H505" s="296"/>
      <c r="I505" s="297"/>
      <c r="J505" s="292"/>
      <c r="K505" s="284"/>
      <c r="L505" s="284"/>
      <c r="M505" s="295"/>
      <c r="N505" s="296"/>
      <c r="O505" s="296"/>
      <c r="P505" s="284"/>
      <c r="Q505" s="298"/>
      <c r="R505" s="292"/>
      <c r="S505" s="299"/>
      <c r="T505" s="300"/>
      <c r="U505" s="317" t="str">
        <f t="shared" si="197"/>
        <v/>
      </c>
      <c r="V505" s="301"/>
      <c r="W505" s="136" t="str">
        <f t="shared" si="198"/>
        <v/>
      </c>
      <c r="X505" s="588" t="str">
        <f t="shared" si="216"/>
        <v/>
      </c>
      <c r="Y505" s="580"/>
      <c r="Z505" s="251" t="str">
        <f t="shared" si="199"/>
        <v/>
      </c>
      <c r="AA505" s="138" t="str">
        <f t="shared" si="224"/>
        <v/>
      </c>
      <c r="AB505" s="243" t="str">
        <f t="shared" si="217"/>
        <v/>
      </c>
      <c r="AC505" s="141" t="str">
        <f t="shared" si="200"/>
        <v/>
      </c>
      <c r="AD505" s="138" t="str">
        <f t="shared" si="218"/>
        <v/>
      </c>
      <c r="AE505" s="243" t="str">
        <f t="shared" si="201"/>
        <v/>
      </c>
      <c r="AF505" s="342" t="str">
        <f>IF(AM505="Row Not Used","",INDEX(SpaceTable[Annual Hours],(MATCH(B505,SpaceTable[Space Name Concatenated Helper],0))))</f>
        <v/>
      </c>
      <c r="AG505" s="205" t="str">
        <f t="shared" si="202"/>
        <v/>
      </c>
      <c r="AH505" s="234" t="str">
        <f t="shared" si="203"/>
        <v/>
      </c>
      <c r="AI505" s="205" t="str">
        <f t="shared" si="204"/>
        <v/>
      </c>
      <c r="AJ505" s="234" t="str">
        <f t="shared" si="205"/>
        <v/>
      </c>
      <c r="AK505" s="144" t="str">
        <f>IF(AM505="Row Not Used","",INDEX(SpaceTable[Row],(MATCH(B505,SpaceTable[Space Name Concatenated Helper],0))))</f>
        <v/>
      </c>
      <c r="AL505" s="238" t="str">
        <f>IF(AM505="Row Not Used","",INDEX(SpaceTable[HVAC Factor],(MATCH(B505,SpaceTable[Space Name Concatenated Helper],0))))</f>
        <v/>
      </c>
      <c r="AM505" s="520" t="str">
        <f t="shared" si="206"/>
        <v>Row Not Used</v>
      </c>
      <c r="AN505" s="512" t="e" cm="1">
        <f t="array" ref="AN505">INDEX(BallastFactorTable[Ballast Factor],MATCH(1,(BallastFactorTable[Fixture Class]=D505)*(BallastFactorTable[Fixture Category]=E505)*(BallastFactorTable[Fixture Sub-category]=F505),0))</f>
        <v>#N/A</v>
      </c>
      <c r="AO505" s="143" t="str">
        <f t="shared" si="219"/>
        <v/>
      </c>
      <c r="AP505" s="501" t="e" cm="1">
        <f t="array" ref="AP505">INDEX(BallastFactorTable[Wattage Range Name],MATCH(1,(BallastFactorTable[Fixture Class]=D505)*(BallastFactorTable[Fixture Category]=E505)*(BallastFactorTable[Fixture Sub-category]=F505),0))</f>
        <v>#N/A</v>
      </c>
      <c r="AQ505" s="515" t="str">
        <f t="shared" ca="1" si="207"/>
        <v>Okay</v>
      </c>
      <c r="AR505" s="512">
        <f t="shared" si="208"/>
        <v>0</v>
      </c>
      <c r="AS505" s="511" t="str">
        <f>IF(OR(Measures!AM505="Row Not Used",Measures!C505="Controls Only",Measures!C505="Decommissioning"),"",_xlfn.CONCAT(P505," ",Q505))</f>
        <v/>
      </c>
      <c r="AT505" s="264" t="str">
        <f t="shared" si="209"/>
        <v>None</v>
      </c>
      <c r="AU505" s="229">
        <f>IF(OR(AM505="Row Not Used",AM505="Controls Only"),0,INDEX(IncentiveRateTable[Incentive Rate],MATCH(AT505,IncentiveRateTable[Incentive Name],0)))</f>
        <v>0</v>
      </c>
      <c r="AV505" s="133" t="str">
        <f>IF(OR(AM505="Row Not Used",AM505="Controls Only"),"None",INDEX(IncentiveRateTable[Incentive Unit],MATCH(AT505,IncentiveRateTable[Incentive Name],0)))</f>
        <v>None</v>
      </c>
      <c r="AW505" s="578">
        <f t="shared" si="220"/>
        <v>0</v>
      </c>
      <c r="AX505" s="264" t="str">
        <f t="shared" si="210"/>
        <v>None</v>
      </c>
      <c r="AY505" s="229">
        <f>IF(OR(AM505="Row Not Used",AM505="Fixtures Only",AM505="Decommissioning"),0,INDEX(IncentiveRateTable[Incentive Rate],MATCH(AX505,IncentiveRateTable[Incentive Name],0)))</f>
        <v>0</v>
      </c>
      <c r="AZ505" s="133" t="str">
        <f>IF(OR(AM505="Row Not Used",AM505="Fixtures Only",AM505="Decommissioning"),"None",INDEX(IncentiveRateTable[Incentive Unit],MATCH(AX505,IncentiveRateTable[Incentive Name],0)))</f>
        <v>None</v>
      </c>
      <c r="BA505" s="465">
        <f t="shared" si="211"/>
        <v>0</v>
      </c>
      <c r="BB505" s="264" t="e" cm="1">
        <f t="array" ref="BB505">INDEX(BallastFactorTable[Commercial BPA Reference Number],MATCH(1,(BallastFactorTable[Fixture Class]=J505)*(BallastFactorTable[Fixture Category]=K505)*(BallastFactorTable[Fixture Sub-category]=L505),0))</f>
        <v>#N/A</v>
      </c>
      <c r="BC505" s="133" t="e" cm="1">
        <f t="array" ref="BC505">INDEX(BallastFactorTable[Industrial BPA Reference Number],MATCH(1,(BallastFactorTable[Fixture Class]=J505)*(BallastFactorTable[Fixture Category]=K505)*(BallastFactorTable[Fixture Sub-category]=L505),0))</f>
        <v>#N/A</v>
      </c>
      <c r="BD505" s="264" t="str">
        <f t="shared" si="212"/>
        <v>Sector is blank</v>
      </c>
      <c r="BE505" s="269" t="str">
        <f>IF(ISBLANK(SectorField),"Sector is blank",IF(AM505="Row Not Used","",IF(OR(R505="No Controls",ISBLANK(R505)),"",INDEX(ControlsBPARefNoTable[Reference Number],MATCH(SectorField,ControlsBPARefNoTable[Sector],0)))))</f>
        <v>Sector is blank</v>
      </c>
      <c r="BF505" s="530" t="str">
        <f t="shared" si="213"/>
        <v/>
      </c>
      <c r="BG505" s="132" t="str">
        <f t="shared" si="214"/>
        <v/>
      </c>
      <c r="BH505" s="531" t="str">
        <f t="shared" si="215"/>
        <v/>
      </c>
      <c r="BI505" s="532"/>
      <c r="BJ505" s="538" t="str">
        <f t="shared" si="221"/>
        <v/>
      </c>
      <c r="BK505" s="539" t="str">
        <f t="shared" si="222"/>
        <v/>
      </c>
      <c r="BL505" s="547" t="str">
        <f t="shared" si="223"/>
        <v/>
      </c>
    </row>
    <row r="506" spans="1:64" x14ac:dyDescent="0.3">
      <c r="A506" s="133">
        <v>499</v>
      </c>
      <c r="B506" s="294"/>
      <c r="C506" s="313"/>
      <c r="D506" s="292"/>
      <c r="E506" s="284"/>
      <c r="F506" s="284"/>
      <c r="G506" s="295"/>
      <c r="H506" s="296"/>
      <c r="I506" s="297"/>
      <c r="J506" s="292"/>
      <c r="K506" s="284"/>
      <c r="L506" s="284"/>
      <c r="M506" s="295"/>
      <c r="N506" s="296"/>
      <c r="O506" s="296"/>
      <c r="P506" s="284"/>
      <c r="Q506" s="298"/>
      <c r="R506" s="292"/>
      <c r="S506" s="299"/>
      <c r="T506" s="300"/>
      <c r="U506" s="317" t="str">
        <f t="shared" si="197"/>
        <v/>
      </c>
      <c r="V506" s="301"/>
      <c r="W506" s="137" t="str">
        <f t="shared" si="198"/>
        <v/>
      </c>
      <c r="X506" s="589" t="str">
        <f t="shared" si="216"/>
        <v/>
      </c>
      <c r="Y506" s="581"/>
      <c r="Z506" s="251" t="str">
        <f t="shared" si="199"/>
        <v/>
      </c>
      <c r="AA506" s="138" t="str">
        <f t="shared" si="224"/>
        <v/>
      </c>
      <c r="AB506" s="243" t="str">
        <f t="shared" si="217"/>
        <v/>
      </c>
      <c r="AC506" s="141" t="str">
        <f t="shared" si="200"/>
        <v/>
      </c>
      <c r="AD506" s="138" t="str">
        <f t="shared" si="218"/>
        <v/>
      </c>
      <c r="AE506" s="243" t="str">
        <f t="shared" si="201"/>
        <v/>
      </c>
      <c r="AF506" s="342" t="str">
        <f>IF(AM506="Row Not Used","",INDEX(SpaceTable[Annual Hours],(MATCH(B506,SpaceTable[Space Name Concatenated Helper],0))))</f>
        <v/>
      </c>
      <c r="AG506" s="205" t="str">
        <f t="shared" si="202"/>
        <v/>
      </c>
      <c r="AH506" s="234" t="str">
        <f t="shared" si="203"/>
        <v/>
      </c>
      <c r="AI506" s="205" t="str">
        <f t="shared" si="204"/>
        <v/>
      </c>
      <c r="AJ506" s="234" t="str">
        <f t="shared" si="205"/>
        <v/>
      </c>
      <c r="AK506" s="144" t="str">
        <f>IF(AM506="Row Not Used","",INDEX(SpaceTable[Row],(MATCH(B506,SpaceTable[Space Name Concatenated Helper],0))))</f>
        <v/>
      </c>
      <c r="AL506" s="238" t="str">
        <f>IF(AM506="Row Not Used","",INDEX(SpaceTable[HVAC Factor],(MATCH(B506,SpaceTable[Space Name Concatenated Helper],0))))</f>
        <v/>
      </c>
      <c r="AM506" s="520" t="str">
        <f t="shared" si="206"/>
        <v>Row Not Used</v>
      </c>
      <c r="AN506" s="512" t="e" cm="1">
        <f t="array" ref="AN506">INDEX(BallastFactorTable[Ballast Factor],MATCH(1,(BallastFactorTable[Fixture Class]=D506)*(BallastFactorTable[Fixture Category]=E506)*(BallastFactorTable[Fixture Sub-category]=F506),0))</f>
        <v>#N/A</v>
      </c>
      <c r="AO506" s="143" t="str">
        <f t="shared" si="219"/>
        <v/>
      </c>
      <c r="AP506" s="501" t="e" cm="1">
        <f t="array" ref="AP506">INDEX(BallastFactorTable[Wattage Range Name],MATCH(1,(BallastFactorTable[Fixture Class]=D506)*(BallastFactorTable[Fixture Category]=E506)*(BallastFactorTable[Fixture Sub-category]=F506),0))</f>
        <v>#N/A</v>
      </c>
      <c r="AQ506" s="515" t="str">
        <f t="shared" ca="1" si="207"/>
        <v>Okay</v>
      </c>
      <c r="AR506" s="512">
        <f t="shared" si="208"/>
        <v>0</v>
      </c>
      <c r="AS506" s="511" t="str">
        <f>IF(OR(Measures!AM506="Row Not Used",Measures!C506="Controls Only",Measures!C506="Decommissioning"),"",_xlfn.CONCAT(P506," ",Q506))</f>
        <v/>
      </c>
      <c r="AT506" s="264" t="str">
        <f t="shared" si="209"/>
        <v>None</v>
      </c>
      <c r="AU506" s="229">
        <f>IF(OR(AM506="Row Not Used",AM506="Controls Only"),0,INDEX(IncentiveRateTable[Incentive Rate],MATCH(AT506,IncentiveRateTable[Incentive Name],0)))</f>
        <v>0</v>
      </c>
      <c r="AV506" s="133" t="str">
        <f>IF(OR(AM506="Row Not Used",AM506="Controls Only"),"None",INDEX(IncentiveRateTable[Incentive Unit],MATCH(AT506,IncentiveRateTable[Incentive Name],0)))</f>
        <v>None</v>
      </c>
      <c r="AW506" s="578">
        <f t="shared" si="220"/>
        <v>0</v>
      </c>
      <c r="AX506" s="264" t="str">
        <f t="shared" si="210"/>
        <v>None</v>
      </c>
      <c r="AY506" s="229">
        <f>IF(OR(AM506="Row Not Used",AM506="Fixtures Only",AM506="Decommissioning"),0,INDEX(IncentiveRateTable[Incentive Rate],MATCH(AX506,IncentiveRateTable[Incentive Name],0)))</f>
        <v>0</v>
      </c>
      <c r="AZ506" s="133" t="str">
        <f>IF(OR(AM506="Row Not Used",AM506="Fixtures Only",AM506="Decommissioning"),"None",INDEX(IncentiveRateTable[Incentive Unit],MATCH(AX506,IncentiveRateTable[Incentive Name],0)))</f>
        <v>None</v>
      </c>
      <c r="BA506" s="465">
        <f t="shared" si="211"/>
        <v>0</v>
      </c>
      <c r="BB506" s="264" t="e" cm="1">
        <f t="array" ref="BB506">INDEX(BallastFactorTable[Commercial BPA Reference Number],MATCH(1,(BallastFactorTable[Fixture Class]=J506)*(BallastFactorTable[Fixture Category]=K506)*(BallastFactorTable[Fixture Sub-category]=L506),0))</f>
        <v>#N/A</v>
      </c>
      <c r="BC506" s="133" t="e" cm="1">
        <f t="array" ref="BC506">INDEX(BallastFactorTable[Industrial BPA Reference Number],MATCH(1,(BallastFactorTable[Fixture Class]=J506)*(BallastFactorTable[Fixture Category]=K506)*(BallastFactorTable[Fixture Sub-category]=L506),0))</f>
        <v>#N/A</v>
      </c>
      <c r="BD506" s="264" t="str">
        <f t="shared" si="212"/>
        <v>Sector is blank</v>
      </c>
      <c r="BE506" s="269" t="str">
        <f>IF(ISBLANK(SectorField),"Sector is blank",IF(AM506="Row Not Used","",IF(OR(R506="No Controls",ISBLANK(R506)),"",INDEX(ControlsBPARefNoTable[Reference Number],MATCH(SectorField,ControlsBPARefNoTable[Sector],0)))))</f>
        <v>Sector is blank</v>
      </c>
      <c r="BF506" s="530" t="str">
        <f t="shared" si="213"/>
        <v/>
      </c>
      <c r="BG506" s="132" t="str">
        <f t="shared" si="214"/>
        <v/>
      </c>
      <c r="BH506" s="531" t="str">
        <f t="shared" si="215"/>
        <v/>
      </c>
      <c r="BI506" s="532"/>
      <c r="BJ506" s="538" t="str">
        <f t="shared" si="221"/>
        <v/>
      </c>
      <c r="BK506" s="539" t="str">
        <f t="shared" si="222"/>
        <v/>
      </c>
      <c r="BL506" s="547" t="str">
        <f t="shared" si="223"/>
        <v/>
      </c>
    </row>
    <row r="507" spans="1:64" x14ac:dyDescent="0.3">
      <c r="A507" s="133">
        <v>500</v>
      </c>
      <c r="B507" s="294"/>
      <c r="C507" s="313"/>
      <c r="D507" s="292"/>
      <c r="E507" s="284"/>
      <c r="F507" s="284"/>
      <c r="G507" s="295"/>
      <c r="H507" s="296"/>
      <c r="I507" s="297"/>
      <c r="J507" s="292"/>
      <c r="K507" s="284"/>
      <c r="L507" s="284"/>
      <c r="M507" s="295"/>
      <c r="N507" s="296"/>
      <c r="O507" s="296"/>
      <c r="P507" s="284"/>
      <c r="Q507" s="298"/>
      <c r="R507" s="292"/>
      <c r="S507" s="299"/>
      <c r="T507" s="300"/>
      <c r="U507" s="317" t="str">
        <f t="shared" si="197"/>
        <v/>
      </c>
      <c r="V507" s="301"/>
      <c r="W507" s="137" t="str">
        <f t="shared" si="198"/>
        <v/>
      </c>
      <c r="X507" s="589" t="str">
        <f t="shared" si="216"/>
        <v/>
      </c>
      <c r="Y507" s="581"/>
      <c r="Z507" s="251" t="str">
        <f t="shared" si="199"/>
        <v/>
      </c>
      <c r="AA507" s="138" t="str">
        <f t="shared" si="224"/>
        <v/>
      </c>
      <c r="AB507" s="243" t="str">
        <f t="shared" si="217"/>
        <v/>
      </c>
      <c r="AC507" s="141" t="str">
        <f t="shared" si="200"/>
        <v/>
      </c>
      <c r="AD507" s="138" t="str">
        <f t="shared" si="218"/>
        <v/>
      </c>
      <c r="AE507" s="243" t="str">
        <f t="shared" si="201"/>
        <v/>
      </c>
      <c r="AF507" s="342" t="str">
        <f>IF(AM507="Row Not Used","",INDEX(SpaceTable[Annual Hours],(MATCH(B507,SpaceTable[Space Name Concatenated Helper],0))))</f>
        <v/>
      </c>
      <c r="AG507" s="205" t="str">
        <f t="shared" si="202"/>
        <v/>
      </c>
      <c r="AH507" s="234" t="str">
        <f t="shared" si="203"/>
        <v/>
      </c>
      <c r="AI507" s="205" t="str">
        <f t="shared" si="204"/>
        <v/>
      </c>
      <c r="AJ507" s="234" t="str">
        <f t="shared" si="205"/>
        <v/>
      </c>
      <c r="AK507" s="144" t="str">
        <f>IF(AM507="Row Not Used","",INDEX(SpaceTable[Row],(MATCH(B507,SpaceTable[Space Name Concatenated Helper],0))))</f>
        <v/>
      </c>
      <c r="AL507" s="238" t="str">
        <f>IF(AM507="Row Not Used","",INDEX(SpaceTable[HVAC Factor],(MATCH(B507,SpaceTable[Space Name Concatenated Helper],0))))</f>
        <v/>
      </c>
      <c r="AM507" s="520" t="str">
        <f t="shared" si="206"/>
        <v>Row Not Used</v>
      </c>
      <c r="AN507" s="512" t="e" cm="1">
        <f t="array" ref="AN507">INDEX(BallastFactorTable[Ballast Factor],MATCH(1,(BallastFactorTable[Fixture Class]=D507)*(BallastFactorTable[Fixture Category]=E507)*(BallastFactorTable[Fixture Sub-category]=F507),0))</f>
        <v>#N/A</v>
      </c>
      <c r="AO507" s="143" t="str">
        <f t="shared" si="219"/>
        <v/>
      </c>
      <c r="AP507" s="501" t="e" cm="1">
        <f t="array" ref="AP507">INDEX(BallastFactorTable[Wattage Range Name],MATCH(1,(BallastFactorTable[Fixture Class]=D507)*(BallastFactorTable[Fixture Category]=E507)*(BallastFactorTable[Fixture Sub-category]=F507),0))</f>
        <v>#N/A</v>
      </c>
      <c r="AQ507" s="515" t="str">
        <f t="shared" ca="1" si="207"/>
        <v>Okay</v>
      </c>
      <c r="AR507" s="512">
        <f t="shared" si="208"/>
        <v>0</v>
      </c>
      <c r="AS507" s="511" t="str">
        <f>IF(OR(Measures!AM507="Row Not Used",Measures!C507="Controls Only",Measures!C507="Decommissioning"),"",_xlfn.CONCAT(P507," ",Q507))</f>
        <v/>
      </c>
      <c r="AT507" s="264" t="str">
        <f t="shared" si="209"/>
        <v>None</v>
      </c>
      <c r="AU507" s="229">
        <f>IF(OR(AM507="Row Not Used",AM507="Controls Only"),0,INDEX(IncentiveRateTable[Incentive Rate],MATCH(AT507,IncentiveRateTable[Incentive Name],0)))</f>
        <v>0</v>
      </c>
      <c r="AV507" s="133" t="str">
        <f>IF(OR(AM507="Row Not Used",AM507="Controls Only"),"None",INDEX(IncentiveRateTable[Incentive Unit],MATCH(AT507,IncentiveRateTable[Incentive Name],0)))</f>
        <v>None</v>
      </c>
      <c r="AW507" s="578">
        <f t="shared" si="220"/>
        <v>0</v>
      </c>
      <c r="AX507" s="264" t="str">
        <f t="shared" si="210"/>
        <v>None</v>
      </c>
      <c r="AY507" s="229">
        <f>IF(OR(AM507="Row Not Used",AM507="Fixtures Only",AM507="Decommissioning"),0,INDEX(IncentiveRateTable[Incentive Rate],MATCH(AX507,IncentiveRateTable[Incentive Name],0)))</f>
        <v>0</v>
      </c>
      <c r="AZ507" s="133" t="str">
        <f>IF(OR(AM507="Row Not Used",AM507="Fixtures Only",AM507="Decommissioning"),"None",INDEX(IncentiveRateTable[Incentive Unit],MATCH(AX507,IncentiveRateTable[Incentive Name],0)))</f>
        <v>None</v>
      </c>
      <c r="BA507" s="465">
        <f t="shared" si="211"/>
        <v>0</v>
      </c>
      <c r="BB507" s="264" t="e" cm="1">
        <f t="array" ref="BB507">INDEX(BallastFactorTable[Commercial BPA Reference Number],MATCH(1,(BallastFactorTable[Fixture Class]=J507)*(BallastFactorTable[Fixture Category]=K507)*(BallastFactorTable[Fixture Sub-category]=L507),0))</f>
        <v>#N/A</v>
      </c>
      <c r="BC507" s="133" t="e" cm="1">
        <f t="array" ref="BC507">INDEX(BallastFactorTable[Industrial BPA Reference Number],MATCH(1,(BallastFactorTable[Fixture Class]=J507)*(BallastFactorTable[Fixture Category]=K507)*(BallastFactorTable[Fixture Sub-category]=L507),0))</f>
        <v>#N/A</v>
      </c>
      <c r="BD507" s="264" t="str">
        <f t="shared" si="212"/>
        <v>Sector is blank</v>
      </c>
      <c r="BE507" s="269" t="str">
        <f>IF(ISBLANK(SectorField),"Sector is blank",IF(AM507="Row Not Used","",IF(OR(R507="No Controls",ISBLANK(R507)),"",INDEX(ControlsBPARefNoTable[Reference Number],MATCH(SectorField,ControlsBPARefNoTable[Sector],0)))))</f>
        <v>Sector is blank</v>
      </c>
      <c r="BF507" s="530" t="str">
        <f t="shared" si="213"/>
        <v/>
      </c>
      <c r="BG507" s="132" t="str">
        <f t="shared" si="214"/>
        <v/>
      </c>
      <c r="BH507" s="531" t="str">
        <f t="shared" si="215"/>
        <v/>
      </c>
      <c r="BI507" s="532"/>
      <c r="BJ507" s="538" t="str">
        <f t="shared" si="221"/>
        <v/>
      </c>
      <c r="BK507" s="539" t="str">
        <f t="shared" si="222"/>
        <v/>
      </c>
      <c r="BL507" s="547" t="str">
        <f t="shared" si="223"/>
        <v/>
      </c>
    </row>
    <row r="510" spans="1:64" x14ac:dyDescent="0.3">
      <c r="G510"/>
      <c r="H510"/>
      <c r="I510"/>
      <c r="M510"/>
      <c r="N510"/>
      <c r="O510"/>
      <c r="Q510"/>
      <c r="W510"/>
      <c r="X510"/>
      <c r="Y510" s="16"/>
      <c r="Z510"/>
      <c r="AA510"/>
      <c r="AB510"/>
      <c r="AC510"/>
      <c r="AD510"/>
      <c r="AE510"/>
      <c r="AH510"/>
      <c r="AJ510"/>
      <c r="AL510"/>
      <c r="AN510"/>
      <c r="AO510"/>
      <c r="AP510"/>
      <c r="AQ510"/>
      <c r="AR510"/>
      <c r="AS510"/>
      <c r="BA510"/>
    </row>
    <row r="511" spans="1:64" x14ac:dyDescent="0.3">
      <c r="N511"/>
      <c r="O511"/>
      <c r="P511" s="19"/>
      <c r="Q511"/>
      <c r="R511" s="19"/>
      <c r="S511" s="19"/>
      <c r="T511" s="19"/>
      <c r="W511"/>
      <c r="X511" s="19"/>
      <c r="Y511" s="16"/>
      <c r="Z511" s="19"/>
      <c r="AA511"/>
      <c r="AB511"/>
      <c r="AC511"/>
      <c r="AD511"/>
      <c r="AE511" s="19"/>
      <c r="AH511"/>
      <c r="AI511" s="19"/>
      <c r="AJ511"/>
      <c r="AK511" s="19"/>
      <c r="AL511"/>
      <c r="AN511"/>
      <c r="AO511"/>
      <c r="AP511"/>
      <c r="AQ511"/>
      <c r="AR511"/>
      <c r="AS511"/>
      <c r="BD511" s="19"/>
    </row>
    <row r="512" spans="1:64" x14ac:dyDescent="0.3">
      <c r="W512"/>
      <c r="X512"/>
      <c r="Y512" s="16"/>
      <c r="Z512"/>
      <c r="AA512"/>
      <c r="AB512"/>
      <c r="AC512"/>
      <c r="AD512"/>
      <c r="AE512"/>
      <c r="AH512"/>
      <c r="AJ512"/>
      <c r="AL512"/>
      <c r="AN512"/>
      <c r="AO512"/>
      <c r="AP512"/>
      <c r="AQ512"/>
      <c r="AR512"/>
      <c r="AS512"/>
      <c r="BA512"/>
    </row>
    <row r="513" spans="34:34" x14ac:dyDescent="0.3">
      <c r="AH513" s="80"/>
    </row>
    <row r="515" spans="34:34" x14ac:dyDescent="0.3">
      <c r="AH515" s="79"/>
    </row>
  </sheetData>
  <sheetProtection algorithmName="SHA-512" hashValue="UzjmmiW9CAvAbY7jAKSnDXuj8SEUk+2F9exhwq2cenaKldq/bOAMO0IxExiIfNbLiQILMwx9G7K+ITrHn9NBww==" saltValue="399KHiuPYBMucEsAUvBFwQ==" spinCount="100000" sheet="1" objects="1" scenarios="1"/>
  <phoneticPr fontId="12" type="noConversion"/>
  <conditionalFormatting sqref="G8:G507">
    <cfRule type="expression" dxfId="9" priority="6">
      <formula>AQ8="Invalid"</formula>
    </cfRule>
  </conditionalFormatting>
  <conditionalFormatting sqref="J8:Q507">
    <cfRule type="expression" dxfId="8" priority="33">
      <formula>OR($C8="Controls Only",$C8="Decommissioning")</formula>
    </cfRule>
  </conditionalFormatting>
  <conditionalFormatting sqref="R8:R507">
    <cfRule type="expression" dxfId="7" priority="34">
      <formula>$C8="Decommissioning"</formula>
    </cfRule>
  </conditionalFormatting>
  <conditionalFormatting sqref="S8:S507">
    <cfRule type="expression" dxfId="6" priority="35">
      <formula>OR(AND($C8="Controls Only",S8&gt;I8),AND($C8="Fixtures",S8&gt;O8))</formula>
    </cfRule>
  </conditionalFormatting>
  <conditionalFormatting sqref="S8:T507">
    <cfRule type="expression" dxfId="5" priority="4">
      <formula>OR(R8="No Controls",$C8="Decommissioning")</formula>
    </cfRule>
  </conditionalFormatting>
  <conditionalFormatting sqref="T8:T507">
    <cfRule type="expression" dxfId="4" priority="10">
      <formula>AND(LEN(R8)&gt;0,R8&lt;&gt;"Multi-function")</formula>
    </cfRule>
  </conditionalFormatting>
  <conditionalFormatting sqref="U8:U507">
    <cfRule type="expression" dxfId="3" priority="36">
      <formula>OR(R8="No Controls",$C8="Decommissioning")</formula>
    </cfRule>
  </conditionalFormatting>
  <conditionalFormatting sqref="BJ8:BJ507">
    <cfRule type="expression" dxfId="2" priority="1">
      <formula>$BJ8="Missing info"</formula>
    </cfRule>
  </conditionalFormatting>
  <conditionalFormatting sqref="BK8:BK507">
    <cfRule type="expression" dxfId="1" priority="2">
      <formula>$BK8="Missing info"</formula>
    </cfRule>
  </conditionalFormatting>
  <conditionalFormatting sqref="BL8:BL507">
    <cfRule type="expression" dxfId="0" priority="3">
      <formula>$BL8="Missing info"</formula>
    </cfRule>
  </conditionalFormatting>
  <dataValidations count="14">
    <dataValidation type="list" allowBlank="1" showInputMessage="1" showErrorMessage="1" sqref="D8:D507" xr:uid="{E7037923-C112-425B-A510-F5138783BBF6}">
      <formula1>_xlfn.ANCHORARRAY(FixClassExist)</formula1>
    </dataValidation>
    <dataValidation type="list" allowBlank="1" showInputMessage="1" showErrorMessage="1" sqref="J8:J507" xr:uid="{70942A61-DA1F-4C4E-B674-A515EC57D17A}">
      <formula1>_xlfn.ANCHORARRAY(FixClassPropose)</formula1>
    </dataValidation>
    <dataValidation type="list" allowBlank="1" showInputMessage="1" showErrorMessage="1" sqref="C8:C507" xr:uid="{50D15F08-3E10-409D-B217-3E5969BF2450}">
      <formula1>MeasureType</formula1>
    </dataValidation>
    <dataValidation type="list" allowBlank="1" showInputMessage="1" showErrorMessage="1" sqref="K8:K507" xr:uid="{06BB4C01-1CAA-473A-B14C-9FAC8317EC94}">
      <formula1>IF(J8="LED",LEDCat,IF(J8="Signage",SignageCat,Blank))</formula1>
    </dataValidation>
    <dataValidation type="list" allowBlank="1" showInputMessage="1" showErrorMessage="1" sqref="L8:L507" xr:uid="{3C58B00F-E4FC-4E8F-A8AD-87ADD5307934}">
      <formula1>IF(J8="LED",LEDSub,IF(J8="Signage",SignageSub,Blank))</formula1>
    </dataValidation>
    <dataValidation type="list" allowBlank="1" showInputMessage="1" showErrorMessage="1" sqref="R8:R507" xr:uid="{64A060C2-3CB4-49B6-8492-FB3E3CAC3BA0}">
      <formula1>ControlType</formula1>
    </dataValidation>
    <dataValidation type="list" allowBlank="1" showInputMessage="1" showErrorMessage="1" sqref="B8:C507" xr:uid="{7CAB01B0-DCBA-4A68-B7D0-D1AA2F047A91}">
      <formula1>_xlfn.ANCHORARRAY(SpaceName)</formula1>
    </dataValidation>
    <dataValidation type="list" allowBlank="1" showInputMessage="1" showErrorMessage="1" sqref="E8:E507" xr:uid="{1A9D999B-81D7-4654-8800-15A889E0203B}">
      <formula1>IF(D8="CFL",CFLCat,IF(D8="Exit Sign",ExitSignCat,IF(D8="HID",HIDCat,IF(D8="Induction",InductionCat,IF(D8="LED",LEDCat,IF(D8="Quartz",QuartzCat,IF(D8="T10",T10Cat,IF(D8="T12",T12Cat,IF(D8="T5",T5Cat,IF(D8="T8",T8Cat,IF(D8="T8 HP",T8HPCat,Blank)))))))))))</formula1>
    </dataValidation>
    <dataValidation type="list" allowBlank="1" showInputMessage="1" showErrorMessage="1" sqref="F8:F507" xr:uid="{F1A02B26-A485-4724-8CC0-81DE407C552E}">
      <formula1>IF(D8="CFL",CFLSub,IF(D8="Exit Sign",ExitSignSub,IF(D8="HID",HIDSub,IF(D8="Induction",InductionSub,IF(D8="LED",LEDSub,IF(D8="Quartz",QuartzSub,IF(D8="T10",T10Sub,IF(D8="T12",T12Sub,IF(D8="T5",T5Sub,IF(D8="T8",T8Sub,IF(D8="T8 HP",T8HPSub,Blank)))))))))))</formula1>
    </dataValidation>
    <dataValidation type="whole" allowBlank="1" showInputMessage="1" showErrorMessage="1" errorTitle="Whole numbers only" error="Please enter a whole number (no text, no decimals). Thank you." sqref="N8:O507 H8:I507 S8:S507" xr:uid="{8F4F237E-CB28-4F7F-ADFF-BBD8A6D540E9}">
      <formula1>0</formula1>
      <formula2>1000000</formula2>
    </dataValidation>
    <dataValidation type="decimal" allowBlank="1" showInputMessage="1" showErrorMessage="1" errorTitle="Numbers only" error="Please enter a numeric value. Thank you." sqref="M8:M507" xr:uid="{CF3C29D1-81ED-43C4-A2E9-80AEBAC7A7C2}">
      <formula1>0</formula1>
      <formula2>100000</formula2>
    </dataValidation>
    <dataValidation type="list" allowBlank="1" showInputMessage="1" showErrorMessage="1" sqref="T8:T507" xr:uid="{CFD72E52-AA0F-4B74-A3C2-C3A5B716E545}">
      <formula1>MultifuncCtrlWattReducePct</formula1>
    </dataValidation>
    <dataValidation type="list" allowBlank="1" showInputMessage="1" showErrorMessage="1" errorTitle="Whole numbers only" error="Please enter a whole number (no text, no decimals). Thank you." sqref="T8:T507" xr:uid="{FBB4D6B0-E99E-4041-95A0-FEDD1864EF4E}">
      <formula1>MultifuncCtrlWattReducePct</formula1>
    </dataValidation>
    <dataValidation type="list" allowBlank="1" showInputMessage="1" sqref="G8:G507" xr:uid="{BA89A433-16FE-45BD-8E58-C9093BA686A9}">
      <formula1>INDIRECT(AP8)</formula1>
    </dataValidation>
  </dataValidations>
  <hyperlinks>
    <hyperlink ref="E1" location="Instructions!A1" display="Go to instructions." xr:uid="{081528A4-5C83-479D-83EF-9FD604770D3E}"/>
  </hyperlinks>
  <pageMargins left="0.45" right="0.45" top="0.75" bottom="0.75" header="0.3" footer="0.3"/>
  <pageSetup pageOrder="overThenDown" orientation="landscape" r:id="rId1"/>
  <headerFooter>
    <oddHeader>&amp;C&amp;14Tacoma Power's Bright Rebates Lighting Application</oddHeader>
    <oddFooter>&amp;L&amp;9&amp;A&amp;C&amp;P of &amp;N&amp;R&amp;9Printed on &amp;D</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67414D-DA31-4C21-94C0-36160661CE27}">
  <sheetPr>
    <tabColor theme="6" tint="0.79998168889431442"/>
  </sheetPr>
  <dimension ref="A1:I47"/>
  <sheetViews>
    <sheetView showGridLines="0" zoomScaleNormal="100" workbookViewId="0">
      <pane ySplit="1" topLeftCell="A2" activePane="bottomLeft" state="frozen"/>
      <selection pane="bottomLeft" activeCell="A2" sqref="A2"/>
    </sheetView>
  </sheetViews>
  <sheetFormatPr defaultColWidth="8.88671875" defaultRowHeight="14.4" outlineLevelRow="1" x14ac:dyDescent="0.3"/>
  <cols>
    <col min="1" max="1" width="42.6640625" style="14" customWidth="1"/>
    <col min="2" max="2" width="14.5546875" style="14" customWidth="1"/>
    <col min="3" max="3" width="2.6640625" style="14" customWidth="1"/>
    <col min="4" max="4" width="42.6640625" style="14" customWidth="1"/>
    <col min="5" max="5" width="14.5546875" style="14" customWidth="1"/>
    <col min="6" max="16384" width="8.88671875" style="14"/>
  </cols>
  <sheetData>
    <row r="1" spans="1:9" s="53" customFormat="1" ht="28.8" x14ac:dyDescent="0.55000000000000004">
      <c r="A1" s="396" t="s">
        <v>437</v>
      </c>
      <c r="D1" s="114"/>
      <c r="E1" s="375" t="str">
        <f>_xlfn.CONCAT("Project Number: ",IF(LEN(DSMCProjNumField)=0,"",DSMCProjNumField))</f>
        <v xml:space="preserve">Project Number: </v>
      </c>
      <c r="G1" s="215"/>
    </row>
    <row r="3" spans="1:9" ht="25.8" x14ac:dyDescent="0.3">
      <c r="A3" s="397" t="str">
        <f>_xlfn.CONCAT("Project Name: ",IF(LEN(Contacts!B3)=0,"",Contacts!B3))</f>
        <v xml:space="preserve">Project Name: </v>
      </c>
      <c r="B3" s="147"/>
      <c r="C3" s="147"/>
      <c r="D3" s="147"/>
      <c r="E3" s="147"/>
    </row>
    <row r="4" spans="1:9" x14ac:dyDescent="0.3">
      <c r="A4" s="377" t="str">
        <f>_xlfn.CONCAT("Site: ",IF(ISBLANK(Site!B7),"",_xlfn.CONCAT(Site!B6,", ",Site!B7,", ",Site!B8,", ",Site!B9," ",Site!B10)))</f>
        <v xml:space="preserve">Site: </v>
      </c>
      <c r="B4" s="190"/>
      <c r="C4" s="190"/>
      <c r="D4" s="190"/>
      <c r="E4" s="190"/>
    </row>
    <row r="6" spans="1:9" x14ac:dyDescent="0.3">
      <c r="A6" s="149" t="s">
        <v>438</v>
      </c>
      <c r="B6" s="150"/>
      <c r="D6" s="149" t="s">
        <v>439</v>
      </c>
      <c r="E6" s="150"/>
    </row>
    <row r="7" spans="1:9" x14ac:dyDescent="0.3">
      <c r="A7" s="521" t="str">
        <f>IF(ISBLANK(Contacts!B6),"",Contacts!B6)</f>
        <v/>
      </c>
      <c r="B7" s="521"/>
      <c r="D7" s="521" t="str">
        <f>IF(ISBLANK(Contacts!B23),"",Contacts!B23)</f>
        <v/>
      </c>
      <c r="E7" s="521"/>
    </row>
    <row r="8" spans="1:9" x14ac:dyDescent="0.3">
      <c r="A8" s="147" t="str">
        <f>IF(ISBLANK(Contacts!B7),"",Contacts!B7)</f>
        <v/>
      </c>
      <c r="B8" s="147"/>
      <c r="C8" s="147"/>
      <c r="D8" s="147" t="str">
        <f>IF(ISBLANK(Contacts!B24),"",Contacts!B24)</f>
        <v/>
      </c>
      <c r="E8" s="147"/>
    </row>
    <row r="9" spans="1:9" x14ac:dyDescent="0.3">
      <c r="A9" s="190" t="str">
        <f>IF(ISBLANK(Contacts!B8),"",_xlfn.CONCAT(Contacts!B8,", ",Contacts!B9," ",Contacts!B10))</f>
        <v/>
      </c>
      <c r="B9" s="190"/>
      <c r="C9" s="147"/>
      <c r="D9" s="190" t="str">
        <f>IF(ISBLANK(Contacts!B25),"",_xlfn.CONCAT(Contacts!B25,", ",Contacts!B26," ",Contacts!B27))</f>
        <v/>
      </c>
      <c r="E9" s="190"/>
    </row>
    <row r="10" spans="1:9" ht="4.95" customHeight="1" x14ac:dyDescent="0.3">
      <c r="A10" s="147"/>
      <c r="B10" s="147"/>
      <c r="C10" s="147"/>
      <c r="D10" s="147"/>
      <c r="E10" s="147"/>
    </row>
    <row r="11" spans="1:9" x14ac:dyDescent="0.3">
      <c r="A11" s="147" t="str">
        <f>IF(ISBLANK(Contacts!B12),"",Contacts!B12)</f>
        <v/>
      </c>
      <c r="B11" s="147"/>
      <c r="C11" s="147"/>
      <c r="D11" s="147" t="str">
        <f>IF(ISBLANK(Contacts!B29),"",Contacts!B29)</f>
        <v/>
      </c>
      <c r="E11" s="147"/>
    </row>
    <row r="12" spans="1:9" x14ac:dyDescent="0.3">
      <c r="A12" s="190" t="str">
        <f>IF(ISBLANK(Contacts!B13),"",_xlfn.CONCAT(Contacts!B13," | Phone: ",Contacts!B14))</f>
        <v/>
      </c>
      <c r="B12" s="190"/>
      <c r="C12" s="147"/>
      <c r="D12" s="190" t="str">
        <f>IF(ISBLANK(Contacts!B30),"",_xlfn.CONCAT(Contacts!B30," | Phone: ",Contacts!B31))</f>
        <v/>
      </c>
      <c r="E12" s="190"/>
    </row>
    <row r="14" spans="1:9" x14ac:dyDescent="0.3">
      <c r="A14" s="149" t="s">
        <v>440</v>
      </c>
      <c r="B14" s="150"/>
      <c r="C14" s="93"/>
      <c r="D14" s="149" t="s">
        <v>441</v>
      </c>
      <c r="E14" s="150"/>
      <c r="G14" s="99"/>
      <c r="H14" s="99"/>
      <c r="I14" s="99"/>
    </row>
    <row r="15" spans="1:9" ht="26.4" x14ac:dyDescent="0.3">
      <c r="A15" s="306" t="s">
        <v>442</v>
      </c>
      <c r="B15" s="152">
        <f>MIN(B39,B40)</f>
        <v>0</v>
      </c>
      <c r="C15" s="100"/>
      <c r="D15" s="154" t="s">
        <v>443</v>
      </c>
      <c r="E15" s="153">
        <f>IF(ISERROR(ROUND(B21*B30,0)),0,ROUND(B21*B30,0))</f>
        <v>0</v>
      </c>
      <c r="F15" s="94"/>
      <c r="G15" s="98"/>
      <c r="H15" s="99"/>
      <c r="I15" s="99"/>
    </row>
    <row r="16" spans="1:9" ht="26.4" x14ac:dyDescent="0.3">
      <c r="A16" s="140" t="s">
        <v>190</v>
      </c>
      <c r="B16" s="153">
        <f>IF(ISBLANK(ProjectCostField),0,ROUND(ProjectCostField,0))</f>
        <v>0</v>
      </c>
      <c r="C16" s="100"/>
      <c r="D16" s="154" t="s">
        <v>444</v>
      </c>
      <c r="E16" s="153">
        <f>ROUND(B16*B31,0)</f>
        <v>0</v>
      </c>
      <c r="F16" s="97"/>
      <c r="G16" s="210"/>
      <c r="H16" s="99"/>
      <c r="I16" s="99"/>
    </row>
    <row r="17" spans="1:8" ht="26.4" x14ac:dyDescent="0.3">
      <c r="A17" s="154" t="s">
        <v>445</v>
      </c>
      <c r="B17" s="153">
        <f>B16-B15</f>
        <v>0</v>
      </c>
      <c r="C17" s="100"/>
      <c r="D17" s="160" t="s">
        <v>446</v>
      </c>
      <c r="E17" s="161">
        <f>IF(AND(B15&gt;0,B15=B16),1,IF(ISERROR(ROUND(B17/(E15+E16),1)),0,ROUND(B17/(E15+E16),1)))</f>
        <v>0</v>
      </c>
      <c r="F17" s="95"/>
      <c r="G17" s="95"/>
    </row>
    <row r="18" spans="1:8" ht="26.4" x14ac:dyDescent="0.3">
      <c r="A18" s="154" t="s">
        <v>447</v>
      </c>
      <c r="B18" s="155">
        <f>IF(ISERROR(ROUND(B15/B16,2)),0,ROUND(B15/B16,2))</f>
        <v>0</v>
      </c>
      <c r="C18" s="100"/>
      <c r="D18" s="160" t="s">
        <v>448</v>
      </c>
      <c r="E18" s="162">
        <f>IF(ISERROR(ROUND(1/E17,3)),0,ROUND(1/E17,3))</f>
        <v>0</v>
      </c>
      <c r="F18" s="95"/>
      <c r="G18" s="95"/>
    </row>
    <row r="19" spans="1:8" x14ac:dyDescent="0.3">
      <c r="A19" s="145"/>
      <c r="B19" s="146"/>
      <c r="C19" s="100"/>
      <c r="E19" s="99"/>
      <c r="F19" s="95"/>
      <c r="G19" s="95"/>
    </row>
    <row r="20" spans="1:8" x14ac:dyDescent="0.3">
      <c r="A20" s="149" t="s">
        <v>449</v>
      </c>
      <c r="B20" s="156"/>
      <c r="C20" s="100"/>
      <c r="D20" s="149" t="s">
        <v>450</v>
      </c>
      <c r="E20" s="150"/>
      <c r="F20" s="95"/>
      <c r="G20" s="95"/>
    </row>
    <row r="21" spans="1:8" ht="26.4" customHeight="1" x14ac:dyDescent="0.3">
      <c r="A21" s="151" t="s">
        <v>451</v>
      </c>
      <c r="B21" s="157">
        <f>Measures!W6</f>
        <v>0</v>
      </c>
      <c r="C21" s="100"/>
      <c r="D21" s="163" t="s">
        <v>452</v>
      </c>
      <c r="E21" s="164" t="s">
        <v>453</v>
      </c>
      <c r="F21" s="94"/>
      <c r="G21" s="95"/>
    </row>
    <row r="22" spans="1:8" ht="26.4" x14ac:dyDescent="0.3">
      <c r="A22" s="158" t="s">
        <v>454</v>
      </c>
      <c r="B22" s="159">
        <f>Measures!X6</f>
        <v>0</v>
      </c>
      <c r="C22" s="100"/>
      <c r="D22" s="140" t="s">
        <v>455</v>
      </c>
      <c r="E22" s="153">
        <f>ROUND((E15+E16)/2,0)</f>
        <v>0</v>
      </c>
      <c r="F22" s="94"/>
      <c r="G22" s="95"/>
    </row>
    <row r="23" spans="1:8" x14ac:dyDescent="0.3">
      <c r="A23" s="147"/>
      <c r="B23" s="148"/>
      <c r="C23" s="98"/>
      <c r="D23" s="140" t="s">
        <v>456</v>
      </c>
      <c r="E23" s="153">
        <f>E15+E16</f>
        <v>0</v>
      </c>
      <c r="F23" s="95"/>
      <c r="G23" s="95"/>
      <c r="H23" s="90"/>
    </row>
    <row r="24" spans="1:8" x14ac:dyDescent="0.3">
      <c r="A24" s="51" t="str">
        <f>IF(ISBLANK(RateClassField),"",_xlfn.CONCAT("* Tacoma Power pays the lesser of the uncapped incentive or ",B41*100,"% of project cost."))</f>
        <v/>
      </c>
      <c r="C24" s="98"/>
      <c r="D24" s="140" t="s">
        <v>457</v>
      </c>
      <c r="E24" s="153">
        <f>E23*3</f>
        <v>0</v>
      </c>
      <c r="F24" s="95"/>
      <c r="G24" s="95"/>
      <c r="H24" s="90"/>
    </row>
    <row r="25" spans="1:8" x14ac:dyDescent="0.3">
      <c r="A25" s="399" t="s">
        <v>458</v>
      </c>
      <c r="C25" s="98"/>
      <c r="D25" s="140" t="s">
        <v>459</v>
      </c>
      <c r="E25" s="153">
        <f>E23*5</f>
        <v>0</v>
      </c>
      <c r="F25" s="95"/>
      <c r="G25" s="95"/>
    </row>
    <row r="26" spans="1:8" x14ac:dyDescent="0.3">
      <c r="C26" s="100"/>
      <c r="F26" s="94"/>
      <c r="G26" s="96"/>
    </row>
    <row r="27" spans="1:8" ht="4.95" customHeight="1" x14ac:dyDescent="0.3">
      <c r="A27" s="92"/>
      <c r="B27" s="92"/>
      <c r="C27" s="92"/>
      <c r="D27" s="92"/>
      <c r="E27" s="92"/>
    </row>
    <row r="29" spans="1:8" x14ac:dyDescent="0.3">
      <c r="A29" s="149" t="s">
        <v>460</v>
      </c>
      <c r="B29" s="150"/>
      <c r="D29" s="149" t="s">
        <v>461</v>
      </c>
      <c r="E29" s="150"/>
    </row>
    <row r="30" spans="1:8" ht="28.8" x14ac:dyDescent="0.3">
      <c r="A30" s="154" t="str">
        <f>_xlfn.CONCAT("Avg. Energy Cost ($/kWh) for Rate Class: ",RateClassField)</f>
        <v xml:space="preserve">Avg. Energy Cost ($/kWh) for Rate Class: </v>
      </c>
      <c r="B30" s="184" t="str">
        <f>IF(ISBLANK(RateClassField),"",VLOOKUP(RateClassField,ElectricityCostTable[#All],2,FALSE))</f>
        <v/>
      </c>
      <c r="C30" s="101"/>
      <c r="D30" s="140" t="str">
        <f>IF(ISBLANK(Contacts!B35),"",Contacts!B35)</f>
        <v/>
      </c>
      <c r="E30" s="140"/>
      <c r="F30" s="95"/>
      <c r="G30" s="95"/>
    </row>
    <row r="31" spans="1:8" ht="14.4" customHeight="1" x14ac:dyDescent="0.3">
      <c r="A31" s="140" t="s">
        <v>462</v>
      </c>
      <c r="B31" s="166">
        <f>OMSavingsPct</f>
        <v>0.03</v>
      </c>
      <c r="C31" s="95"/>
      <c r="D31" s="140" t="str">
        <f>IF(ISBLANK(Contacts!B35),"",_xlfn.CONCAT(Contacts!B36," | Phone: ",Contacts!B37))</f>
        <v/>
      </c>
      <c r="E31" s="140"/>
      <c r="F31" s="95"/>
      <c r="G31" s="95"/>
    </row>
    <row r="32" spans="1:8" x14ac:dyDescent="0.3">
      <c r="C32" s="95"/>
      <c r="F32" s="95"/>
      <c r="G32" s="95"/>
    </row>
    <row r="33" spans="1:7" x14ac:dyDescent="0.3">
      <c r="A33" s="149" t="s">
        <v>463</v>
      </c>
      <c r="B33" s="150"/>
      <c r="D33" s="149" t="s">
        <v>464</v>
      </c>
      <c r="E33" s="150"/>
      <c r="F33" s="95"/>
      <c r="G33" s="95"/>
    </row>
    <row r="34" spans="1:7" x14ac:dyDescent="0.3">
      <c r="A34" s="140" t="s">
        <v>465</v>
      </c>
      <c r="B34" s="153">
        <f>IF(Measures!Z6&lt;0,0,IF(E34&lt;0,0,SUMIF(Measures!K8:K507,D34,Measures!AB8:AB507)))</f>
        <v>0</v>
      </c>
      <c r="C34" s="95"/>
      <c r="D34" s="140" t="s">
        <v>427</v>
      </c>
      <c r="E34" s="141">
        <f>ROUND(SUMIF(Measures!K8:K507,D34,Measures!Z8:Z507),0)</f>
        <v>0</v>
      </c>
      <c r="F34" s="95"/>
      <c r="G34" s="95"/>
    </row>
    <row r="35" spans="1:7" x14ac:dyDescent="0.3">
      <c r="A35" s="140" t="s">
        <v>466</v>
      </c>
      <c r="B35" s="153">
        <f>IF(Measures!Z6&lt;0,0,IF(E35&lt;0,0,SUMIF(Measures!K8:K507,D35,Measures!AB8:AB507)))</f>
        <v>0</v>
      </c>
      <c r="C35" s="95"/>
      <c r="D35" s="140" t="s">
        <v>410</v>
      </c>
      <c r="E35" s="141">
        <f>ROUND(SUMIF(Measures!K8:K507,D35,Measures!Z8:Z507),0)</f>
        <v>0</v>
      </c>
      <c r="F35" s="95"/>
      <c r="G35" s="95"/>
    </row>
    <row r="36" spans="1:7" x14ac:dyDescent="0.3">
      <c r="A36" s="140" t="s">
        <v>467</v>
      </c>
      <c r="B36" s="153">
        <f>IF(Measures!Z6&lt;0,0,IF(E36&lt;0,0,IFERROR(ROUND(E36*B42,0),0)))</f>
        <v>0</v>
      </c>
      <c r="C36" s="95"/>
      <c r="D36" s="140" t="s">
        <v>468</v>
      </c>
      <c r="E36" s="141">
        <f>E37-E34-E35</f>
        <v>0</v>
      </c>
      <c r="F36" s="95"/>
      <c r="G36" s="95"/>
    </row>
    <row r="37" spans="1:7" x14ac:dyDescent="0.3">
      <c r="A37" s="140" t="s">
        <v>469</v>
      </c>
      <c r="B37" s="153">
        <f>SUM(B34:B36)</f>
        <v>0</v>
      </c>
      <c r="C37" s="95"/>
      <c r="D37" s="147" t="s">
        <v>470</v>
      </c>
      <c r="E37" s="601">
        <f>Measures!Z6</f>
        <v>0</v>
      </c>
      <c r="F37" s="95"/>
      <c r="G37" s="95"/>
    </row>
    <row r="38" spans="1:7" ht="15" thickBot="1" x14ac:dyDescent="0.35">
      <c r="A38" s="521" t="s">
        <v>471</v>
      </c>
      <c r="B38" s="591">
        <f>IF(Measures!AC6&lt;0,0,SUM(Measures!AE8:AE507))</f>
        <v>0</v>
      </c>
      <c r="C38" s="95"/>
      <c r="D38" s="521" t="s">
        <v>472</v>
      </c>
      <c r="E38" s="595">
        <f>Measures!AC6</f>
        <v>0</v>
      </c>
      <c r="F38" s="95"/>
      <c r="G38" s="95"/>
    </row>
    <row r="39" spans="1:7" ht="15.6" thickTop="1" thickBot="1" x14ac:dyDescent="0.35">
      <c r="A39" s="593" t="s">
        <v>473</v>
      </c>
      <c r="B39" s="594">
        <f>SUM(B37:B38)</f>
        <v>0</v>
      </c>
      <c r="C39" s="95"/>
      <c r="D39" s="596" t="s">
        <v>474</v>
      </c>
      <c r="E39" s="597">
        <f>Measures!W6</f>
        <v>0</v>
      </c>
      <c r="F39" s="95"/>
      <c r="G39" s="95"/>
    </row>
    <row r="40" spans="1:7" ht="29.4" outlineLevel="1" thickTop="1" x14ac:dyDescent="0.3">
      <c r="A40" s="389" t="s">
        <v>475</v>
      </c>
      <c r="B40" s="592">
        <f>IF(ISBLANK(ProjectCostField),0,ROUND(ProjectCostField*B41,0))</f>
        <v>0</v>
      </c>
      <c r="C40" s="95"/>
      <c r="F40" s="95"/>
      <c r="G40" s="95"/>
    </row>
    <row r="41" spans="1:7" outlineLevel="1" x14ac:dyDescent="0.3">
      <c r="A41" s="165" t="s">
        <v>476</v>
      </c>
      <c r="B41" s="138" t="str">
        <f>IF(ISBLANK(RateClassField),"",VLOOKUP(RateClassField,IncentiveRateTable[#All],6,FALSE))</f>
        <v/>
      </c>
      <c r="C41" s="95"/>
      <c r="F41" s="95"/>
      <c r="G41" s="95"/>
    </row>
    <row r="42" spans="1:7" outlineLevel="1" collapsed="1" x14ac:dyDescent="0.3">
      <c r="A42" s="590" t="s">
        <v>477</v>
      </c>
      <c r="B42" s="577" t="str">
        <f>IF(ISBLANK(RateClassField),"",VLOOKUP(RateClassField,IncentiveRateTable[#All],4,FALSE))</f>
        <v/>
      </c>
      <c r="C42" s="95"/>
      <c r="F42" s="95"/>
      <c r="G42" s="95"/>
    </row>
    <row r="43" spans="1:7" x14ac:dyDescent="0.3">
      <c r="C43" s="95"/>
      <c r="E43" s="90"/>
      <c r="F43" s="95"/>
      <c r="G43" s="95"/>
    </row>
    <row r="44" spans="1:7" x14ac:dyDescent="0.3">
      <c r="B44" s="93"/>
      <c r="C44" s="95"/>
      <c r="F44" s="95"/>
      <c r="G44" s="95"/>
    </row>
    <row r="45" spans="1:7" x14ac:dyDescent="0.3">
      <c r="B45" s="93"/>
      <c r="C45" s="95"/>
      <c r="F45" s="95"/>
      <c r="G45" s="95"/>
    </row>
    <row r="46" spans="1:7" x14ac:dyDescent="0.3">
      <c r="B46" s="93"/>
    </row>
    <row r="47" spans="1:7" x14ac:dyDescent="0.3">
      <c r="B47" s="93"/>
    </row>
  </sheetData>
  <sheetProtection algorithmName="SHA-512" hashValue="09CjnoyAkl9q42FdTNWhWoSoZLLrvRq04I8LIltxCCQ01Q5kY5X8gMeVD8ffsF4ve/Rzo8FqlInET/0+R1zqMQ==" saltValue="P867mp1QL4+U5OxFXGIUxQ==" spinCount="100000" sheet="1" objects="1" scenarios="1"/>
  <printOptions horizontalCentered="1"/>
  <pageMargins left="0.45" right="0.45" top="0.75" bottom="0.75" header="0.3" footer="0.3"/>
  <pageSetup fitToHeight="2" orientation="landscape" r:id="rId1"/>
  <headerFooter>
    <oddHeader>&amp;C&amp;14Tacoma Power's Bright Rebates Lighting Application</oddHeader>
    <oddFooter>&amp;L&amp;9&amp;A&amp;C&amp;P of &amp;N&amp;R&amp;9Printed on &amp;D</oddFooter>
  </headerFooter>
  <rowBreaks count="1" manualBreakCount="1">
    <brk id="27" max="4" man="1"/>
  </row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41C5C0-BD34-486C-BD0E-AA613DBD6531}">
  <sheetPr>
    <tabColor theme="6" tint="0.79998168889431442"/>
  </sheetPr>
  <dimension ref="A1:I28"/>
  <sheetViews>
    <sheetView showGridLines="0" zoomScaleNormal="100" workbookViewId="0">
      <pane ySplit="8" topLeftCell="A9" activePane="bottomLeft" state="frozen"/>
      <selection pane="bottomLeft" activeCell="A2" sqref="A2"/>
    </sheetView>
  </sheetViews>
  <sheetFormatPr defaultRowHeight="14.4" outlineLevelRow="1" outlineLevelCol="1" x14ac:dyDescent="0.3"/>
  <cols>
    <col min="1" max="1" width="7.33203125" style="36" customWidth="1"/>
    <col min="2" max="2" width="12.44140625" bestFit="1" customWidth="1"/>
    <col min="3" max="3" width="23.5546875" customWidth="1"/>
    <col min="4" max="5" width="14.109375" style="54" customWidth="1"/>
    <col min="6" max="6" width="14.109375" style="64" customWidth="1"/>
    <col min="7" max="7" width="27.88671875" customWidth="1"/>
    <col min="8" max="8" width="21.33203125" hidden="1" customWidth="1" outlineLevel="1"/>
    <col min="9" max="9" width="8.88671875" collapsed="1"/>
  </cols>
  <sheetData>
    <row r="1" spans="1:8" s="53" customFormat="1" ht="28.8" x14ac:dyDescent="0.55000000000000004">
      <c r="A1" s="398" t="s">
        <v>478</v>
      </c>
      <c r="F1" s="200"/>
      <c r="G1" s="376" t="str">
        <f>_xlfn.CONCAT("Project Number: ",IF(LEN(DSMCProjNumField)=0,"",DSMCProjNumField))</f>
        <v xml:space="preserve">Project Number: </v>
      </c>
    </row>
    <row r="3" spans="1:8" ht="25.8" x14ac:dyDescent="0.3">
      <c r="A3" s="397" t="str">
        <f>_xlfn.CONCAT("Project Name: ",IF(LEN(Contacts!B3)=0,"",Contacts!B3))</f>
        <v xml:space="preserve">Project Name: </v>
      </c>
      <c r="B3" s="183"/>
      <c r="C3" s="147"/>
      <c r="D3" s="307"/>
      <c r="E3" s="307"/>
      <c r="F3" s="307"/>
    </row>
    <row r="4" spans="1:8" x14ac:dyDescent="0.3">
      <c r="A4" s="190" t="str">
        <f>_xlfn.CONCAT("Site: ",IF(ISBLANK(Site!B7),"",_xlfn.CONCAT(Site!B6,", ",Site!B7,", ",Site!B8,", ",Site!B9," ",Site!B10)))</f>
        <v xml:space="preserve">Site: </v>
      </c>
      <c r="B4" s="182"/>
      <c r="C4" s="190"/>
      <c r="D4" s="191"/>
      <c r="E4" s="191"/>
      <c r="F4" s="308"/>
      <c r="G4" s="213"/>
      <c r="H4" s="213"/>
    </row>
    <row r="5" spans="1:8" x14ac:dyDescent="0.3">
      <c r="A5" s="147"/>
      <c r="B5" s="183"/>
      <c r="C5" s="147"/>
      <c r="D5" s="307"/>
      <c r="E5" s="307"/>
      <c r="F5" s="378"/>
      <c r="G5" s="122"/>
      <c r="H5" s="122"/>
    </row>
    <row r="6" spans="1:8" x14ac:dyDescent="0.3">
      <c r="A6" s="107" t="s">
        <v>264</v>
      </c>
    </row>
    <row r="7" spans="1:8" x14ac:dyDescent="0.3">
      <c r="A7" s="147"/>
      <c r="B7" s="183"/>
      <c r="C7" s="147"/>
    </row>
    <row r="8" spans="1:8" ht="28.8" x14ac:dyDescent="0.3">
      <c r="A8" s="111" t="s">
        <v>200</v>
      </c>
      <c r="B8" s="47" t="s">
        <v>286</v>
      </c>
      <c r="C8" s="47" t="s">
        <v>287</v>
      </c>
      <c r="D8" s="108" t="s">
        <v>301</v>
      </c>
      <c r="E8" s="108" t="s">
        <v>297</v>
      </c>
      <c r="F8" s="109" t="s">
        <v>479</v>
      </c>
      <c r="G8" s="106" t="s">
        <v>480</v>
      </c>
      <c r="H8" s="106" t="s">
        <v>481</v>
      </c>
    </row>
    <row r="9" spans="1:8" x14ac:dyDescent="0.3">
      <c r="A9" s="173" t="s">
        <v>482</v>
      </c>
      <c r="B9" s="174"/>
      <c r="C9" s="174"/>
      <c r="D9" s="175">
        <f>ROUND(SUM(D11:D28),0)</f>
        <v>0</v>
      </c>
      <c r="E9" s="175">
        <f>ROUND(SUM(E11:E28),0)</f>
        <v>0</v>
      </c>
      <c r="F9" s="176"/>
      <c r="G9" s="177"/>
      <c r="H9" s="302"/>
    </row>
    <row r="10" spans="1:8" hidden="1" outlineLevel="1" x14ac:dyDescent="0.3">
      <c r="A10" s="36" t="s">
        <v>483</v>
      </c>
      <c r="B10" s="36" t="s">
        <v>484</v>
      </c>
      <c r="C10" s="36" t="s">
        <v>485</v>
      </c>
      <c r="D10" s="36" t="s">
        <v>486</v>
      </c>
      <c r="E10" s="36" t="s">
        <v>487</v>
      </c>
      <c r="F10" s="36" t="s">
        <v>488</v>
      </c>
      <c r="G10" s="36" t="s">
        <v>489</v>
      </c>
      <c r="H10" s="336" t="s">
        <v>490</v>
      </c>
    </row>
    <row r="11" spans="1:8" collapsed="1" x14ac:dyDescent="0.3">
      <c r="A11" s="167">
        <v>1</v>
      </c>
      <c r="B11" s="168" t="str">
        <f>IF($A11&gt;MeasureCountSummaryField,"",VLOOKUP($A11,'Measures Sum Prep'!$A$5:$H$22,2,FALSE))</f>
        <v/>
      </c>
      <c r="C11" s="168" t="str">
        <f>IF($A11&gt;MeasureCountSummaryField,"",VLOOKUP($A11,'Measures Sum Prep'!$A$5:$H$22,3,FALSE))</f>
        <v/>
      </c>
      <c r="D11" s="169" t="str">
        <f>IF($A11&gt;MeasureCountSummaryField,"",VLOOKUP($A11,'Measures Sum Prep'!$A$5:$H$22,4,FALSE))</f>
        <v/>
      </c>
      <c r="E11" s="169" t="str">
        <f>IF($A11&gt;MeasureCountSummaryField,"",VLOOKUP($A11,'Measures Sum Prep'!$A$5:$H$22,5,FALSE))</f>
        <v/>
      </c>
      <c r="F11" s="170" t="str">
        <f>IF($A11&gt;MeasureCountSummaryField,"",VLOOKUP($A11,'Measures Sum Prep'!$A$5:$H$22,6,FALSE))</f>
        <v/>
      </c>
      <c r="G11" s="168" t="str">
        <f>IF($A11&gt;MeasureCountSummaryField,"",VLOOKUP($A11,'Measures Sum Prep'!$A$5:$H$22,8,FALSE))</f>
        <v/>
      </c>
      <c r="H11" s="337" t="str">
        <f>IF($A11&gt;MeasureCountSummaryField,"",VLOOKUP($A11,'Measures Sum Prep'!$A$5:$H$22,7,FALSE))</f>
        <v/>
      </c>
    </row>
    <row r="12" spans="1:8" x14ac:dyDescent="0.3">
      <c r="A12" s="167">
        <v>2</v>
      </c>
      <c r="B12" s="168" t="str">
        <f>IF($A12&gt;MeasureCountSummaryField,"",VLOOKUP($A12,'Measures Sum Prep'!$A$5:$H$22,2,FALSE))</f>
        <v/>
      </c>
      <c r="C12" s="168" t="str">
        <f>IF($A12&gt;MeasureCountSummaryField,"",VLOOKUP($A12,'Measures Sum Prep'!$A$5:$H$22,3,FALSE))</f>
        <v/>
      </c>
      <c r="D12" s="169" t="str">
        <f>IF($A12&gt;MeasureCountSummaryField,"",VLOOKUP($A12,'Measures Sum Prep'!$A$5:$H$22,4,FALSE))</f>
        <v/>
      </c>
      <c r="E12" s="169" t="str">
        <f>IF($A12&gt;MeasureCountSummaryField,"",VLOOKUP($A12,'Measures Sum Prep'!$A$5:$H$22,5,FALSE))</f>
        <v/>
      </c>
      <c r="F12" s="170" t="str">
        <f>IF($A12&gt;MeasureCountSummaryField,"",VLOOKUP($A12,'Measures Sum Prep'!$A$5:$H$22,6,FALSE))</f>
        <v/>
      </c>
      <c r="G12" s="168" t="str">
        <f>IF($A12&gt;MeasureCountSummaryField,"",VLOOKUP($A12,'Measures Sum Prep'!$A$5:$H$22,8,FALSE))</f>
        <v/>
      </c>
      <c r="H12" s="337" t="str">
        <f>IF($A12&gt;MeasureCountSummaryField,"",VLOOKUP($A12,'Measures Sum Prep'!$A$5:$H$22,7,FALSE))</f>
        <v/>
      </c>
    </row>
    <row r="13" spans="1:8" x14ac:dyDescent="0.3">
      <c r="A13" s="167">
        <v>3</v>
      </c>
      <c r="B13" s="168" t="str">
        <f>IF($A13&gt;MeasureCountSummaryField,"",VLOOKUP($A13,'Measures Sum Prep'!$A$5:$H$22,2,FALSE))</f>
        <v/>
      </c>
      <c r="C13" s="168" t="str">
        <f>IF($A13&gt;MeasureCountSummaryField,"",VLOOKUP($A13,'Measures Sum Prep'!$A$5:$H$22,3,FALSE))</f>
        <v/>
      </c>
      <c r="D13" s="169" t="str">
        <f>IF($A13&gt;MeasureCountSummaryField,"",VLOOKUP($A13,'Measures Sum Prep'!$A$5:$H$22,4,FALSE))</f>
        <v/>
      </c>
      <c r="E13" s="169" t="str">
        <f>IF($A13&gt;MeasureCountSummaryField,"",VLOOKUP($A13,'Measures Sum Prep'!$A$5:$H$22,5,FALSE))</f>
        <v/>
      </c>
      <c r="F13" s="170" t="str">
        <f>IF($A13&gt;MeasureCountSummaryField,"",VLOOKUP($A13,'Measures Sum Prep'!$A$5:$H$22,6,FALSE))</f>
        <v/>
      </c>
      <c r="G13" s="168" t="str">
        <f>IF($A13&gt;MeasureCountSummaryField,"",VLOOKUP($A13,'Measures Sum Prep'!$A$5:$H$22,8,FALSE))</f>
        <v/>
      </c>
      <c r="H13" s="337" t="str">
        <f>IF($A13&gt;MeasureCountSummaryField,"",VLOOKUP($A13,'Measures Sum Prep'!$A$5:$H$22,7,FALSE))</f>
        <v/>
      </c>
    </row>
    <row r="14" spans="1:8" x14ac:dyDescent="0.3">
      <c r="A14" s="167">
        <v>4</v>
      </c>
      <c r="B14" s="168" t="str">
        <f>IF($A14&gt;MeasureCountSummaryField,"",VLOOKUP($A14,'Measures Sum Prep'!$A$5:$H$22,2,FALSE))</f>
        <v/>
      </c>
      <c r="C14" s="168" t="str">
        <f>IF($A14&gt;MeasureCountSummaryField,"",VLOOKUP($A14,'Measures Sum Prep'!$A$5:$H$22,3,FALSE))</f>
        <v/>
      </c>
      <c r="D14" s="169" t="str">
        <f>IF($A14&gt;MeasureCountSummaryField,"",VLOOKUP($A14,'Measures Sum Prep'!$A$5:$H$22,4,FALSE))</f>
        <v/>
      </c>
      <c r="E14" s="169" t="str">
        <f>IF($A14&gt;MeasureCountSummaryField,"",VLOOKUP($A14,'Measures Sum Prep'!$A$5:$H$22,5,FALSE))</f>
        <v/>
      </c>
      <c r="F14" s="170" t="str">
        <f>IF($A14&gt;MeasureCountSummaryField,"",VLOOKUP($A14,'Measures Sum Prep'!$A$5:$H$22,6,FALSE))</f>
        <v/>
      </c>
      <c r="G14" s="168" t="str">
        <f>IF($A14&gt;MeasureCountSummaryField,"",VLOOKUP($A14,'Measures Sum Prep'!$A$5:$H$22,8,FALSE))</f>
        <v/>
      </c>
      <c r="H14" s="337" t="str">
        <f>IF($A14&gt;MeasureCountSummaryField,"",VLOOKUP($A14,'Measures Sum Prep'!$A$5:$H$22,7,FALSE))</f>
        <v/>
      </c>
    </row>
    <row r="15" spans="1:8" x14ac:dyDescent="0.3">
      <c r="A15" s="167">
        <v>5</v>
      </c>
      <c r="B15" s="168" t="str">
        <f>IF($A15&gt;MeasureCountSummaryField,"",VLOOKUP($A15,'Measures Sum Prep'!$A$5:$H$22,2,FALSE))</f>
        <v/>
      </c>
      <c r="C15" s="168" t="str">
        <f>IF($A15&gt;MeasureCountSummaryField,"",VLOOKUP($A15,'Measures Sum Prep'!$A$5:$H$22,3,FALSE))</f>
        <v/>
      </c>
      <c r="D15" s="169" t="str">
        <f>IF($A15&gt;MeasureCountSummaryField,"",VLOOKUP($A15,'Measures Sum Prep'!$A$5:$H$22,4,FALSE))</f>
        <v/>
      </c>
      <c r="E15" s="169" t="str">
        <f>IF($A15&gt;MeasureCountSummaryField,"",VLOOKUP($A15,'Measures Sum Prep'!$A$5:$H$22,5,FALSE))</f>
        <v/>
      </c>
      <c r="F15" s="170" t="str">
        <f>IF($A15&gt;MeasureCountSummaryField,"",VLOOKUP($A15,'Measures Sum Prep'!$A$5:$H$22,6,FALSE))</f>
        <v/>
      </c>
      <c r="G15" s="168" t="str">
        <f>IF($A15&gt;MeasureCountSummaryField,"",VLOOKUP($A15,'Measures Sum Prep'!$A$5:$H$22,8,FALSE))</f>
        <v/>
      </c>
      <c r="H15" s="337" t="str">
        <f>IF($A15&gt;MeasureCountSummaryField,"",VLOOKUP($A15,'Measures Sum Prep'!$A$5:$H$22,7,FALSE))</f>
        <v/>
      </c>
    </row>
    <row r="16" spans="1:8" x14ac:dyDescent="0.3">
      <c r="A16" s="167">
        <v>6</v>
      </c>
      <c r="B16" s="168" t="str">
        <f>IF($A16&gt;MeasureCountSummaryField,"",VLOOKUP($A16,'Measures Sum Prep'!$A$5:$H$22,2,FALSE))</f>
        <v/>
      </c>
      <c r="C16" s="168" t="str">
        <f>IF($A16&gt;MeasureCountSummaryField,"",VLOOKUP($A16,'Measures Sum Prep'!$A$5:$H$22,3,FALSE))</f>
        <v/>
      </c>
      <c r="D16" s="169" t="str">
        <f>IF($A16&gt;MeasureCountSummaryField,"",VLOOKUP($A16,'Measures Sum Prep'!$A$5:$H$22,4,FALSE))</f>
        <v/>
      </c>
      <c r="E16" s="169" t="str">
        <f>IF($A16&gt;MeasureCountSummaryField,"",VLOOKUP($A16,'Measures Sum Prep'!$A$5:$H$22,5,FALSE))</f>
        <v/>
      </c>
      <c r="F16" s="170" t="str">
        <f>IF($A16&gt;MeasureCountSummaryField,"",VLOOKUP($A16,'Measures Sum Prep'!$A$5:$H$22,6,FALSE))</f>
        <v/>
      </c>
      <c r="G16" s="168" t="str">
        <f>IF($A16&gt;MeasureCountSummaryField,"",VLOOKUP($A16,'Measures Sum Prep'!$A$5:$H$22,8,FALSE))</f>
        <v/>
      </c>
      <c r="H16" s="337" t="str">
        <f>IF($A16&gt;MeasureCountSummaryField,"",VLOOKUP($A16,'Measures Sum Prep'!$A$5:$H$22,7,FALSE))</f>
        <v/>
      </c>
    </row>
    <row r="17" spans="1:8" x14ac:dyDescent="0.3">
      <c r="A17" s="167">
        <v>7</v>
      </c>
      <c r="B17" s="168" t="str">
        <f>IF($A17&gt;MeasureCountSummaryField,"",VLOOKUP($A17,'Measures Sum Prep'!$A$5:$H$22,2,FALSE))</f>
        <v/>
      </c>
      <c r="C17" s="168" t="str">
        <f>IF($A17&gt;MeasureCountSummaryField,"",VLOOKUP($A17,'Measures Sum Prep'!$A$5:$H$22,3,FALSE))</f>
        <v/>
      </c>
      <c r="D17" s="169" t="str">
        <f>IF($A17&gt;MeasureCountSummaryField,"",VLOOKUP($A17,'Measures Sum Prep'!$A$5:$H$22,4,FALSE))</f>
        <v/>
      </c>
      <c r="E17" s="169" t="str">
        <f>IF($A17&gt;MeasureCountSummaryField,"",VLOOKUP($A17,'Measures Sum Prep'!$A$5:$H$22,5,FALSE))</f>
        <v/>
      </c>
      <c r="F17" s="170" t="str">
        <f>IF($A17&gt;MeasureCountSummaryField,"",VLOOKUP($A17,'Measures Sum Prep'!$A$5:$H$22,6,FALSE))</f>
        <v/>
      </c>
      <c r="G17" s="168" t="str">
        <f>IF($A17&gt;MeasureCountSummaryField,"",VLOOKUP($A17,'Measures Sum Prep'!$A$5:$H$22,8,FALSE))</f>
        <v/>
      </c>
      <c r="H17" s="337" t="str">
        <f>IF($A17&gt;MeasureCountSummaryField,"",VLOOKUP($A17,'Measures Sum Prep'!$A$5:$H$22,7,FALSE))</f>
        <v/>
      </c>
    </row>
    <row r="18" spans="1:8" x14ac:dyDescent="0.3">
      <c r="A18" s="167">
        <v>8</v>
      </c>
      <c r="B18" s="168" t="str">
        <f>IF($A18&gt;MeasureCountSummaryField,"",VLOOKUP($A18,'Measures Sum Prep'!$A$5:$H$22,2,FALSE))</f>
        <v/>
      </c>
      <c r="C18" s="168" t="str">
        <f>IF($A18&gt;MeasureCountSummaryField,"",VLOOKUP($A18,'Measures Sum Prep'!$A$5:$H$22,3,FALSE))</f>
        <v/>
      </c>
      <c r="D18" s="169" t="str">
        <f>IF($A18&gt;MeasureCountSummaryField,"",VLOOKUP($A18,'Measures Sum Prep'!$A$5:$H$22,4,FALSE))</f>
        <v/>
      </c>
      <c r="E18" s="169" t="str">
        <f>IF($A18&gt;MeasureCountSummaryField,"",VLOOKUP($A18,'Measures Sum Prep'!$A$5:$H$22,5,FALSE))</f>
        <v/>
      </c>
      <c r="F18" s="170" t="str">
        <f>IF($A18&gt;MeasureCountSummaryField,"",VLOOKUP($A18,'Measures Sum Prep'!$A$5:$H$22,6,FALSE))</f>
        <v/>
      </c>
      <c r="G18" s="168" t="str">
        <f>IF($A18&gt;MeasureCountSummaryField,"",VLOOKUP($A18,'Measures Sum Prep'!$A$5:$H$22,8,FALSE))</f>
        <v/>
      </c>
      <c r="H18" s="337" t="str">
        <f>IF($A18&gt;MeasureCountSummaryField,"",VLOOKUP($A18,'Measures Sum Prep'!$A$5:$H$22,7,FALSE))</f>
        <v/>
      </c>
    </row>
    <row r="19" spans="1:8" x14ac:dyDescent="0.3">
      <c r="A19" s="167">
        <v>9</v>
      </c>
      <c r="B19" s="168" t="str">
        <f>IF($A19&gt;MeasureCountSummaryField,"",VLOOKUP($A19,'Measures Sum Prep'!$A$5:$H$22,2,FALSE))</f>
        <v/>
      </c>
      <c r="C19" s="168" t="str">
        <f>IF($A19&gt;MeasureCountSummaryField,"",VLOOKUP($A19,'Measures Sum Prep'!$A$5:$H$22,3,FALSE))</f>
        <v/>
      </c>
      <c r="D19" s="169" t="str">
        <f>IF($A19&gt;MeasureCountSummaryField,"",VLOOKUP($A19,'Measures Sum Prep'!$A$5:$H$22,4,FALSE))</f>
        <v/>
      </c>
      <c r="E19" s="169" t="str">
        <f>IF($A19&gt;MeasureCountSummaryField,"",VLOOKUP($A19,'Measures Sum Prep'!$A$5:$H$22,5,FALSE))</f>
        <v/>
      </c>
      <c r="F19" s="170" t="str">
        <f>IF($A19&gt;MeasureCountSummaryField,"",VLOOKUP($A19,'Measures Sum Prep'!$A$5:$H$22,6,FALSE))</f>
        <v/>
      </c>
      <c r="G19" s="168" t="str">
        <f>IF($A19&gt;MeasureCountSummaryField,"",VLOOKUP($A19,'Measures Sum Prep'!$A$5:$H$22,8,FALSE))</f>
        <v/>
      </c>
      <c r="H19" s="337" t="str">
        <f>IF($A19&gt;MeasureCountSummaryField,"",VLOOKUP($A19,'Measures Sum Prep'!$A$5:$H$22,7,FALSE))</f>
        <v/>
      </c>
    </row>
    <row r="20" spans="1:8" x14ac:dyDescent="0.3">
      <c r="A20" s="167">
        <v>10</v>
      </c>
      <c r="B20" s="168" t="str">
        <f>IF($A20&gt;MeasureCountSummaryField,"",VLOOKUP($A20,'Measures Sum Prep'!$A$5:$H$22,2,FALSE))</f>
        <v/>
      </c>
      <c r="C20" s="168" t="str">
        <f>IF($A20&gt;MeasureCountSummaryField,"",VLOOKUP($A20,'Measures Sum Prep'!$A$5:$H$22,3,FALSE))</f>
        <v/>
      </c>
      <c r="D20" s="169" t="str">
        <f>IF($A20&gt;MeasureCountSummaryField,"",VLOOKUP($A20,'Measures Sum Prep'!$A$5:$H$22,4,FALSE))</f>
        <v/>
      </c>
      <c r="E20" s="169" t="str">
        <f>IF($A20&gt;MeasureCountSummaryField,"",VLOOKUP($A20,'Measures Sum Prep'!$A$5:$H$22,5,FALSE))</f>
        <v/>
      </c>
      <c r="F20" s="170" t="str">
        <f>IF($A20&gt;MeasureCountSummaryField,"",VLOOKUP($A20,'Measures Sum Prep'!$A$5:$H$22,6,FALSE))</f>
        <v/>
      </c>
      <c r="G20" s="168" t="str">
        <f>IF($A20&gt;MeasureCountSummaryField,"",VLOOKUP($A20,'Measures Sum Prep'!$A$5:$H$22,8,FALSE))</f>
        <v/>
      </c>
      <c r="H20" s="337" t="str">
        <f>IF($A20&gt;MeasureCountSummaryField,"",VLOOKUP($A20,'Measures Sum Prep'!$A$5:$H$22,7,FALSE))</f>
        <v/>
      </c>
    </row>
    <row r="21" spans="1:8" x14ac:dyDescent="0.3">
      <c r="A21" s="167">
        <v>11</v>
      </c>
      <c r="B21" s="168" t="str">
        <f>IF($A21&gt;MeasureCountSummaryField,"",VLOOKUP($A21,'Measures Sum Prep'!$A$5:$H$22,2,FALSE))</f>
        <v/>
      </c>
      <c r="C21" s="168" t="str">
        <f>IF($A21&gt;MeasureCountSummaryField,"",VLOOKUP($A21,'Measures Sum Prep'!$A$5:$H$22,3,FALSE))</f>
        <v/>
      </c>
      <c r="D21" s="169" t="str">
        <f>IF($A21&gt;MeasureCountSummaryField,"",VLOOKUP($A21,'Measures Sum Prep'!$A$5:$H$22,4,FALSE))</f>
        <v/>
      </c>
      <c r="E21" s="169" t="str">
        <f>IF($A21&gt;MeasureCountSummaryField,"",VLOOKUP($A21,'Measures Sum Prep'!$A$5:$H$22,5,FALSE))</f>
        <v/>
      </c>
      <c r="F21" s="170" t="str">
        <f>IF($A21&gt;MeasureCountSummaryField,"",VLOOKUP($A21,'Measures Sum Prep'!$A$5:$H$22,6,FALSE))</f>
        <v/>
      </c>
      <c r="G21" s="168" t="str">
        <f>IF($A21&gt;MeasureCountSummaryField,"",VLOOKUP($A21,'Measures Sum Prep'!$A$5:$H$22,8,FALSE))</f>
        <v/>
      </c>
      <c r="H21" s="337" t="str">
        <f>IF($A21&gt;MeasureCountSummaryField,"",VLOOKUP($A21,'Measures Sum Prep'!$A$5:$H$22,7,FALSE))</f>
        <v/>
      </c>
    </row>
    <row r="22" spans="1:8" x14ac:dyDescent="0.3">
      <c r="A22" s="167">
        <v>12</v>
      </c>
      <c r="B22" s="168" t="str">
        <f>IF($A22&gt;MeasureCountSummaryField,"",VLOOKUP($A22,'Measures Sum Prep'!$A$5:$H$22,2,FALSE))</f>
        <v/>
      </c>
      <c r="C22" s="168" t="str">
        <f>IF($A22&gt;MeasureCountSummaryField,"",VLOOKUP($A22,'Measures Sum Prep'!$A$5:$H$22,3,FALSE))</f>
        <v/>
      </c>
      <c r="D22" s="169" t="str">
        <f>IF($A22&gt;MeasureCountSummaryField,"",VLOOKUP($A22,'Measures Sum Prep'!$A$5:$H$22,4,FALSE))</f>
        <v/>
      </c>
      <c r="E22" s="169" t="str">
        <f>IF($A22&gt;MeasureCountSummaryField,"",VLOOKUP($A22,'Measures Sum Prep'!$A$5:$H$22,5,FALSE))</f>
        <v/>
      </c>
      <c r="F22" s="170" t="str">
        <f>IF($A22&gt;MeasureCountSummaryField,"",VLOOKUP($A22,'Measures Sum Prep'!$A$5:$H$22,6,FALSE))</f>
        <v/>
      </c>
      <c r="G22" s="168" t="str">
        <f>IF($A22&gt;MeasureCountSummaryField,"",VLOOKUP($A22,'Measures Sum Prep'!$A$5:$H$22,8,FALSE))</f>
        <v/>
      </c>
      <c r="H22" s="337" t="str">
        <f>IF($A22&gt;MeasureCountSummaryField,"",VLOOKUP($A22,'Measures Sum Prep'!$A$5:$H$22,7,FALSE))</f>
        <v/>
      </c>
    </row>
    <row r="23" spans="1:8" x14ac:dyDescent="0.3">
      <c r="A23" s="167">
        <v>13</v>
      </c>
      <c r="B23" s="168" t="str">
        <f>IF($A23&gt;MeasureCountSummaryField,"",VLOOKUP($A23,'Measures Sum Prep'!$A$5:$H$22,2,FALSE))</f>
        <v/>
      </c>
      <c r="C23" s="168" t="str">
        <f>IF($A23&gt;MeasureCountSummaryField,"",VLOOKUP($A23,'Measures Sum Prep'!$A$5:$H$22,3,FALSE))</f>
        <v/>
      </c>
      <c r="D23" s="169" t="str">
        <f>IF($A23&gt;MeasureCountSummaryField,"",VLOOKUP($A23,'Measures Sum Prep'!$A$5:$H$22,4,FALSE))</f>
        <v/>
      </c>
      <c r="E23" s="169" t="str">
        <f>IF($A23&gt;MeasureCountSummaryField,"",VLOOKUP($A23,'Measures Sum Prep'!$A$5:$H$22,5,FALSE))</f>
        <v/>
      </c>
      <c r="F23" s="170" t="str">
        <f>IF($A23&gt;MeasureCountSummaryField,"",VLOOKUP($A23,'Measures Sum Prep'!$A$5:$H$22,6,FALSE))</f>
        <v/>
      </c>
      <c r="G23" s="168" t="str">
        <f>IF($A23&gt;MeasureCountSummaryField,"",VLOOKUP($A23,'Measures Sum Prep'!$A$5:$H$22,8,FALSE))</f>
        <v/>
      </c>
      <c r="H23" s="337" t="str">
        <f>IF($A23&gt;MeasureCountSummaryField,"",VLOOKUP($A23,'Measures Sum Prep'!$A$5:$H$22,7,FALSE))</f>
        <v/>
      </c>
    </row>
    <row r="24" spans="1:8" x14ac:dyDescent="0.3">
      <c r="A24" s="167">
        <v>14</v>
      </c>
      <c r="B24" s="168" t="str">
        <f>IF($A24&gt;MeasureCountSummaryField,"",VLOOKUP($A24,'Measures Sum Prep'!$A$5:$H$22,2,FALSE))</f>
        <v/>
      </c>
      <c r="C24" s="168" t="str">
        <f>IF($A24&gt;MeasureCountSummaryField,"",VLOOKUP($A24,'Measures Sum Prep'!$A$5:$H$22,3,FALSE))</f>
        <v/>
      </c>
      <c r="D24" s="169" t="str">
        <f>IF($A24&gt;MeasureCountSummaryField,"",VLOOKUP($A24,'Measures Sum Prep'!$A$5:$H$22,4,FALSE))</f>
        <v/>
      </c>
      <c r="E24" s="169" t="str">
        <f>IF($A24&gt;MeasureCountSummaryField,"",VLOOKUP($A24,'Measures Sum Prep'!$A$5:$H$22,5,FALSE))</f>
        <v/>
      </c>
      <c r="F24" s="170" t="str">
        <f>IF($A24&gt;MeasureCountSummaryField,"",VLOOKUP($A24,'Measures Sum Prep'!$A$5:$H$22,6,FALSE))</f>
        <v/>
      </c>
      <c r="G24" s="168" t="str">
        <f>IF($A24&gt;MeasureCountSummaryField,"",VLOOKUP($A24,'Measures Sum Prep'!$A$5:$H$22,8,FALSE))</f>
        <v/>
      </c>
      <c r="H24" s="337" t="str">
        <f>IF($A24&gt;MeasureCountSummaryField,"",VLOOKUP($A24,'Measures Sum Prep'!$A$5:$H$22,7,FALSE))</f>
        <v/>
      </c>
    </row>
    <row r="25" spans="1:8" x14ac:dyDescent="0.3">
      <c r="A25" s="167">
        <v>15</v>
      </c>
      <c r="B25" s="168" t="str">
        <f>IF($A25&gt;MeasureCountSummaryField,"",VLOOKUP($A25,'Measures Sum Prep'!$A$5:$H$22,2,FALSE))</f>
        <v/>
      </c>
      <c r="C25" s="168" t="str">
        <f>IF($A25&gt;MeasureCountSummaryField,"",VLOOKUP($A25,'Measures Sum Prep'!$A$5:$H$22,3,FALSE))</f>
        <v/>
      </c>
      <c r="D25" s="169" t="str">
        <f>IF($A25&gt;MeasureCountSummaryField,"",VLOOKUP($A25,'Measures Sum Prep'!$A$5:$H$22,4,FALSE))</f>
        <v/>
      </c>
      <c r="E25" s="169" t="str">
        <f>IF($A25&gt;MeasureCountSummaryField,"",VLOOKUP($A25,'Measures Sum Prep'!$A$5:$H$22,5,FALSE))</f>
        <v/>
      </c>
      <c r="F25" s="170" t="str">
        <f>IF($A25&gt;MeasureCountSummaryField,"",VLOOKUP($A25,'Measures Sum Prep'!$A$5:$H$22,6,FALSE))</f>
        <v/>
      </c>
      <c r="G25" s="168" t="str">
        <f>IF($A25&gt;MeasureCountSummaryField,"",VLOOKUP($A25,'Measures Sum Prep'!$A$5:$H$22,8,FALSE))</f>
        <v/>
      </c>
      <c r="H25" s="337" t="str">
        <f>IF($A25&gt;MeasureCountSummaryField,"",VLOOKUP($A25,'Measures Sum Prep'!$A$5:$H$22,7,FALSE))</f>
        <v/>
      </c>
    </row>
    <row r="26" spans="1:8" x14ac:dyDescent="0.3">
      <c r="A26" s="167">
        <v>16</v>
      </c>
      <c r="B26" s="168" t="str">
        <f>IF($A26&gt;MeasureCountSummaryField,"",VLOOKUP($A26,'Measures Sum Prep'!$A$5:$H$22,2,FALSE))</f>
        <v/>
      </c>
      <c r="C26" s="168" t="str">
        <f>IF($A26&gt;MeasureCountSummaryField,"",VLOOKUP($A26,'Measures Sum Prep'!$A$5:$H$22,3,FALSE))</f>
        <v/>
      </c>
      <c r="D26" s="169" t="str">
        <f>IF($A26&gt;MeasureCountSummaryField,"",VLOOKUP($A26,'Measures Sum Prep'!$A$5:$H$22,4,FALSE))</f>
        <v/>
      </c>
      <c r="E26" s="169" t="str">
        <f>IF($A26&gt;MeasureCountSummaryField,"",VLOOKUP($A26,'Measures Sum Prep'!$A$5:$H$22,5,FALSE))</f>
        <v/>
      </c>
      <c r="F26" s="170" t="str">
        <f>IF($A26&gt;MeasureCountSummaryField,"",VLOOKUP($A26,'Measures Sum Prep'!$A$5:$H$22,6,FALSE))</f>
        <v/>
      </c>
      <c r="G26" s="168" t="str">
        <f>IF($A26&gt;MeasureCountSummaryField,"",VLOOKUP($A26,'Measures Sum Prep'!$A$5:$H$22,8,FALSE))</f>
        <v/>
      </c>
      <c r="H26" s="337" t="str">
        <f>IF($A26&gt;MeasureCountSummaryField,"",VLOOKUP($A26,'Measures Sum Prep'!$A$5:$H$22,7,FALSE))</f>
        <v/>
      </c>
    </row>
    <row r="27" spans="1:8" x14ac:dyDescent="0.3">
      <c r="A27" s="167">
        <v>17</v>
      </c>
      <c r="B27" s="168" t="str">
        <f>IF($A27&gt;MeasureCountSummaryField,"",VLOOKUP($A27,'Measures Sum Prep'!$A$5:$H$22,2,FALSE))</f>
        <v/>
      </c>
      <c r="C27" s="168" t="str">
        <f>IF($A27&gt;MeasureCountSummaryField,"",VLOOKUP($A27,'Measures Sum Prep'!$A$5:$H$22,3,FALSE))</f>
        <v/>
      </c>
      <c r="D27" s="169" t="str">
        <f>IF($A27&gt;MeasureCountSummaryField,"",VLOOKUP($A27,'Measures Sum Prep'!$A$5:$H$22,4,FALSE))</f>
        <v/>
      </c>
      <c r="E27" s="169" t="str">
        <f>IF($A27&gt;MeasureCountSummaryField,"",VLOOKUP($A27,'Measures Sum Prep'!$A$5:$H$22,5,FALSE))</f>
        <v/>
      </c>
      <c r="F27" s="170" t="str">
        <f>IF($A27&gt;MeasureCountSummaryField,"",VLOOKUP($A27,'Measures Sum Prep'!$A$5:$H$22,6,FALSE))</f>
        <v/>
      </c>
      <c r="G27" s="168" t="str">
        <f>IF($A27&gt;MeasureCountSummaryField,"",VLOOKUP($A27,'Measures Sum Prep'!$A$5:$H$22,8,FALSE))</f>
        <v/>
      </c>
      <c r="H27" s="337" t="str">
        <f>IF($A27&gt;MeasureCountSummaryField,"",VLOOKUP($A27,'Measures Sum Prep'!$A$5:$H$22,7,FALSE))</f>
        <v/>
      </c>
    </row>
    <row r="28" spans="1:8" x14ac:dyDescent="0.3">
      <c r="A28" s="167">
        <v>18</v>
      </c>
      <c r="B28" s="168" t="str">
        <f>IF($A28&gt;MeasureCountSummaryField,"",VLOOKUP($A28,'Measures Sum Prep'!$A$5:$H$22,2,FALSE))</f>
        <v/>
      </c>
      <c r="C28" s="168" t="str">
        <f>IF($A28&gt;MeasureCountSummaryField,"",VLOOKUP($A28,'Measures Sum Prep'!$A$5:$H$22,3,FALSE))</f>
        <v/>
      </c>
      <c r="D28" s="169" t="str">
        <f>IF($A28&gt;MeasureCountSummaryField,"",VLOOKUP($A28,'Measures Sum Prep'!$A$5:$H$22,4,FALSE))</f>
        <v/>
      </c>
      <c r="E28" s="169" t="str">
        <f>IF($A28&gt;MeasureCountSummaryField,"",VLOOKUP($A28,'Measures Sum Prep'!$A$5:$H$22,5,FALSE))</f>
        <v/>
      </c>
      <c r="F28" s="170" t="str">
        <f>IF($A28&gt;MeasureCountSummaryField,"",VLOOKUP($A28,'Measures Sum Prep'!$A$5:$H$22,6,FALSE))</f>
        <v/>
      </c>
      <c r="G28" s="168" t="str">
        <f>IF($A28&gt;MeasureCountSummaryField,"",VLOOKUP($A28,'Measures Sum Prep'!$A$5:$H$22,8,FALSE))</f>
        <v/>
      </c>
      <c r="H28" s="337" t="str">
        <f>IF($A28&gt;MeasureCountSummaryField,"",VLOOKUP($A28,'Measures Sum Prep'!$A$5:$H$22,7,FALSE))</f>
        <v/>
      </c>
    </row>
  </sheetData>
  <sheetProtection algorithmName="SHA-512" hashValue="E3cv9VBIr/pDOScKgkrim8+VRv5IQMqz5YakTbPWnR6ZSsTiC9j32mqNd1CkoLVF6SE/r5R4yqq7r7r/lvpqJw==" saltValue="YE0AEFsrfj8SIbf9xad2yA==" spinCount="100000" sheet="1" objects="1" scenarios="1"/>
  <printOptions horizontalCentered="1"/>
  <pageMargins left="0.45" right="0.45" top="0.75" bottom="0.75" header="0.3" footer="0.3"/>
  <pageSetup orientation="landscape" r:id="rId1"/>
  <headerFooter>
    <oddHeader>&amp;C&amp;14Tacoma Power's Bright Rebates Lighting Application</oddHeader>
    <oddFooter>&amp;L&amp;9&amp;A&amp;C&amp;P of &amp;N&amp;R&amp;9Printed on &amp;D</odd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706892-CFD0-4EA6-BF16-188F34B60534}">
  <sheetPr>
    <tabColor theme="6" tint="0.79998168889431442"/>
    <pageSetUpPr fitToPage="1"/>
  </sheetPr>
  <dimension ref="A1:Q507"/>
  <sheetViews>
    <sheetView showGridLines="0" zoomScaleNormal="100" workbookViewId="0">
      <pane xSplit="2" ySplit="7" topLeftCell="C8" activePane="bottomRight" state="frozen"/>
      <selection pane="topRight" activeCell="C1" sqref="C1"/>
      <selection pane="bottomLeft" activeCell="A7" sqref="A7"/>
      <selection pane="bottomRight" activeCell="A2" sqref="A2"/>
    </sheetView>
  </sheetViews>
  <sheetFormatPr defaultColWidth="8.88671875" defaultRowHeight="14.4" outlineLevelCol="1" x14ac:dyDescent="0.3"/>
  <cols>
    <col min="1" max="1" width="5.33203125" style="52" customWidth="1"/>
    <col min="2" max="2" width="21.44140625" style="11" customWidth="1"/>
    <col min="3" max="3" width="20.6640625" style="11" customWidth="1"/>
    <col min="4" max="4" width="7.6640625" style="445" customWidth="1"/>
    <col min="5" max="5" width="7.33203125" style="446" customWidth="1"/>
    <col min="6" max="6" width="7.33203125" style="433" customWidth="1"/>
    <col min="7" max="7" width="20.6640625" style="11" customWidth="1"/>
    <col min="8" max="8" width="7.6640625" style="445" customWidth="1"/>
    <col min="9" max="9" width="7.33203125" style="446" customWidth="1"/>
    <col min="10" max="10" width="7.33203125" style="433" customWidth="1"/>
    <col min="11" max="11" width="22.44140625" style="11" customWidth="1"/>
    <col min="12" max="12" width="12.33203125" style="11" customWidth="1"/>
    <col min="13" max="13" width="7.33203125" style="433" customWidth="1"/>
    <col min="14" max="14" width="8.44140625" style="433" customWidth="1"/>
    <col min="15" max="15" width="11.33203125" style="11" customWidth="1"/>
    <col min="16" max="16" width="9.44140625" style="14" hidden="1" customWidth="1" outlineLevel="1"/>
    <col min="17" max="17" width="8.88671875" style="14" collapsed="1"/>
    <col min="18" max="16384" width="8.88671875" style="14"/>
  </cols>
  <sheetData>
    <row r="1" spans="1:16" s="53" customFormat="1" ht="21" x14ac:dyDescent="0.4">
      <c r="A1" s="203" t="s">
        <v>491</v>
      </c>
      <c r="B1" s="350"/>
      <c r="C1" s="350"/>
      <c r="D1" s="451"/>
      <c r="E1" s="435"/>
      <c r="F1" s="194" t="str">
        <f>_xlfn.CONCAT("Customer: ",IF(ISBLANK(Contacts!B6),"",Contacts!B6))</f>
        <v xml:space="preserve">Customer: </v>
      </c>
      <c r="G1" s="477"/>
      <c r="H1" s="478"/>
      <c r="I1" s="478"/>
      <c r="J1" s="427"/>
      <c r="K1" s="194" t="str">
        <f>_xlfn.CONCAT("Trade Ally: ",IF(ISBLANK(Contacts!B23),"",Contacts!B23))</f>
        <v xml:space="preserve">Trade Ally: </v>
      </c>
      <c r="L1" s="479"/>
      <c r="M1" s="480"/>
      <c r="N1" s="480"/>
      <c r="O1" s="350"/>
    </row>
    <row r="2" spans="1:16" s="53" customFormat="1" x14ac:dyDescent="0.3">
      <c r="A2" s="476"/>
      <c r="B2" s="350"/>
      <c r="C2" s="350"/>
      <c r="D2" s="434"/>
      <c r="E2" s="435"/>
      <c r="F2" s="53" t="str">
        <f>IF(ISBLANK(Contacts!B12),"",_xlfn.CONCAT(Contacts!B12," | Phone: ",Contacts!B14))</f>
        <v/>
      </c>
      <c r="G2" s="434"/>
      <c r="H2" s="435"/>
      <c r="J2" s="427"/>
      <c r="K2" s="53" t="str">
        <f>IF(ISBLANK(Contacts!B29),"",_xlfn.CONCAT(Contacts!B29," | Phone: ",Contacts!B31))</f>
        <v/>
      </c>
      <c r="L2" s="350"/>
      <c r="M2" s="427"/>
      <c r="N2" s="427"/>
      <c r="O2" s="350"/>
    </row>
    <row r="3" spans="1:16" s="53" customFormat="1" x14ac:dyDescent="0.3">
      <c r="A3" s="455" t="str">
        <f>_xlfn.CONCAT("Project Name: ",IF(LEN(Contacts!B3)=0,"",Contacts!B3))</f>
        <v xml:space="preserve">Project Name: </v>
      </c>
      <c r="B3" s="400"/>
      <c r="C3" s="400"/>
      <c r="D3" s="400"/>
      <c r="E3" s="400"/>
      <c r="G3" s="434"/>
      <c r="H3" s="435"/>
      <c r="J3" s="427"/>
      <c r="L3" s="350"/>
      <c r="M3" s="427"/>
      <c r="N3" s="427"/>
      <c r="O3" s="350"/>
    </row>
    <row r="4" spans="1:16" s="53" customFormat="1" x14ac:dyDescent="0.3">
      <c r="A4" s="36" t="str">
        <f>_xlfn.CONCAT("Site: ",IF(ISBLANK(Site!B7),"",_xlfn.CONCAT(Site!B6,", ",Site!B7,", ",Site!B8,", ",Site!B9," ",Site!B10)))</f>
        <v xml:space="preserve">Site: </v>
      </c>
      <c r="B4" s="350"/>
      <c r="C4" s="350"/>
      <c r="D4" s="434"/>
      <c r="E4" s="435"/>
      <c r="F4" s="427"/>
      <c r="G4" s="350"/>
      <c r="H4" s="434"/>
      <c r="I4" s="435"/>
      <c r="J4" s="427"/>
      <c r="K4" s="350"/>
      <c r="L4" s="350"/>
      <c r="M4" s="427"/>
      <c r="N4" s="427"/>
      <c r="O4" s="350"/>
    </row>
    <row r="5" spans="1:16" s="53" customFormat="1" ht="15.6" x14ac:dyDescent="0.3">
      <c r="A5" s="456" t="s">
        <v>265</v>
      </c>
      <c r="B5" s="408"/>
      <c r="C5" s="409" t="s">
        <v>267</v>
      </c>
      <c r="D5" s="436"/>
      <c r="E5" s="437"/>
      <c r="F5" s="428"/>
      <c r="G5" s="410" t="s">
        <v>268</v>
      </c>
      <c r="H5" s="436"/>
      <c r="I5" s="437"/>
      <c r="J5" s="438"/>
      <c r="K5" s="411"/>
      <c r="L5" s="412" t="s">
        <v>112</v>
      </c>
      <c r="M5" s="428"/>
      <c r="N5" s="459" t="s">
        <v>265</v>
      </c>
      <c r="O5" s="452" t="s">
        <v>492</v>
      </c>
      <c r="P5" s="13" t="s">
        <v>493</v>
      </c>
    </row>
    <row r="6" spans="1:16" s="53" customFormat="1" ht="3" customHeight="1" x14ac:dyDescent="0.3">
      <c r="A6" s="457"/>
      <c r="B6" s="413"/>
      <c r="C6" s="414"/>
      <c r="D6" s="447"/>
      <c r="E6" s="448"/>
      <c r="F6" s="449"/>
      <c r="G6" s="415"/>
      <c r="H6" s="439"/>
      <c r="I6" s="440"/>
      <c r="J6" s="441"/>
      <c r="K6" s="416"/>
      <c r="L6" s="458"/>
      <c r="M6" s="429"/>
      <c r="N6" s="430"/>
      <c r="O6" s="453"/>
      <c r="P6" s="407"/>
    </row>
    <row r="7" spans="1:16" s="350" customFormat="1" ht="46.8" x14ac:dyDescent="0.3">
      <c r="A7" s="417" t="s">
        <v>200</v>
      </c>
      <c r="B7" s="418" t="s">
        <v>494</v>
      </c>
      <c r="C7" s="419" t="s">
        <v>495</v>
      </c>
      <c r="D7" s="420" t="s">
        <v>496</v>
      </c>
      <c r="E7" s="421" t="s">
        <v>497</v>
      </c>
      <c r="F7" s="422" t="s">
        <v>498</v>
      </c>
      <c r="G7" s="419" t="s">
        <v>499</v>
      </c>
      <c r="H7" s="420" t="s">
        <v>500</v>
      </c>
      <c r="I7" s="421" t="s">
        <v>501</v>
      </c>
      <c r="J7" s="423" t="s">
        <v>498</v>
      </c>
      <c r="K7" s="418" t="s">
        <v>502</v>
      </c>
      <c r="L7" s="419" t="s">
        <v>296</v>
      </c>
      <c r="M7" s="422" t="s">
        <v>503</v>
      </c>
      <c r="N7" s="424" t="s">
        <v>214</v>
      </c>
      <c r="O7" s="419" t="s">
        <v>285</v>
      </c>
      <c r="P7" s="18" t="s">
        <v>504</v>
      </c>
    </row>
    <row r="8" spans="1:16" ht="75.599999999999994" customHeight="1" x14ac:dyDescent="0.3">
      <c r="A8" s="454">
        <f>Measures!A8</f>
        <v>1</v>
      </c>
      <c r="B8" s="425" t="str">
        <f>IF(Measures!AM8="Row Not Used","",IF(ISBLANK(Measures!V8),Measures!B8,_xlfn.CONCAT(Measures!B8," - ",Measures!V8)))</f>
        <v/>
      </c>
      <c r="C8" s="426" t="str">
        <f>IF(Measures!AM8="Row Not Used","",_xlfn.CONCAT(Measures!D8," - ",Measures!E8," - ",Measures!F8))</f>
        <v/>
      </c>
      <c r="D8" s="442" t="str">
        <f>IF(Measures!AM8="Row Not Used","",Measures!G8)</f>
        <v/>
      </c>
      <c r="E8" s="443" t="str">
        <f>IF(Measures!AM8="Row Not Used","",Measures!H8)</f>
        <v/>
      </c>
      <c r="F8" s="450" t="str">
        <f>IF(Measures!AM8="Row Not Used","",Measures!I8)</f>
        <v/>
      </c>
      <c r="G8" s="426" t="str">
        <f>IF(OR(Measures!AM8="Row Not Used",Measures!C8="Controls Only",Measures!C8="Decommissioning"),"",_xlfn.CONCAT(Measures!K8," - ",Measures!L8))</f>
        <v/>
      </c>
      <c r="H8" s="442" t="str">
        <f>IF(OR(Measures!AM8="Row Not Used",Measures!C8="Controls Only",Measures!C8="Decommissioning"),"",Measures!M8)</f>
        <v/>
      </c>
      <c r="I8" s="443" t="str">
        <f>IF(OR(Measures!AM8="Row Not Used",Measures!C8="Controls Only",Measures!C8="Decommissioning"),"",Measures!N8)</f>
        <v/>
      </c>
      <c r="J8" s="444" t="str">
        <f>IF(OR(Measures!AM8="Row Not Used",Measures!C8="Controls Only",Measures!C8="Decommissioning"),"",Measures!O8)</f>
        <v/>
      </c>
      <c r="K8" s="425" t="str">
        <f>IF(OR(Measures!AM8="Row Not Used",Measures!C8="Controls Only",Measures!C8="Decommissioning"),"",Measures!AS8)</f>
        <v/>
      </c>
      <c r="L8" s="426" t="str">
        <f>IF(OR(Measures!AM8="Row Not Used",Measures!AM8="Decommissioning",ISBLANK(Measures!R8)),"",Measures!R8)</f>
        <v/>
      </c>
      <c r="M8" s="431" t="str">
        <f>IF(OR(Measures!AM8="Row Not Used",Measures!AM8="Fixtures Only",Measures!AM8="Decommissioning"),"",Measures!S8)</f>
        <v/>
      </c>
      <c r="N8" s="432" t="str">
        <f>IF(Measures!AM8="Row Not Used","",Measures!AF8)</f>
        <v/>
      </c>
      <c r="O8" s="426" t="str">
        <f>IF(Measures!AM8="Row Not Used","",Measures!C8)</f>
        <v/>
      </c>
      <c r="P8" s="133" t="str">
        <f>IF(LEN(B8)&gt;0,"Yes","No")</f>
        <v>No</v>
      </c>
    </row>
    <row r="9" spans="1:16" ht="75.599999999999994" customHeight="1" x14ac:dyDescent="0.3">
      <c r="A9" s="454">
        <f>Measures!A9</f>
        <v>2</v>
      </c>
      <c r="B9" s="425" t="str">
        <f>IF(Measures!AM9="Row Not Used","",IF(ISBLANK(Measures!V9),Measures!B9,_xlfn.CONCAT(Measures!B9," - ",Measures!V9)))</f>
        <v/>
      </c>
      <c r="C9" s="426" t="str">
        <f>IF(Measures!AM9="Row Not Used","",_xlfn.CONCAT(Measures!D9," - ",Measures!E9," - ",Measures!F9))</f>
        <v/>
      </c>
      <c r="D9" s="442" t="str">
        <f>IF(Measures!AM9="Row Not Used","",Measures!G9)</f>
        <v/>
      </c>
      <c r="E9" s="443" t="str">
        <f>IF(Measures!AM9="Row Not Used","",Measures!H9)</f>
        <v/>
      </c>
      <c r="F9" s="450" t="str">
        <f>IF(Measures!AM9="Row Not Used","",Measures!I9)</f>
        <v/>
      </c>
      <c r="G9" s="426" t="str">
        <f>IF(OR(Measures!AM9="Row Not Used",Measures!C9="Controls Only",Measures!C9="Decommissioning"),"",_xlfn.CONCAT(Measures!K9," - ",Measures!L9))</f>
        <v/>
      </c>
      <c r="H9" s="442" t="str">
        <f>IF(OR(Measures!AM9="Row Not Used",Measures!C9="Controls Only",Measures!C9="Decommissioning"),"",Measures!M9)</f>
        <v/>
      </c>
      <c r="I9" s="443" t="str">
        <f>IF(OR(Measures!AM9="Row Not Used",Measures!C9="Controls Only",Measures!C9="Decommissioning"),"",Measures!N9)</f>
        <v/>
      </c>
      <c r="J9" s="444" t="str">
        <f>IF(OR(Measures!AM9="Row Not Used",Measures!C9="Controls Only",Measures!C9="Decommissioning"),"",Measures!O9)</f>
        <v/>
      </c>
      <c r="K9" s="425" t="str">
        <f>IF(OR(Measures!AM9="Row Not Used",Measures!C9="Controls Only",Measures!C9="Decommissioning"),"",Measures!AS9)</f>
        <v/>
      </c>
      <c r="L9" s="426" t="str">
        <f>IF(OR(Measures!AM9="Row Not Used",Measures!AM9="Decommissioning",ISBLANK(Measures!R9)),"",Measures!R9)</f>
        <v/>
      </c>
      <c r="M9" s="431" t="str">
        <f>IF(OR(Measures!AM9="Row Not Used",Measures!AM9="Fixtures Only",Measures!AM9="Decommissioning"),"",Measures!S9)</f>
        <v/>
      </c>
      <c r="N9" s="432" t="str">
        <f>IF(Measures!AM9="Row Not Used","",Measures!AF9)</f>
        <v/>
      </c>
      <c r="O9" s="426" t="str">
        <f>IF(Measures!AM9="Row Not Used","",Measures!C9)</f>
        <v/>
      </c>
      <c r="P9" s="133" t="str">
        <f t="shared" ref="P9:P72" si="0">IF(LEN(B9)&gt;0,"Yes","No")</f>
        <v>No</v>
      </c>
    </row>
    <row r="10" spans="1:16" ht="75.599999999999994" customHeight="1" x14ac:dyDescent="0.3">
      <c r="A10" s="454">
        <f>Measures!A10</f>
        <v>3</v>
      </c>
      <c r="B10" s="425" t="str">
        <f>IF(Measures!AM10="Row Not Used","",IF(ISBLANK(Measures!V10),Measures!B10,_xlfn.CONCAT(Measures!B10," - ",Measures!V10)))</f>
        <v/>
      </c>
      <c r="C10" s="426" t="str">
        <f>IF(Measures!AM10="Row Not Used","",_xlfn.CONCAT(Measures!D10," - ",Measures!E10," - ",Measures!F10))</f>
        <v/>
      </c>
      <c r="D10" s="442" t="str">
        <f>IF(Measures!AM10="Row Not Used","",Measures!G10)</f>
        <v/>
      </c>
      <c r="E10" s="443" t="str">
        <f>IF(Measures!AM10="Row Not Used","",Measures!H10)</f>
        <v/>
      </c>
      <c r="F10" s="450" t="str">
        <f>IF(Measures!AM10="Row Not Used","",Measures!I10)</f>
        <v/>
      </c>
      <c r="G10" s="426" t="str">
        <f>IF(OR(Measures!AM10="Row Not Used",Measures!C10="Controls Only",Measures!C10="Decommissioning"),"",_xlfn.CONCAT(Measures!K10," - ",Measures!L10))</f>
        <v/>
      </c>
      <c r="H10" s="442" t="str">
        <f>IF(OR(Measures!AM10="Row Not Used",Measures!C10="Controls Only",Measures!C10="Decommissioning"),"",Measures!M10)</f>
        <v/>
      </c>
      <c r="I10" s="443" t="str">
        <f>IF(OR(Measures!AM10="Row Not Used",Measures!C10="Controls Only",Measures!C10="Decommissioning"),"",Measures!N10)</f>
        <v/>
      </c>
      <c r="J10" s="444" t="str">
        <f>IF(OR(Measures!AM10="Row Not Used",Measures!C10="Controls Only",Measures!C10="Decommissioning"),"",Measures!O10)</f>
        <v/>
      </c>
      <c r="K10" s="425" t="str">
        <f>IF(OR(Measures!AM10="Row Not Used",Measures!C10="Controls Only",Measures!C10="Decommissioning"),"",Measures!AS10)</f>
        <v/>
      </c>
      <c r="L10" s="426" t="str">
        <f>IF(OR(Measures!AM10="Row Not Used",Measures!AM10="Decommissioning",ISBLANK(Measures!R10)),"",Measures!R10)</f>
        <v/>
      </c>
      <c r="M10" s="431" t="str">
        <f>IF(OR(Measures!AM10="Row Not Used",Measures!AM10="Fixtures Only",Measures!AM10="Decommissioning"),"",Measures!S10)</f>
        <v/>
      </c>
      <c r="N10" s="432" t="str">
        <f>IF(Measures!AM10="Row Not Used","",Measures!AF10)</f>
        <v/>
      </c>
      <c r="O10" s="426" t="str">
        <f>IF(Measures!AM10="Row Not Used","",Measures!C10)</f>
        <v/>
      </c>
      <c r="P10" s="133" t="str">
        <f t="shared" si="0"/>
        <v>No</v>
      </c>
    </row>
    <row r="11" spans="1:16" ht="75.599999999999994" customHeight="1" x14ac:dyDescent="0.3">
      <c r="A11" s="454">
        <f>Measures!A11</f>
        <v>4</v>
      </c>
      <c r="B11" s="425" t="str">
        <f>IF(Measures!AM11="Row Not Used","",IF(ISBLANK(Measures!V11),Measures!B11,_xlfn.CONCAT(Measures!B11," - ",Measures!V11)))</f>
        <v/>
      </c>
      <c r="C11" s="426" t="str">
        <f>IF(Measures!AM11="Row Not Used","",_xlfn.CONCAT(Measures!D11," - ",Measures!E11," - ",Measures!F11))</f>
        <v/>
      </c>
      <c r="D11" s="442" t="str">
        <f>IF(Measures!AM11="Row Not Used","",Measures!G11)</f>
        <v/>
      </c>
      <c r="E11" s="443" t="str">
        <f>IF(Measures!AM11="Row Not Used","",Measures!H11)</f>
        <v/>
      </c>
      <c r="F11" s="450" t="str">
        <f>IF(Measures!AM11="Row Not Used","",Measures!I11)</f>
        <v/>
      </c>
      <c r="G11" s="426" t="str">
        <f>IF(OR(Measures!AM11="Row Not Used",Measures!C11="Controls Only",Measures!C11="Decommissioning"),"",_xlfn.CONCAT(Measures!K11," - ",Measures!L11))</f>
        <v/>
      </c>
      <c r="H11" s="442" t="str">
        <f>IF(OR(Measures!AM11="Row Not Used",Measures!C11="Controls Only",Measures!C11="Decommissioning"),"",Measures!M11)</f>
        <v/>
      </c>
      <c r="I11" s="443" t="str">
        <f>IF(OR(Measures!AM11="Row Not Used",Measures!C11="Controls Only",Measures!C11="Decommissioning"),"",Measures!N11)</f>
        <v/>
      </c>
      <c r="J11" s="444" t="str">
        <f>IF(OR(Measures!AM11="Row Not Used",Measures!C11="Controls Only",Measures!C11="Decommissioning"),"",Measures!O11)</f>
        <v/>
      </c>
      <c r="K11" s="425" t="str">
        <f>IF(OR(Measures!AM11="Row Not Used",Measures!C11="Controls Only",Measures!C11="Decommissioning"),"",Measures!AS11)</f>
        <v/>
      </c>
      <c r="L11" s="426" t="str">
        <f>IF(OR(Measures!AM11="Row Not Used",Measures!AM11="Decommissioning",ISBLANK(Measures!R11)),"",Measures!R11)</f>
        <v/>
      </c>
      <c r="M11" s="431" t="str">
        <f>IF(OR(Measures!AM11="Row Not Used",Measures!AM11="Fixtures Only",Measures!AM11="Decommissioning"),"",Measures!S11)</f>
        <v/>
      </c>
      <c r="N11" s="432" t="str">
        <f>IF(Measures!AM11="Row Not Used","",Measures!AF11)</f>
        <v/>
      </c>
      <c r="O11" s="426" t="str">
        <f>IF(Measures!AM11="Row Not Used","",Measures!C11)</f>
        <v/>
      </c>
      <c r="P11" s="133" t="str">
        <f t="shared" si="0"/>
        <v>No</v>
      </c>
    </row>
    <row r="12" spans="1:16" ht="75.599999999999994" customHeight="1" x14ac:dyDescent="0.3">
      <c r="A12" s="454">
        <f>Measures!A12</f>
        <v>5</v>
      </c>
      <c r="B12" s="425" t="str">
        <f>IF(Measures!AM12="Row Not Used","",IF(ISBLANK(Measures!V12),Measures!B12,_xlfn.CONCAT(Measures!B12," - ",Measures!V12)))</f>
        <v/>
      </c>
      <c r="C12" s="426" t="str">
        <f>IF(Measures!AM12="Row Not Used","",_xlfn.CONCAT(Measures!D12," - ",Measures!E12," - ",Measures!F12))</f>
        <v/>
      </c>
      <c r="D12" s="442" t="str">
        <f>IF(Measures!AM12="Row Not Used","",Measures!G12)</f>
        <v/>
      </c>
      <c r="E12" s="443" t="str">
        <f>IF(Measures!AM12="Row Not Used","",Measures!H12)</f>
        <v/>
      </c>
      <c r="F12" s="450" t="str">
        <f>IF(Measures!AM12="Row Not Used","",Measures!I12)</f>
        <v/>
      </c>
      <c r="G12" s="426" t="str">
        <f>IF(OR(Measures!AM12="Row Not Used",Measures!C12="Controls Only",Measures!C12="Decommissioning"),"",_xlfn.CONCAT(Measures!K12," - ",Measures!L12))</f>
        <v/>
      </c>
      <c r="H12" s="442" t="str">
        <f>IF(OR(Measures!AM12="Row Not Used",Measures!C12="Controls Only",Measures!C12="Decommissioning"),"",Measures!M12)</f>
        <v/>
      </c>
      <c r="I12" s="443" t="str">
        <f>IF(OR(Measures!AM12="Row Not Used",Measures!C12="Controls Only",Measures!C12="Decommissioning"),"",Measures!N12)</f>
        <v/>
      </c>
      <c r="J12" s="444" t="str">
        <f>IF(OR(Measures!AM12="Row Not Used",Measures!C12="Controls Only",Measures!C12="Decommissioning"),"",Measures!O12)</f>
        <v/>
      </c>
      <c r="K12" s="425" t="str">
        <f>IF(OR(Measures!AM12="Row Not Used",Measures!C12="Controls Only",Measures!C12="Decommissioning"),"",Measures!AS12)</f>
        <v/>
      </c>
      <c r="L12" s="426" t="str">
        <f>IF(OR(Measures!AM12="Row Not Used",Measures!AM12="Decommissioning",ISBLANK(Measures!R12)),"",Measures!R12)</f>
        <v/>
      </c>
      <c r="M12" s="431" t="str">
        <f>IF(OR(Measures!AM12="Row Not Used",Measures!AM12="Fixtures Only",Measures!AM12="Decommissioning"),"",Measures!S12)</f>
        <v/>
      </c>
      <c r="N12" s="432" t="str">
        <f>IF(Measures!AM12="Row Not Used","",Measures!AF12)</f>
        <v/>
      </c>
      <c r="O12" s="426" t="str">
        <f>IF(Measures!AM12="Row Not Used","",Measures!C12)</f>
        <v/>
      </c>
      <c r="P12" s="133" t="str">
        <f t="shared" si="0"/>
        <v>No</v>
      </c>
    </row>
    <row r="13" spans="1:16" ht="75.599999999999994" customHeight="1" x14ac:dyDescent="0.3">
      <c r="A13" s="454">
        <f>Measures!A13</f>
        <v>6</v>
      </c>
      <c r="B13" s="425" t="str">
        <f>IF(Measures!AM13="Row Not Used","",IF(ISBLANK(Measures!V13),Measures!B13,_xlfn.CONCAT(Measures!B13," - ",Measures!V13)))</f>
        <v/>
      </c>
      <c r="C13" s="426" t="str">
        <f>IF(Measures!AM13="Row Not Used","",_xlfn.CONCAT(Measures!D13," - ",Measures!E13," - ",Measures!F13))</f>
        <v/>
      </c>
      <c r="D13" s="442" t="str">
        <f>IF(Measures!AM13="Row Not Used","",Measures!G13)</f>
        <v/>
      </c>
      <c r="E13" s="443" t="str">
        <f>IF(Measures!AM13="Row Not Used","",Measures!H13)</f>
        <v/>
      </c>
      <c r="F13" s="450" t="str">
        <f>IF(Measures!AM13="Row Not Used","",Measures!I13)</f>
        <v/>
      </c>
      <c r="G13" s="426" t="str">
        <f>IF(OR(Measures!AM13="Row Not Used",Measures!C13="Controls Only",Measures!C13="Decommissioning"),"",_xlfn.CONCAT(Measures!K13," - ",Measures!L13))</f>
        <v/>
      </c>
      <c r="H13" s="442" t="str">
        <f>IF(OR(Measures!AM13="Row Not Used",Measures!C13="Controls Only",Measures!C13="Decommissioning"),"",Measures!M13)</f>
        <v/>
      </c>
      <c r="I13" s="443" t="str">
        <f>IF(OR(Measures!AM13="Row Not Used",Measures!C13="Controls Only",Measures!C13="Decommissioning"),"",Measures!N13)</f>
        <v/>
      </c>
      <c r="J13" s="444" t="str">
        <f>IF(OR(Measures!AM13="Row Not Used",Measures!C13="Controls Only",Measures!C13="Decommissioning"),"",Measures!O13)</f>
        <v/>
      </c>
      <c r="K13" s="425" t="str">
        <f>IF(OR(Measures!AM13="Row Not Used",Measures!C13="Controls Only",Measures!C13="Decommissioning"),"",Measures!AS13)</f>
        <v/>
      </c>
      <c r="L13" s="426" t="str">
        <f>IF(OR(Measures!AM13="Row Not Used",Measures!AM13="Decommissioning",ISBLANK(Measures!R13)),"",Measures!R13)</f>
        <v/>
      </c>
      <c r="M13" s="431" t="str">
        <f>IF(OR(Measures!AM13="Row Not Used",Measures!AM13="Fixtures Only",Measures!AM13="Decommissioning"),"",Measures!S13)</f>
        <v/>
      </c>
      <c r="N13" s="432" t="str">
        <f>IF(Measures!AM13="Row Not Used","",Measures!AF13)</f>
        <v/>
      </c>
      <c r="O13" s="426" t="str">
        <f>IF(Measures!AM13="Row Not Used","",Measures!C13)</f>
        <v/>
      </c>
      <c r="P13" s="133" t="str">
        <f t="shared" si="0"/>
        <v>No</v>
      </c>
    </row>
    <row r="14" spans="1:16" ht="75.599999999999994" customHeight="1" x14ac:dyDescent="0.3">
      <c r="A14" s="454">
        <f>Measures!A14</f>
        <v>7</v>
      </c>
      <c r="B14" s="425" t="str">
        <f>IF(Measures!AM14="Row Not Used","",IF(ISBLANK(Measures!V14),Measures!B14,_xlfn.CONCAT(Measures!B14," - ",Measures!V14)))</f>
        <v/>
      </c>
      <c r="C14" s="426" t="str">
        <f>IF(Measures!AM14="Row Not Used","",_xlfn.CONCAT(Measures!D14," - ",Measures!E14," - ",Measures!F14))</f>
        <v/>
      </c>
      <c r="D14" s="442" t="str">
        <f>IF(Measures!AM14="Row Not Used","",Measures!G14)</f>
        <v/>
      </c>
      <c r="E14" s="443" t="str">
        <f>IF(Measures!AM14="Row Not Used","",Measures!H14)</f>
        <v/>
      </c>
      <c r="F14" s="450" t="str">
        <f>IF(Measures!AM14="Row Not Used","",Measures!I14)</f>
        <v/>
      </c>
      <c r="G14" s="426" t="str">
        <f>IF(OR(Measures!AM14="Row Not Used",Measures!C14="Controls Only",Measures!C14="Decommissioning"),"",_xlfn.CONCAT(Measures!K14," - ",Measures!L14))</f>
        <v/>
      </c>
      <c r="H14" s="442" t="str">
        <f>IF(OR(Measures!AM14="Row Not Used",Measures!C14="Controls Only",Measures!C14="Decommissioning"),"",Measures!M14)</f>
        <v/>
      </c>
      <c r="I14" s="443" t="str">
        <f>IF(OR(Measures!AM14="Row Not Used",Measures!C14="Controls Only",Measures!C14="Decommissioning"),"",Measures!N14)</f>
        <v/>
      </c>
      <c r="J14" s="444" t="str">
        <f>IF(OR(Measures!AM14="Row Not Used",Measures!C14="Controls Only",Measures!C14="Decommissioning"),"",Measures!O14)</f>
        <v/>
      </c>
      <c r="K14" s="425" t="str">
        <f>IF(OR(Measures!AM14="Row Not Used",Measures!C14="Controls Only",Measures!C14="Decommissioning"),"",Measures!AS14)</f>
        <v/>
      </c>
      <c r="L14" s="426" t="str">
        <f>IF(OR(Measures!AM14="Row Not Used",Measures!AM14="Decommissioning",ISBLANK(Measures!R14)),"",Measures!R14)</f>
        <v/>
      </c>
      <c r="M14" s="431" t="str">
        <f>IF(OR(Measures!AM14="Row Not Used",Measures!AM14="Fixtures Only",Measures!AM14="Decommissioning"),"",Measures!S14)</f>
        <v/>
      </c>
      <c r="N14" s="432" t="str">
        <f>IF(Measures!AM14="Row Not Used","",Measures!AF14)</f>
        <v/>
      </c>
      <c r="O14" s="426" t="str">
        <f>IF(Measures!AM14="Row Not Used","",Measures!C14)</f>
        <v/>
      </c>
      <c r="P14" s="133" t="str">
        <f t="shared" si="0"/>
        <v>No</v>
      </c>
    </row>
    <row r="15" spans="1:16" ht="75.599999999999994" customHeight="1" x14ac:dyDescent="0.3">
      <c r="A15" s="454">
        <f>Measures!A15</f>
        <v>8</v>
      </c>
      <c r="B15" s="425" t="str">
        <f>IF(Measures!AM15="Row Not Used","",IF(ISBLANK(Measures!V15),Measures!B15,_xlfn.CONCAT(Measures!B15," - ",Measures!V15)))</f>
        <v/>
      </c>
      <c r="C15" s="426" t="str">
        <f>IF(Measures!AM15="Row Not Used","",_xlfn.CONCAT(Measures!D15," - ",Measures!E15," - ",Measures!F15))</f>
        <v/>
      </c>
      <c r="D15" s="442" t="str">
        <f>IF(Measures!AM15="Row Not Used","",Measures!G15)</f>
        <v/>
      </c>
      <c r="E15" s="443" t="str">
        <f>IF(Measures!AM15="Row Not Used","",Measures!H15)</f>
        <v/>
      </c>
      <c r="F15" s="450" t="str">
        <f>IF(Measures!AM15="Row Not Used","",Measures!I15)</f>
        <v/>
      </c>
      <c r="G15" s="426" t="str">
        <f>IF(OR(Measures!AM15="Row Not Used",Measures!C15="Controls Only",Measures!C15="Decommissioning"),"",_xlfn.CONCAT(Measures!K15," - ",Measures!L15))</f>
        <v/>
      </c>
      <c r="H15" s="442" t="str">
        <f>IF(OR(Measures!AM15="Row Not Used",Measures!C15="Controls Only",Measures!C15="Decommissioning"),"",Measures!M15)</f>
        <v/>
      </c>
      <c r="I15" s="443" t="str">
        <f>IF(OR(Measures!AM15="Row Not Used",Measures!C15="Controls Only",Measures!C15="Decommissioning"),"",Measures!N15)</f>
        <v/>
      </c>
      <c r="J15" s="444" t="str">
        <f>IF(OR(Measures!AM15="Row Not Used",Measures!C15="Controls Only",Measures!C15="Decommissioning"),"",Measures!O15)</f>
        <v/>
      </c>
      <c r="K15" s="425" t="str">
        <f>IF(OR(Measures!AM15="Row Not Used",Measures!C15="Controls Only",Measures!C15="Decommissioning"),"",Measures!AS15)</f>
        <v/>
      </c>
      <c r="L15" s="426" t="str">
        <f>IF(OR(Measures!AM15="Row Not Used",Measures!AM15="Decommissioning",ISBLANK(Measures!R15)),"",Measures!R15)</f>
        <v/>
      </c>
      <c r="M15" s="431" t="str">
        <f>IF(OR(Measures!AM15="Row Not Used",Measures!AM15="Fixtures Only",Measures!AM15="Decommissioning"),"",Measures!S15)</f>
        <v/>
      </c>
      <c r="N15" s="432" t="str">
        <f>IF(Measures!AM15="Row Not Used","",Measures!AF15)</f>
        <v/>
      </c>
      <c r="O15" s="426" t="str">
        <f>IF(Measures!AM15="Row Not Used","",Measures!C15)</f>
        <v/>
      </c>
      <c r="P15" s="133" t="str">
        <f t="shared" si="0"/>
        <v>No</v>
      </c>
    </row>
    <row r="16" spans="1:16" ht="75.599999999999994" customHeight="1" x14ac:dyDescent="0.3">
      <c r="A16" s="454">
        <f>Measures!A16</f>
        <v>9</v>
      </c>
      <c r="B16" s="425" t="str">
        <f>IF(Measures!AM16="Row Not Used","",IF(ISBLANK(Measures!V16),Measures!B16,_xlfn.CONCAT(Measures!B16," - ",Measures!V16)))</f>
        <v/>
      </c>
      <c r="C16" s="426" t="str">
        <f>IF(Measures!AM16="Row Not Used","",_xlfn.CONCAT(Measures!D16," - ",Measures!E16," - ",Measures!F16))</f>
        <v/>
      </c>
      <c r="D16" s="442" t="str">
        <f>IF(Measures!AM16="Row Not Used","",Measures!G16)</f>
        <v/>
      </c>
      <c r="E16" s="443" t="str">
        <f>IF(Measures!AM16="Row Not Used","",Measures!H16)</f>
        <v/>
      </c>
      <c r="F16" s="450" t="str">
        <f>IF(Measures!AM16="Row Not Used","",Measures!I16)</f>
        <v/>
      </c>
      <c r="G16" s="426" t="str">
        <f>IF(OR(Measures!AM16="Row Not Used",Measures!C16="Controls Only",Measures!C16="Decommissioning"),"",_xlfn.CONCAT(Measures!K16," - ",Measures!L16))</f>
        <v/>
      </c>
      <c r="H16" s="442" t="str">
        <f>IF(OR(Measures!AM16="Row Not Used",Measures!C16="Controls Only",Measures!C16="Decommissioning"),"",Measures!M16)</f>
        <v/>
      </c>
      <c r="I16" s="443" t="str">
        <f>IF(OR(Measures!AM16="Row Not Used",Measures!C16="Controls Only",Measures!C16="Decommissioning"),"",Measures!N16)</f>
        <v/>
      </c>
      <c r="J16" s="444" t="str">
        <f>IF(OR(Measures!AM16="Row Not Used",Measures!C16="Controls Only",Measures!C16="Decommissioning"),"",Measures!O16)</f>
        <v/>
      </c>
      <c r="K16" s="425" t="str">
        <f>IF(OR(Measures!AM16="Row Not Used",Measures!C16="Controls Only",Measures!C16="Decommissioning"),"",Measures!AS16)</f>
        <v/>
      </c>
      <c r="L16" s="426" t="str">
        <f>IF(OR(Measures!AM16="Row Not Used",Measures!AM16="Decommissioning",ISBLANK(Measures!R16)),"",Measures!R16)</f>
        <v/>
      </c>
      <c r="M16" s="431" t="str">
        <f>IF(OR(Measures!AM16="Row Not Used",Measures!AM16="Fixtures Only",Measures!AM16="Decommissioning"),"",Measures!S16)</f>
        <v/>
      </c>
      <c r="N16" s="432" t="str">
        <f>IF(Measures!AM16="Row Not Used","",Measures!AF16)</f>
        <v/>
      </c>
      <c r="O16" s="426" t="str">
        <f>IF(Measures!AM16="Row Not Used","",Measures!C16)</f>
        <v/>
      </c>
      <c r="P16" s="133" t="str">
        <f t="shared" si="0"/>
        <v>No</v>
      </c>
    </row>
    <row r="17" spans="1:16" ht="75.599999999999994" customHeight="1" x14ac:dyDescent="0.3">
      <c r="A17" s="454">
        <f>Measures!A17</f>
        <v>10</v>
      </c>
      <c r="B17" s="425" t="str">
        <f>IF(Measures!AM17="Row Not Used","",IF(ISBLANK(Measures!V17),Measures!B17,_xlfn.CONCAT(Measures!B17," - ",Measures!V17)))</f>
        <v/>
      </c>
      <c r="C17" s="426" t="str">
        <f>IF(Measures!AM17="Row Not Used","",_xlfn.CONCAT(Measures!D17," - ",Measures!E17," - ",Measures!F17))</f>
        <v/>
      </c>
      <c r="D17" s="442" t="str">
        <f>IF(Measures!AM17="Row Not Used","",Measures!G17)</f>
        <v/>
      </c>
      <c r="E17" s="443" t="str">
        <f>IF(Measures!AM17="Row Not Used","",Measures!H17)</f>
        <v/>
      </c>
      <c r="F17" s="450" t="str">
        <f>IF(Measures!AM17="Row Not Used","",Measures!I17)</f>
        <v/>
      </c>
      <c r="G17" s="426" t="str">
        <f>IF(OR(Measures!AM17="Row Not Used",Measures!C17="Controls Only",Measures!C17="Decommissioning"),"",_xlfn.CONCAT(Measures!K17," - ",Measures!L17))</f>
        <v/>
      </c>
      <c r="H17" s="442" t="str">
        <f>IF(OR(Measures!AM17="Row Not Used",Measures!C17="Controls Only",Measures!C17="Decommissioning"),"",Measures!M17)</f>
        <v/>
      </c>
      <c r="I17" s="443" t="str">
        <f>IF(OR(Measures!AM17="Row Not Used",Measures!C17="Controls Only",Measures!C17="Decommissioning"),"",Measures!N17)</f>
        <v/>
      </c>
      <c r="J17" s="444" t="str">
        <f>IF(OR(Measures!AM17="Row Not Used",Measures!C17="Controls Only",Measures!C17="Decommissioning"),"",Measures!O17)</f>
        <v/>
      </c>
      <c r="K17" s="425" t="str">
        <f>IF(OR(Measures!AM17="Row Not Used",Measures!C17="Controls Only",Measures!C17="Decommissioning"),"",Measures!AS17)</f>
        <v/>
      </c>
      <c r="L17" s="426" t="str">
        <f>IF(OR(Measures!AM17="Row Not Used",Measures!AM17="Decommissioning",ISBLANK(Measures!R17)),"",Measures!R17)</f>
        <v/>
      </c>
      <c r="M17" s="431" t="str">
        <f>IF(OR(Measures!AM17="Row Not Used",Measures!AM17="Fixtures Only",Measures!AM17="Decommissioning"),"",Measures!S17)</f>
        <v/>
      </c>
      <c r="N17" s="432" t="str">
        <f>IF(Measures!AM17="Row Not Used","",Measures!AF17)</f>
        <v/>
      </c>
      <c r="O17" s="426" t="str">
        <f>IF(Measures!AM17="Row Not Used","",Measures!C17)</f>
        <v/>
      </c>
      <c r="P17" s="133" t="str">
        <f t="shared" si="0"/>
        <v>No</v>
      </c>
    </row>
    <row r="18" spans="1:16" ht="75.599999999999994" customHeight="1" x14ac:dyDescent="0.3">
      <c r="A18" s="454">
        <f>Measures!A18</f>
        <v>11</v>
      </c>
      <c r="B18" s="425" t="str">
        <f>IF(Measures!AM18="Row Not Used","",IF(ISBLANK(Measures!V18),Measures!B18,_xlfn.CONCAT(Measures!B18," - ",Measures!V18)))</f>
        <v/>
      </c>
      <c r="C18" s="426" t="str">
        <f>IF(Measures!AM18="Row Not Used","",_xlfn.CONCAT(Measures!D18," - ",Measures!E18," - ",Measures!F18))</f>
        <v/>
      </c>
      <c r="D18" s="442" t="str">
        <f>IF(Measures!AM18="Row Not Used","",Measures!G18)</f>
        <v/>
      </c>
      <c r="E18" s="443" t="str">
        <f>IF(Measures!AM18="Row Not Used","",Measures!H18)</f>
        <v/>
      </c>
      <c r="F18" s="450" t="str">
        <f>IF(Measures!AM18="Row Not Used","",Measures!I18)</f>
        <v/>
      </c>
      <c r="G18" s="426" t="str">
        <f>IF(OR(Measures!AM18="Row Not Used",Measures!C18="Controls Only",Measures!C18="Decommissioning"),"",_xlfn.CONCAT(Measures!K18," - ",Measures!L18))</f>
        <v/>
      </c>
      <c r="H18" s="442" t="str">
        <f>IF(OR(Measures!AM18="Row Not Used",Measures!C18="Controls Only",Measures!C18="Decommissioning"),"",Measures!M18)</f>
        <v/>
      </c>
      <c r="I18" s="443" t="str">
        <f>IF(OR(Measures!AM18="Row Not Used",Measures!C18="Controls Only",Measures!C18="Decommissioning"),"",Measures!N18)</f>
        <v/>
      </c>
      <c r="J18" s="444" t="str">
        <f>IF(OR(Measures!AM18="Row Not Used",Measures!C18="Controls Only",Measures!C18="Decommissioning"),"",Measures!O18)</f>
        <v/>
      </c>
      <c r="K18" s="425" t="str">
        <f>IF(OR(Measures!AM18="Row Not Used",Measures!C18="Controls Only",Measures!C18="Decommissioning"),"",Measures!AS18)</f>
        <v/>
      </c>
      <c r="L18" s="426" t="str">
        <f>IF(OR(Measures!AM18="Row Not Used",Measures!AM18="Decommissioning",ISBLANK(Measures!R18)),"",Measures!R18)</f>
        <v/>
      </c>
      <c r="M18" s="431" t="str">
        <f>IF(OR(Measures!AM18="Row Not Used",Measures!AM18="Fixtures Only",Measures!AM18="Decommissioning"),"",Measures!S18)</f>
        <v/>
      </c>
      <c r="N18" s="432" t="str">
        <f>IF(Measures!AM18="Row Not Used","",Measures!AF18)</f>
        <v/>
      </c>
      <c r="O18" s="426" t="str">
        <f>IF(Measures!AM18="Row Not Used","",Measures!C18)</f>
        <v/>
      </c>
      <c r="P18" s="133" t="str">
        <f t="shared" si="0"/>
        <v>No</v>
      </c>
    </row>
    <row r="19" spans="1:16" ht="75.599999999999994" customHeight="1" x14ac:dyDescent="0.3">
      <c r="A19" s="454">
        <f>Measures!A19</f>
        <v>12</v>
      </c>
      <c r="B19" s="425" t="str">
        <f>IF(Measures!AM19="Row Not Used","",IF(ISBLANK(Measures!V19),Measures!B19,_xlfn.CONCAT(Measures!B19," - ",Measures!V19)))</f>
        <v/>
      </c>
      <c r="C19" s="426" t="str">
        <f>IF(Measures!AM19="Row Not Used","",_xlfn.CONCAT(Measures!D19," - ",Measures!E19," - ",Measures!F19))</f>
        <v/>
      </c>
      <c r="D19" s="442" t="str">
        <f>IF(Measures!AM19="Row Not Used","",Measures!G19)</f>
        <v/>
      </c>
      <c r="E19" s="443" t="str">
        <f>IF(Measures!AM19="Row Not Used","",Measures!H19)</f>
        <v/>
      </c>
      <c r="F19" s="450" t="str">
        <f>IF(Measures!AM19="Row Not Used","",Measures!I19)</f>
        <v/>
      </c>
      <c r="G19" s="426" t="str">
        <f>IF(OR(Measures!AM19="Row Not Used",Measures!C19="Controls Only",Measures!C19="Decommissioning"),"",_xlfn.CONCAT(Measures!K19," - ",Measures!L19))</f>
        <v/>
      </c>
      <c r="H19" s="442" t="str">
        <f>IF(OR(Measures!AM19="Row Not Used",Measures!C19="Controls Only",Measures!C19="Decommissioning"),"",Measures!M19)</f>
        <v/>
      </c>
      <c r="I19" s="443" t="str">
        <f>IF(OR(Measures!AM19="Row Not Used",Measures!C19="Controls Only",Measures!C19="Decommissioning"),"",Measures!N19)</f>
        <v/>
      </c>
      <c r="J19" s="444" t="str">
        <f>IF(OR(Measures!AM19="Row Not Used",Measures!C19="Controls Only",Measures!C19="Decommissioning"),"",Measures!O19)</f>
        <v/>
      </c>
      <c r="K19" s="425" t="str">
        <f>IF(OR(Measures!AM19="Row Not Used",Measures!C19="Controls Only",Measures!C19="Decommissioning"),"",Measures!AS19)</f>
        <v/>
      </c>
      <c r="L19" s="426" t="str">
        <f>IF(OR(Measures!AM19="Row Not Used",Measures!AM19="Decommissioning",ISBLANK(Measures!R19)),"",Measures!R19)</f>
        <v/>
      </c>
      <c r="M19" s="431" t="str">
        <f>IF(OR(Measures!AM19="Row Not Used",Measures!AM19="Fixtures Only",Measures!AM19="Decommissioning"),"",Measures!S19)</f>
        <v/>
      </c>
      <c r="N19" s="432" t="str">
        <f>IF(Measures!AM19="Row Not Used","",Measures!AF19)</f>
        <v/>
      </c>
      <c r="O19" s="426" t="str">
        <f>IF(Measures!AM19="Row Not Used","",Measures!C19)</f>
        <v/>
      </c>
      <c r="P19" s="133" t="str">
        <f t="shared" si="0"/>
        <v>No</v>
      </c>
    </row>
    <row r="20" spans="1:16" ht="75.599999999999994" customHeight="1" x14ac:dyDescent="0.3">
      <c r="A20" s="454">
        <f>Measures!A20</f>
        <v>13</v>
      </c>
      <c r="B20" s="425" t="str">
        <f>IF(Measures!AM20="Row Not Used","",IF(ISBLANK(Measures!V20),Measures!B20,_xlfn.CONCAT(Measures!B20," - ",Measures!V20)))</f>
        <v/>
      </c>
      <c r="C20" s="426" t="str">
        <f>IF(Measures!AM20="Row Not Used","",_xlfn.CONCAT(Measures!D20," - ",Measures!E20," - ",Measures!F20))</f>
        <v/>
      </c>
      <c r="D20" s="442" t="str">
        <f>IF(Measures!AM20="Row Not Used","",Measures!G20)</f>
        <v/>
      </c>
      <c r="E20" s="443" t="str">
        <f>IF(Measures!AM20="Row Not Used","",Measures!H20)</f>
        <v/>
      </c>
      <c r="F20" s="450" t="str">
        <f>IF(Measures!AM20="Row Not Used","",Measures!I20)</f>
        <v/>
      </c>
      <c r="G20" s="426" t="str">
        <f>IF(OR(Measures!AM20="Row Not Used",Measures!C20="Controls Only",Measures!C20="Decommissioning"),"",_xlfn.CONCAT(Measures!K20," - ",Measures!L20))</f>
        <v/>
      </c>
      <c r="H20" s="442" t="str">
        <f>IF(OR(Measures!AM20="Row Not Used",Measures!C20="Controls Only",Measures!C20="Decommissioning"),"",Measures!M20)</f>
        <v/>
      </c>
      <c r="I20" s="443" t="str">
        <f>IF(OR(Measures!AM20="Row Not Used",Measures!C20="Controls Only",Measures!C20="Decommissioning"),"",Measures!N20)</f>
        <v/>
      </c>
      <c r="J20" s="444" t="str">
        <f>IF(OR(Measures!AM20="Row Not Used",Measures!C20="Controls Only",Measures!C20="Decommissioning"),"",Measures!O20)</f>
        <v/>
      </c>
      <c r="K20" s="425" t="str">
        <f>IF(OR(Measures!AM20="Row Not Used",Measures!C20="Controls Only",Measures!C20="Decommissioning"),"",Measures!AS20)</f>
        <v/>
      </c>
      <c r="L20" s="426" t="str">
        <f>IF(OR(Measures!AM20="Row Not Used",Measures!AM20="Decommissioning",ISBLANK(Measures!R20)),"",Measures!R20)</f>
        <v/>
      </c>
      <c r="M20" s="431" t="str">
        <f>IF(OR(Measures!AM20="Row Not Used",Measures!AM20="Fixtures Only",Measures!AM20="Decommissioning"),"",Measures!S20)</f>
        <v/>
      </c>
      <c r="N20" s="432" t="str">
        <f>IF(Measures!AM20="Row Not Used","",Measures!AF20)</f>
        <v/>
      </c>
      <c r="O20" s="426" t="str">
        <f>IF(Measures!AM20="Row Not Used","",Measures!C20)</f>
        <v/>
      </c>
      <c r="P20" s="133" t="str">
        <f t="shared" si="0"/>
        <v>No</v>
      </c>
    </row>
    <row r="21" spans="1:16" ht="75.599999999999994" customHeight="1" x14ac:dyDescent="0.3">
      <c r="A21" s="454">
        <f>Measures!A21</f>
        <v>14</v>
      </c>
      <c r="B21" s="425" t="str">
        <f>IF(Measures!AM21="Row Not Used","",IF(ISBLANK(Measures!V21),Measures!B21,_xlfn.CONCAT(Measures!B21," - ",Measures!V21)))</f>
        <v/>
      </c>
      <c r="C21" s="426" t="str">
        <f>IF(Measures!AM21="Row Not Used","",_xlfn.CONCAT(Measures!D21," - ",Measures!E21," - ",Measures!F21))</f>
        <v/>
      </c>
      <c r="D21" s="442" t="str">
        <f>IF(Measures!AM21="Row Not Used","",Measures!G21)</f>
        <v/>
      </c>
      <c r="E21" s="443" t="str">
        <f>IF(Measures!AM21="Row Not Used","",Measures!H21)</f>
        <v/>
      </c>
      <c r="F21" s="450" t="str">
        <f>IF(Measures!AM21="Row Not Used","",Measures!I21)</f>
        <v/>
      </c>
      <c r="G21" s="426" t="str">
        <f>IF(OR(Measures!AM21="Row Not Used",Measures!C21="Controls Only",Measures!C21="Decommissioning"),"",_xlfn.CONCAT(Measures!K21," - ",Measures!L21))</f>
        <v/>
      </c>
      <c r="H21" s="442" t="str">
        <f>IF(OR(Measures!AM21="Row Not Used",Measures!C21="Controls Only",Measures!C21="Decommissioning"),"",Measures!M21)</f>
        <v/>
      </c>
      <c r="I21" s="443" t="str">
        <f>IF(OR(Measures!AM21="Row Not Used",Measures!C21="Controls Only",Measures!C21="Decommissioning"),"",Measures!N21)</f>
        <v/>
      </c>
      <c r="J21" s="444" t="str">
        <f>IF(OR(Measures!AM21="Row Not Used",Measures!C21="Controls Only",Measures!C21="Decommissioning"),"",Measures!O21)</f>
        <v/>
      </c>
      <c r="K21" s="425" t="str">
        <f>IF(OR(Measures!AM21="Row Not Used",Measures!C21="Controls Only",Measures!C21="Decommissioning"),"",Measures!AS21)</f>
        <v/>
      </c>
      <c r="L21" s="426" t="str">
        <f>IF(OR(Measures!AM21="Row Not Used",Measures!AM21="Decommissioning",ISBLANK(Measures!R21)),"",Measures!R21)</f>
        <v/>
      </c>
      <c r="M21" s="431" t="str">
        <f>IF(OR(Measures!AM21="Row Not Used",Measures!AM21="Fixtures Only",Measures!AM21="Decommissioning"),"",Measures!S21)</f>
        <v/>
      </c>
      <c r="N21" s="432" t="str">
        <f>IF(Measures!AM21="Row Not Used","",Measures!AF21)</f>
        <v/>
      </c>
      <c r="O21" s="426" t="str">
        <f>IF(Measures!AM21="Row Not Used","",Measures!C21)</f>
        <v/>
      </c>
      <c r="P21" s="133" t="str">
        <f t="shared" si="0"/>
        <v>No</v>
      </c>
    </row>
    <row r="22" spans="1:16" ht="75.599999999999994" customHeight="1" x14ac:dyDescent="0.3">
      <c r="A22" s="454">
        <f>Measures!A22</f>
        <v>15</v>
      </c>
      <c r="B22" s="425" t="str">
        <f>IF(Measures!AM22="Row Not Used","",IF(ISBLANK(Measures!V22),Measures!B22,_xlfn.CONCAT(Measures!B22," - ",Measures!V22)))</f>
        <v/>
      </c>
      <c r="C22" s="426" t="str">
        <f>IF(Measures!AM22="Row Not Used","",_xlfn.CONCAT(Measures!D22," - ",Measures!E22," - ",Measures!F22))</f>
        <v/>
      </c>
      <c r="D22" s="442" t="str">
        <f>IF(Measures!AM22="Row Not Used","",Measures!G22)</f>
        <v/>
      </c>
      <c r="E22" s="443" t="str">
        <f>IF(Measures!AM22="Row Not Used","",Measures!H22)</f>
        <v/>
      </c>
      <c r="F22" s="450" t="str">
        <f>IF(Measures!AM22="Row Not Used","",Measures!I22)</f>
        <v/>
      </c>
      <c r="G22" s="426" t="str">
        <f>IF(OR(Measures!AM22="Row Not Used",Measures!C22="Controls Only",Measures!C22="Decommissioning"),"",_xlfn.CONCAT(Measures!K22," - ",Measures!L22))</f>
        <v/>
      </c>
      <c r="H22" s="442" t="str">
        <f>IF(OR(Measures!AM22="Row Not Used",Measures!C22="Controls Only",Measures!C22="Decommissioning"),"",Measures!M22)</f>
        <v/>
      </c>
      <c r="I22" s="443" t="str">
        <f>IF(OR(Measures!AM22="Row Not Used",Measures!C22="Controls Only",Measures!C22="Decommissioning"),"",Measures!N22)</f>
        <v/>
      </c>
      <c r="J22" s="444" t="str">
        <f>IF(OR(Measures!AM22="Row Not Used",Measures!C22="Controls Only",Measures!C22="Decommissioning"),"",Measures!O22)</f>
        <v/>
      </c>
      <c r="K22" s="425" t="str">
        <f>IF(OR(Measures!AM22="Row Not Used",Measures!C22="Controls Only",Measures!C22="Decommissioning"),"",Measures!AS22)</f>
        <v/>
      </c>
      <c r="L22" s="426" t="str">
        <f>IF(OR(Measures!AM22="Row Not Used",Measures!AM22="Decommissioning",ISBLANK(Measures!R22)),"",Measures!R22)</f>
        <v/>
      </c>
      <c r="M22" s="431" t="str">
        <f>IF(OR(Measures!AM22="Row Not Used",Measures!AM22="Fixtures Only",Measures!AM22="Decommissioning"),"",Measures!S22)</f>
        <v/>
      </c>
      <c r="N22" s="432" t="str">
        <f>IF(Measures!AM22="Row Not Used","",Measures!AF22)</f>
        <v/>
      </c>
      <c r="O22" s="426" t="str">
        <f>IF(Measures!AM22="Row Not Used","",Measures!C22)</f>
        <v/>
      </c>
      <c r="P22" s="133" t="str">
        <f t="shared" si="0"/>
        <v>No</v>
      </c>
    </row>
    <row r="23" spans="1:16" ht="75.599999999999994" customHeight="1" x14ac:dyDescent="0.3">
      <c r="A23" s="454">
        <f>Measures!A23</f>
        <v>16</v>
      </c>
      <c r="B23" s="425" t="str">
        <f>IF(Measures!AM23="Row Not Used","",IF(ISBLANK(Measures!V23),Measures!B23,_xlfn.CONCAT(Measures!B23," - ",Measures!V23)))</f>
        <v/>
      </c>
      <c r="C23" s="426" t="str">
        <f>IF(Measures!AM23="Row Not Used","",_xlfn.CONCAT(Measures!D23," - ",Measures!E23," - ",Measures!F23))</f>
        <v/>
      </c>
      <c r="D23" s="442" t="str">
        <f>IF(Measures!AM23="Row Not Used","",Measures!G23)</f>
        <v/>
      </c>
      <c r="E23" s="443" t="str">
        <f>IF(Measures!AM23="Row Not Used","",Measures!H23)</f>
        <v/>
      </c>
      <c r="F23" s="450" t="str">
        <f>IF(Measures!AM23="Row Not Used","",Measures!I23)</f>
        <v/>
      </c>
      <c r="G23" s="426" t="str">
        <f>IF(OR(Measures!AM23="Row Not Used",Measures!C23="Controls Only",Measures!C23="Decommissioning"),"",_xlfn.CONCAT(Measures!K23," - ",Measures!L23))</f>
        <v/>
      </c>
      <c r="H23" s="442" t="str">
        <f>IF(OR(Measures!AM23="Row Not Used",Measures!C23="Controls Only",Measures!C23="Decommissioning"),"",Measures!M23)</f>
        <v/>
      </c>
      <c r="I23" s="443" t="str">
        <f>IF(OR(Measures!AM23="Row Not Used",Measures!C23="Controls Only",Measures!C23="Decommissioning"),"",Measures!N23)</f>
        <v/>
      </c>
      <c r="J23" s="444" t="str">
        <f>IF(OR(Measures!AM23="Row Not Used",Measures!C23="Controls Only",Measures!C23="Decommissioning"),"",Measures!O23)</f>
        <v/>
      </c>
      <c r="K23" s="425" t="str">
        <f>IF(OR(Measures!AM23="Row Not Used",Measures!C23="Controls Only",Measures!C23="Decommissioning"),"",Measures!AS23)</f>
        <v/>
      </c>
      <c r="L23" s="426" t="str">
        <f>IF(OR(Measures!AM23="Row Not Used",Measures!AM23="Decommissioning",ISBLANK(Measures!R23)),"",Measures!R23)</f>
        <v/>
      </c>
      <c r="M23" s="431" t="str">
        <f>IF(OR(Measures!AM23="Row Not Used",Measures!AM23="Fixtures Only",Measures!AM23="Decommissioning"),"",Measures!S23)</f>
        <v/>
      </c>
      <c r="N23" s="432" t="str">
        <f>IF(Measures!AM23="Row Not Used","",Measures!AF23)</f>
        <v/>
      </c>
      <c r="O23" s="426" t="str">
        <f>IF(Measures!AM23="Row Not Used","",Measures!C23)</f>
        <v/>
      </c>
      <c r="P23" s="133" t="str">
        <f t="shared" si="0"/>
        <v>No</v>
      </c>
    </row>
    <row r="24" spans="1:16" ht="75.599999999999994" customHeight="1" x14ac:dyDescent="0.3">
      <c r="A24" s="454">
        <f>Measures!A24</f>
        <v>17</v>
      </c>
      <c r="B24" s="425" t="str">
        <f>IF(Measures!AM24="Row Not Used","",IF(ISBLANK(Measures!V24),Measures!B24,_xlfn.CONCAT(Measures!B24," - ",Measures!V24)))</f>
        <v/>
      </c>
      <c r="C24" s="426" t="str">
        <f>IF(Measures!AM24="Row Not Used","",_xlfn.CONCAT(Measures!D24," - ",Measures!E24," - ",Measures!F24))</f>
        <v/>
      </c>
      <c r="D24" s="442" t="str">
        <f>IF(Measures!AM24="Row Not Used","",Measures!G24)</f>
        <v/>
      </c>
      <c r="E24" s="443" t="str">
        <f>IF(Measures!AM24="Row Not Used","",Measures!H24)</f>
        <v/>
      </c>
      <c r="F24" s="450" t="str">
        <f>IF(Measures!AM24="Row Not Used","",Measures!I24)</f>
        <v/>
      </c>
      <c r="G24" s="426" t="str">
        <f>IF(OR(Measures!AM24="Row Not Used",Measures!C24="Controls Only",Measures!C24="Decommissioning"),"",_xlfn.CONCAT(Measures!K24," - ",Measures!L24))</f>
        <v/>
      </c>
      <c r="H24" s="442" t="str">
        <f>IF(OR(Measures!AM24="Row Not Used",Measures!C24="Controls Only",Measures!C24="Decommissioning"),"",Measures!M24)</f>
        <v/>
      </c>
      <c r="I24" s="443" t="str">
        <f>IF(OR(Measures!AM24="Row Not Used",Measures!C24="Controls Only",Measures!C24="Decommissioning"),"",Measures!N24)</f>
        <v/>
      </c>
      <c r="J24" s="444" t="str">
        <f>IF(OR(Measures!AM24="Row Not Used",Measures!C24="Controls Only",Measures!C24="Decommissioning"),"",Measures!O24)</f>
        <v/>
      </c>
      <c r="K24" s="425" t="str">
        <f>IF(OR(Measures!AM24="Row Not Used",Measures!C24="Controls Only",Measures!C24="Decommissioning"),"",Measures!AS24)</f>
        <v/>
      </c>
      <c r="L24" s="426" t="str">
        <f>IF(OR(Measures!AM24="Row Not Used",Measures!AM24="Decommissioning",ISBLANK(Measures!R24)),"",Measures!R24)</f>
        <v/>
      </c>
      <c r="M24" s="431" t="str">
        <f>IF(OR(Measures!AM24="Row Not Used",Measures!AM24="Fixtures Only",Measures!AM24="Decommissioning"),"",Measures!S24)</f>
        <v/>
      </c>
      <c r="N24" s="432" t="str">
        <f>IF(Measures!AM24="Row Not Used","",Measures!AF24)</f>
        <v/>
      </c>
      <c r="O24" s="426" t="str">
        <f>IF(Measures!AM24="Row Not Used","",Measures!C24)</f>
        <v/>
      </c>
      <c r="P24" s="133" t="str">
        <f t="shared" si="0"/>
        <v>No</v>
      </c>
    </row>
    <row r="25" spans="1:16" ht="75.599999999999994" customHeight="1" x14ac:dyDescent="0.3">
      <c r="A25" s="454">
        <f>Measures!A25</f>
        <v>18</v>
      </c>
      <c r="B25" s="425" t="str">
        <f>IF(Measures!AM25="Row Not Used","",IF(ISBLANK(Measures!V25),Measures!B25,_xlfn.CONCAT(Measures!B25," - ",Measures!V25)))</f>
        <v/>
      </c>
      <c r="C25" s="426" t="str">
        <f>IF(Measures!AM25="Row Not Used","",_xlfn.CONCAT(Measures!D25," - ",Measures!E25," - ",Measures!F25))</f>
        <v/>
      </c>
      <c r="D25" s="442" t="str">
        <f>IF(Measures!AM25="Row Not Used","",Measures!G25)</f>
        <v/>
      </c>
      <c r="E25" s="443" t="str">
        <f>IF(Measures!AM25="Row Not Used","",Measures!H25)</f>
        <v/>
      </c>
      <c r="F25" s="450" t="str">
        <f>IF(Measures!AM25="Row Not Used","",Measures!I25)</f>
        <v/>
      </c>
      <c r="G25" s="426" t="str">
        <f>IF(OR(Measures!AM25="Row Not Used",Measures!C25="Controls Only",Measures!C25="Decommissioning"),"",_xlfn.CONCAT(Measures!K25," - ",Measures!L25))</f>
        <v/>
      </c>
      <c r="H25" s="442" t="str">
        <f>IF(OR(Measures!AM25="Row Not Used",Measures!C25="Controls Only",Measures!C25="Decommissioning"),"",Measures!M25)</f>
        <v/>
      </c>
      <c r="I25" s="443" t="str">
        <f>IF(OR(Measures!AM25="Row Not Used",Measures!C25="Controls Only",Measures!C25="Decommissioning"),"",Measures!N25)</f>
        <v/>
      </c>
      <c r="J25" s="444" t="str">
        <f>IF(OR(Measures!AM25="Row Not Used",Measures!C25="Controls Only",Measures!C25="Decommissioning"),"",Measures!O25)</f>
        <v/>
      </c>
      <c r="K25" s="425" t="str">
        <f>IF(OR(Measures!AM25="Row Not Used",Measures!C25="Controls Only",Measures!C25="Decommissioning"),"",Measures!AS25)</f>
        <v/>
      </c>
      <c r="L25" s="426" t="str">
        <f>IF(OR(Measures!AM25="Row Not Used",Measures!AM25="Decommissioning",ISBLANK(Measures!R25)),"",Measures!R25)</f>
        <v/>
      </c>
      <c r="M25" s="431" t="str">
        <f>IF(OR(Measures!AM25="Row Not Used",Measures!AM25="Fixtures Only",Measures!AM25="Decommissioning"),"",Measures!S25)</f>
        <v/>
      </c>
      <c r="N25" s="432" t="str">
        <f>IF(Measures!AM25="Row Not Used","",Measures!AF25)</f>
        <v/>
      </c>
      <c r="O25" s="426" t="str">
        <f>IF(Measures!AM25="Row Not Used","",Measures!C25)</f>
        <v/>
      </c>
      <c r="P25" s="133" t="str">
        <f t="shared" si="0"/>
        <v>No</v>
      </c>
    </row>
    <row r="26" spans="1:16" ht="75.599999999999994" customHeight="1" x14ac:dyDescent="0.3">
      <c r="A26" s="454">
        <f>Measures!A26</f>
        <v>19</v>
      </c>
      <c r="B26" s="425" t="str">
        <f>IF(Measures!AM26="Row Not Used","",IF(ISBLANK(Measures!V26),Measures!B26,_xlfn.CONCAT(Measures!B26," - ",Measures!V26)))</f>
        <v/>
      </c>
      <c r="C26" s="426" t="str">
        <f>IF(Measures!AM26="Row Not Used","",_xlfn.CONCAT(Measures!D26," - ",Measures!E26," - ",Measures!F26))</f>
        <v/>
      </c>
      <c r="D26" s="442" t="str">
        <f>IF(Measures!AM26="Row Not Used","",Measures!G26)</f>
        <v/>
      </c>
      <c r="E26" s="443" t="str">
        <f>IF(Measures!AM26="Row Not Used","",Measures!H26)</f>
        <v/>
      </c>
      <c r="F26" s="450" t="str">
        <f>IF(Measures!AM26="Row Not Used","",Measures!I26)</f>
        <v/>
      </c>
      <c r="G26" s="426" t="str">
        <f>IF(OR(Measures!AM26="Row Not Used",Measures!C26="Controls Only",Measures!C26="Decommissioning"),"",_xlfn.CONCAT(Measures!K26," - ",Measures!L26))</f>
        <v/>
      </c>
      <c r="H26" s="442" t="str">
        <f>IF(OR(Measures!AM26="Row Not Used",Measures!C26="Controls Only",Measures!C26="Decommissioning"),"",Measures!M26)</f>
        <v/>
      </c>
      <c r="I26" s="443" t="str">
        <f>IF(OR(Measures!AM26="Row Not Used",Measures!C26="Controls Only",Measures!C26="Decommissioning"),"",Measures!N26)</f>
        <v/>
      </c>
      <c r="J26" s="444" t="str">
        <f>IF(OR(Measures!AM26="Row Not Used",Measures!C26="Controls Only",Measures!C26="Decommissioning"),"",Measures!O26)</f>
        <v/>
      </c>
      <c r="K26" s="425" t="str">
        <f>IF(OR(Measures!AM26="Row Not Used",Measures!C26="Controls Only",Measures!C26="Decommissioning"),"",Measures!AS26)</f>
        <v/>
      </c>
      <c r="L26" s="426" t="str">
        <f>IF(OR(Measures!AM26="Row Not Used",Measures!AM26="Decommissioning",ISBLANK(Measures!R26)),"",Measures!R26)</f>
        <v/>
      </c>
      <c r="M26" s="431" t="str">
        <f>IF(OR(Measures!AM26="Row Not Used",Measures!AM26="Fixtures Only",Measures!AM26="Decommissioning"),"",Measures!S26)</f>
        <v/>
      </c>
      <c r="N26" s="432" t="str">
        <f>IF(Measures!AM26="Row Not Used","",Measures!AF26)</f>
        <v/>
      </c>
      <c r="O26" s="426" t="str">
        <f>IF(Measures!AM26="Row Not Used","",Measures!C26)</f>
        <v/>
      </c>
      <c r="P26" s="133" t="str">
        <f t="shared" si="0"/>
        <v>No</v>
      </c>
    </row>
    <row r="27" spans="1:16" ht="75.599999999999994" customHeight="1" x14ac:dyDescent="0.3">
      <c r="A27" s="454">
        <f>Measures!A27</f>
        <v>20</v>
      </c>
      <c r="B27" s="425" t="str">
        <f>IF(Measures!AM27="Row Not Used","",IF(ISBLANK(Measures!V27),Measures!B27,_xlfn.CONCAT(Measures!B27," - ",Measures!V27)))</f>
        <v/>
      </c>
      <c r="C27" s="426" t="str">
        <f>IF(Measures!AM27="Row Not Used","",_xlfn.CONCAT(Measures!D27," - ",Measures!E27," - ",Measures!F27))</f>
        <v/>
      </c>
      <c r="D27" s="442" t="str">
        <f>IF(Measures!AM27="Row Not Used","",Measures!G27)</f>
        <v/>
      </c>
      <c r="E27" s="443" t="str">
        <f>IF(Measures!AM27="Row Not Used","",Measures!H27)</f>
        <v/>
      </c>
      <c r="F27" s="450" t="str">
        <f>IF(Measures!AM27="Row Not Used","",Measures!I27)</f>
        <v/>
      </c>
      <c r="G27" s="426" t="str">
        <f>IF(OR(Measures!AM27="Row Not Used",Measures!C27="Controls Only",Measures!C27="Decommissioning"),"",_xlfn.CONCAT(Measures!K27," - ",Measures!L27))</f>
        <v/>
      </c>
      <c r="H27" s="442" t="str">
        <f>IF(OR(Measures!AM27="Row Not Used",Measures!C27="Controls Only",Measures!C27="Decommissioning"),"",Measures!M27)</f>
        <v/>
      </c>
      <c r="I27" s="443" t="str">
        <f>IF(OR(Measures!AM27="Row Not Used",Measures!C27="Controls Only",Measures!C27="Decommissioning"),"",Measures!N27)</f>
        <v/>
      </c>
      <c r="J27" s="444" t="str">
        <f>IF(OR(Measures!AM27="Row Not Used",Measures!C27="Controls Only",Measures!C27="Decommissioning"),"",Measures!O27)</f>
        <v/>
      </c>
      <c r="K27" s="425" t="str">
        <f>IF(OR(Measures!AM27="Row Not Used",Measures!C27="Controls Only",Measures!C27="Decommissioning"),"",Measures!AS27)</f>
        <v/>
      </c>
      <c r="L27" s="426" t="str">
        <f>IF(OR(Measures!AM27="Row Not Used",Measures!AM27="Decommissioning",ISBLANK(Measures!R27)),"",Measures!R27)</f>
        <v/>
      </c>
      <c r="M27" s="431" t="str">
        <f>IF(OR(Measures!AM27="Row Not Used",Measures!AM27="Fixtures Only",Measures!AM27="Decommissioning"),"",Measures!S27)</f>
        <v/>
      </c>
      <c r="N27" s="432" t="str">
        <f>IF(Measures!AM27="Row Not Used","",Measures!AF27)</f>
        <v/>
      </c>
      <c r="O27" s="426" t="str">
        <f>IF(Measures!AM27="Row Not Used","",Measures!C27)</f>
        <v/>
      </c>
      <c r="P27" s="133" t="str">
        <f t="shared" si="0"/>
        <v>No</v>
      </c>
    </row>
    <row r="28" spans="1:16" ht="75.599999999999994" customHeight="1" x14ac:dyDescent="0.3">
      <c r="A28" s="454">
        <f>Measures!A28</f>
        <v>21</v>
      </c>
      <c r="B28" s="425" t="str">
        <f>IF(Measures!AM28="Row Not Used","",IF(ISBLANK(Measures!V28),Measures!B28,_xlfn.CONCAT(Measures!B28," - ",Measures!V28)))</f>
        <v/>
      </c>
      <c r="C28" s="426" t="str">
        <f>IF(Measures!AM28="Row Not Used","",_xlfn.CONCAT(Measures!D28," - ",Measures!E28," - ",Measures!F28))</f>
        <v/>
      </c>
      <c r="D28" s="442" t="str">
        <f>IF(Measures!AM28="Row Not Used","",Measures!G28)</f>
        <v/>
      </c>
      <c r="E28" s="443" t="str">
        <f>IF(Measures!AM28="Row Not Used","",Measures!H28)</f>
        <v/>
      </c>
      <c r="F28" s="450" t="str">
        <f>IF(Measures!AM28="Row Not Used","",Measures!I28)</f>
        <v/>
      </c>
      <c r="G28" s="426" t="str">
        <f>IF(OR(Measures!AM28="Row Not Used",Measures!C28="Controls Only",Measures!C28="Decommissioning"),"",_xlfn.CONCAT(Measures!K28," - ",Measures!L28))</f>
        <v/>
      </c>
      <c r="H28" s="442" t="str">
        <f>IF(OR(Measures!AM28="Row Not Used",Measures!C28="Controls Only",Measures!C28="Decommissioning"),"",Measures!M28)</f>
        <v/>
      </c>
      <c r="I28" s="443" t="str">
        <f>IF(OR(Measures!AM28="Row Not Used",Measures!C28="Controls Only",Measures!C28="Decommissioning"),"",Measures!N28)</f>
        <v/>
      </c>
      <c r="J28" s="444" t="str">
        <f>IF(OR(Measures!AM28="Row Not Used",Measures!C28="Controls Only",Measures!C28="Decommissioning"),"",Measures!O28)</f>
        <v/>
      </c>
      <c r="K28" s="425" t="str">
        <f>IF(OR(Measures!AM28="Row Not Used",Measures!C28="Controls Only",Measures!C28="Decommissioning"),"",Measures!AS28)</f>
        <v/>
      </c>
      <c r="L28" s="426" t="str">
        <f>IF(OR(Measures!AM28="Row Not Used",Measures!AM28="Decommissioning",ISBLANK(Measures!R28)),"",Measures!R28)</f>
        <v/>
      </c>
      <c r="M28" s="431" t="str">
        <f>IF(OR(Measures!AM28="Row Not Used",Measures!AM28="Fixtures Only",Measures!AM28="Decommissioning"),"",Measures!S28)</f>
        <v/>
      </c>
      <c r="N28" s="432" t="str">
        <f>IF(Measures!AM28="Row Not Used","",Measures!AF28)</f>
        <v/>
      </c>
      <c r="O28" s="426" t="str">
        <f>IF(Measures!AM28="Row Not Used","",Measures!C28)</f>
        <v/>
      </c>
      <c r="P28" s="133" t="str">
        <f t="shared" si="0"/>
        <v>No</v>
      </c>
    </row>
    <row r="29" spans="1:16" ht="75.599999999999994" customHeight="1" x14ac:dyDescent="0.3">
      <c r="A29" s="454">
        <f>Measures!A29</f>
        <v>22</v>
      </c>
      <c r="B29" s="425" t="str">
        <f>IF(Measures!AM29="Row Not Used","",IF(ISBLANK(Measures!V29),Measures!B29,_xlfn.CONCAT(Measures!B29," - ",Measures!V29)))</f>
        <v/>
      </c>
      <c r="C29" s="426" t="str">
        <f>IF(Measures!AM29="Row Not Used","",_xlfn.CONCAT(Measures!D29," - ",Measures!E29," - ",Measures!F29))</f>
        <v/>
      </c>
      <c r="D29" s="442" t="str">
        <f>IF(Measures!AM29="Row Not Used","",Measures!G29)</f>
        <v/>
      </c>
      <c r="E29" s="443" t="str">
        <f>IF(Measures!AM29="Row Not Used","",Measures!H29)</f>
        <v/>
      </c>
      <c r="F29" s="450" t="str">
        <f>IF(Measures!AM29="Row Not Used","",Measures!I29)</f>
        <v/>
      </c>
      <c r="G29" s="426" t="str">
        <f>IF(OR(Measures!AM29="Row Not Used",Measures!C29="Controls Only",Measures!C29="Decommissioning"),"",_xlfn.CONCAT(Measures!K29," - ",Measures!L29))</f>
        <v/>
      </c>
      <c r="H29" s="442" t="str">
        <f>IF(OR(Measures!AM29="Row Not Used",Measures!C29="Controls Only",Measures!C29="Decommissioning"),"",Measures!M29)</f>
        <v/>
      </c>
      <c r="I29" s="443" t="str">
        <f>IF(OR(Measures!AM29="Row Not Used",Measures!C29="Controls Only",Measures!C29="Decommissioning"),"",Measures!N29)</f>
        <v/>
      </c>
      <c r="J29" s="444" t="str">
        <f>IF(OR(Measures!AM29="Row Not Used",Measures!C29="Controls Only",Measures!C29="Decommissioning"),"",Measures!O29)</f>
        <v/>
      </c>
      <c r="K29" s="425" t="str">
        <f>IF(OR(Measures!AM29="Row Not Used",Measures!C29="Controls Only",Measures!C29="Decommissioning"),"",Measures!AS29)</f>
        <v/>
      </c>
      <c r="L29" s="426" t="str">
        <f>IF(OR(Measures!AM29="Row Not Used",Measures!AM29="Decommissioning",ISBLANK(Measures!R29)),"",Measures!R29)</f>
        <v/>
      </c>
      <c r="M29" s="431" t="str">
        <f>IF(OR(Measures!AM29="Row Not Used",Measures!AM29="Fixtures Only",Measures!AM29="Decommissioning"),"",Measures!S29)</f>
        <v/>
      </c>
      <c r="N29" s="432" t="str">
        <f>IF(Measures!AM29="Row Not Used","",Measures!AF29)</f>
        <v/>
      </c>
      <c r="O29" s="426" t="str">
        <f>IF(Measures!AM29="Row Not Used","",Measures!C29)</f>
        <v/>
      </c>
      <c r="P29" s="133" t="str">
        <f t="shared" si="0"/>
        <v>No</v>
      </c>
    </row>
    <row r="30" spans="1:16" ht="75.599999999999994" customHeight="1" x14ac:dyDescent="0.3">
      <c r="A30" s="454">
        <f>Measures!A30</f>
        <v>23</v>
      </c>
      <c r="B30" s="425" t="str">
        <f>IF(Measures!AM30="Row Not Used","",IF(ISBLANK(Measures!V30),Measures!B30,_xlfn.CONCAT(Measures!B30," - ",Measures!V30)))</f>
        <v/>
      </c>
      <c r="C30" s="426" t="str">
        <f>IF(Measures!AM30="Row Not Used","",_xlfn.CONCAT(Measures!D30," - ",Measures!E30," - ",Measures!F30))</f>
        <v/>
      </c>
      <c r="D30" s="442" t="str">
        <f>IF(Measures!AM30="Row Not Used","",Measures!G30)</f>
        <v/>
      </c>
      <c r="E30" s="443" t="str">
        <f>IF(Measures!AM30="Row Not Used","",Measures!H30)</f>
        <v/>
      </c>
      <c r="F30" s="450" t="str">
        <f>IF(Measures!AM30="Row Not Used","",Measures!I30)</f>
        <v/>
      </c>
      <c r="G30" s="426" t="str">
        <f>IF(OR(Measures!AM30="Row Not Used",Measures!C30="Controls Only",Measures!C30="Decommissioning"),"",_xlfn.CONCAT(Measures!K30," - ",Measures!L30))</f>
        <v/>
      </c>
      <c r="H30" s="442" t="str">
        <f>IF(OR(Measures!AM30="Row Not Used",Measures!C30="Controls Only",Measures!C30="Decommissioning"),"",Measures!M30)</f>
        <v/>
      </c>
      <c r="I30" s="443" t="str">
        <f>IF(OR(Measures!AM30="Row Not Used",Measures!C30="Controls Only",Measures!C30="Decommissioning"),"",Measures!N30)</f>
        <v/>
      </c>
      <c r="J30" s="444" t="str">
        <f>IF(OR(Measures!AM30="Row Not Used",Measures!C30="Controls Only",Measures!C30="Decommissioning"),"",Measures!O30)</f>
        <v/>
      </c>
      <c r="K30" s="425" t="str">
        <f>IF(OR(Measures!AM30="Row Not Used",Measures!C30="Controls Only",Measures!C30="Decommissioning"),"",Measures!AS30)</f>
        <v/>
      </c>
      <c r="L30" s="426" t="str">
        <f>IF(OR(Measures!AM30="Row Not Used",Measures!AM30="Decommissioning",ISBLANK(Measures!R30)),"",Measures!R30)</f>
        <v/>
      </c>
      <c r="M30" s="431" t="str">
        <f>IF(OR(Measures!AM30="Row Not Used",Measures!AM30="Fixtures Only",Measures!AM30="Decommissioning"),"",Measures!S30)</f>
        <v/>
      </c>
      <c r="N30" s="432" t="str">
        <f>IF(Measures!AM30="Row Not Used","",Measures!AF30)</f>
        <v/>
      </c>
      <c r="O30" s="426" t="str">
        <f>IF(Measures!AM30="Row Not Used","",Measures!C30)</f>
        <v/>
      </c>
      <c r="P30" s="133" t="str">
        <f t="shared" si="0"/>
        <v>No</v>
      </c>
    </row>
    <row r="31" spans="1:16" ht="75.599999999999994" customHeight="1" x14ac:dyDescent="0.3">
      <c r="A31" s="454">
        <f>Measures!A31</f>
        <v>24</v>
      </c>
      <c r="B31" s="425" t="str">
        <f>IF(Measures!AM31="Row Not Used","",IF(ISBLANK(Measures!V31),Measures!B31,_xlfn.CONCAT(Measures!B31," - ",Measures!V31)))</f>
        <v/>
      </c>
      <c r="C31" s="426" t="str">
        <f>IF(Measures!AM31="Row Not Used","",_xlfn.CONCAT(Measures!D31," - ",Measures!E31," - ",Measures!F31))</f>
        <v/>
      </c>
      <c r="D31" s="442" t="str">
        <f>IF(Measures!AM31="Row Not Used","",Measures!G31)</f>
        <v/>
      </c>
      <c r="E31" s="443" t="str">
        <f>IF(Measures!AM31="Row Not Used","",Measures!H31)</f>
        <v/>
      </c>
      <c r="F31" s="450" t="str">
        <f>IF(Measures!AM31="Row Not Used","",Measures!I31)</f>
        <v/>
      </c>
      <c r="G31" s="426" t="str">
        <f>IF(OR(Measures!AM31="Row Not Used",Measures!C31="Controls Only",Measures!C31="Decommissioning"),"",_xlfn.CONCAT(Measures!K31," - ",Measures!L31))</f>
        <v/>
      </c>
      <c r="H31" s="442" t="str">
        <f>IF(OR(Measures!AM31="Row Not Used",Measures!C31="Controls Only",Measures!C31="Decommissioning"),"",Measures!M31)</f>
        <v/>
      </c>
      <c r="I31" s="443" t="str">
        <f>IF(OR(Measures!AM31="Row Not Used",Measures!C31="Controls Only",Measures!C31="Decommissioning"),"",Measures!N31)</f>
        <v/>
      </c>
      <c r="J31" s="444" t="str">
        <f>IF(OR(Measures!AM31="Row Not Used",Measures!C31="Controls Only",Measures!C31="Decommissioning"),"",Measures!O31)</f>
        <v/>
      </c>
      <c r="K31" s="425" t="str">
        <f>IF(OR(Measures!AM31="Row Not Used",Measures!C31="Controls Only",Measures!C31="Decommissioning"),"",Measures!AS31)</f>
        <v/>
      </c>
      <c r="L31" s="426" t="str">
        <f>IF(OR(Measures!AM31="Row Not Used",Measures!AM31="Decommissioning",ISBLANK(Measures!R31)),"",Measures!R31)</f>
        <v/>
      </c>
      <c r="M31" s="431" t="str">
        <f>IF(OR(Measures!AM31="Row Not Used",Measures!AM31="Fixtures Only",Measures!AM31="Decommissioning"),"",Measures!S31)</f>
        <v/>
      </c>
      <c r="N31" s="432" t="str">
        <f>IF(Measures!AM31="Row Not Used","",Measures!AF31)</f>
        <v/>
      </c>
      <c r="O31" s="426" t="str">
        <f>IF(Measures!AM31="Row Not Used","",Measures!C31)</f>
        <v/>
      </c>
      <c r="P31" s="133" t="str">
        <f t="shared" si="0"/>
        <v>No</v>
      </c>
    </row>
    <row r="32" spans="1:16" ht="75.599999999999994" customHeight="1" x14ac:dyDescent="0.3">
      <c r="A32" s="454">
        <f>Measures!A32</f>
        <v>25</v>
      </c>
      <c r="B32" s="425" t="str">
        <f>IF(Measures!AM32="Row Not Used","",IF(ISBLANK(Measures!V32),Measures!B32,_xlfn.CONCAT(Measures!B32," - ",Measures!V32)))</f>
        <v/>
      </c>
      <c r="C32" s="426" t="str">
        <f>IF(Measures!AM32="Row Not Used","",_xlfn.CONCAT(Measures!D32," - ",Measures!E32," - ",Measures!F32))</f>
        <v/>
      </c>
      <c r="D32" s="442" t="str">
        <f>IF(Measures!AM32="Row Not Used","",Measures!G32)</f>
        <v/>
      </c>
      <c r="E32" s="443" t="str">
        <f>IF(Measures!AM32="Row Not Used","",Measures!H32)</f>
        <v/>
      </c>
      <c r="F32" s="450" t="str">
        <f>IF(Measures!AM32="Row Not Used","",Measures!I32)</f>
        <v/>
      </c>
      <c r="G32" s="426" t="str">
        <f>IF(OR(Measures!AM32="Row Not Used",Measures!C32="Controls Only",Measures!C32="Decommissioning"),"",_xlfn.CONCAT(Measures!K32," - ",Measures!L32))</f>
        <v/>
      </c>
      <c r="H32" s="442" t="str">
        <f>IF(OR(Measures!AM32="Row Not Used",Measures!C32="Controls Only",Measures!C32="Decommissioning"),"",Measures!M32)</f>
        <v/>
      </c>
      <c r="I32" s="443" t="str">
        <f>IF(OR(Measures!AM32="Row Not Used",Measures!C32="Controls Only",Measures!C32="Decommissioning"),"",Measures!N32)</f>
        <v/>
      </c>
      <c r="J32" s="444" t="str">
        <f>IF(OR(Measures!AM32="Row Not Used",Measures!C32="Controls Only",Measures!C32="Decommissioning"),"",Measures!O32)</f>
        <v/>
      </c>
      <c r="K32" s="425" t="str">
        <f>IF(OR(Measures!AM32="Row Not Used",Measures!C32="Controls Only",Measures!C32="Decommissioning"),"",Measures!AS32)</f>
        <v/>
      </c>
      <c r="L32" s="426" t="str">
        <f>IF(OR(Measures!AM32="Row Not Used",Measures!AM32="Decommissioning",ISBLANK(Measures!R32)),"",Measures!R32)</f>
        <v/>
      </c>
      <c r="M32" s="431" t="str">
        <f>IF(OR(Measures!AM32="Row Not Used",Measures!AM32="Fixtures Only",Measures!AM32="Decommissioning"),"",Measures!S32)</f>
        <v/>
      </c>
      <c r="N32" s="432" t="str">
        <f>IF(Measures!AM32="Row Not Used","",Measures!AF32)</f>
        <v/>
      </c>
      <c r="O32" s="426" t="str">
        <f>IF(Measures!AM32="Row Not Used","",Measures!C32)</f>
        <v/>
      </c>
      <c r="P32" s="133" t="str">
        <f t="shared" si="0"/>
        <v>No</v>
      </c>
    </row>
    <row r="33" spans="1:16" ht="75.599999999999994" customHeight="1" x14ac:dyDescent="0.3">
      <c r="A33" s="454">
        <f>Measures!A33</f>
        <v>26</v>
      </c>
      <c r="B33" s="425" t="str">
        <f>IF(Measures!AM33="Row Not Used","",IF(ISBLANK(Measures!V33),Measures!B33,_xlfn.CONCAT(Measures!B33," - ",Measures!V33)))</f>
        <v/>
      </c>
      <c r="C33" s="426" t="str">
        <f>IF(Measures!AM33="Row Not Used","",_xlfn.CONCAT(Measures!D33," - ",Measures!E33," - ",Measures!F33))</f>
        <v/>
      </c>
      <c r="D33" s="442" t="str">
        <f>IF(Measures!AM33="Row Not Used","",Measures!G33)</f>
        <v/>
      </c>
      <c r="E33" s="443" t="str">
        <f>IF(Measures!AM33="Row Not Used","",Measures!H33)</f>
        <v/>
      </c>
      <c r="F33" s="450" t="str">
        <f>IF(Measures!AM33="Row Not Used","",Measures!I33)</f>
        <v/>
      </c>
      <c r="G33" s="426" t="str">
        <f>IF(OR(Measures!AM33="Row Not Used",Measures!C33="Controls Only",Measures!C33="Decommissioning"),"",_xlfn.CONCAT(Measures!K33," - ",Measures!L33))</f>
        <v/>
      </c>
      <c r="H33" s="442" t="str">
        <f>IF(OR(Measures!AM33="Row Not Used",Measures!C33="Controls Only",Measures!C33="Decommissioning"),"",Measures!M33)</f>
        <v/>
      </c>
      <c r="I33" s="443" t="str">
        <f>IF(OR(Measures!AM33="Row Not Used",Measures!C33="Controls Only",Measures!C33="Decommissioning"),"",Measures!N33)</f>
        <v/>
      </c>
      <c r="J33" s="444" t="str">
        <f>IF(OR(Measures!AM33="Row Not Used",Measures!C33="Controls Only",Measures!C33="Decommissioning"),"",Measures!O33)</f>
        <v/>
      </c>
      <c r="K33" s="425" t="str">
        <f>IF(OR(Measures!AM33="Row Not Used",Measures!C33="Controls Only",Measures!C33="Decommissioning"),"",Measures!AS33)</f>
        <v/>
      </c>
      <c r="L33" s="426" t="str">
        <f>IF(OR(Measures!AM33="Row Not Used",Measures!AM33="Decommissioning",ISBLANK(Measures!R33)),"",Measures!R33)</f>
        <v/>
      </c>
      <c r="M33" s="431" t="str">
        <f>IF(OR(Measures!AM33="Row Not Used",Measures!AM33="Fixtures Only",Measures!AM33="Decommissioning"),"",Measures!S33)</f>
        <v/>
      </c>
      <c r="N33" s="432" t="str">
        <f>IF(Measures!AM33="Row Not Used","",Measures!AF33)</f>
        <v/>
      </c>
      <c r="O33" s="426" t="str">
        <f>IF(Measures!AM33="Row Not Used","",Measures!C33)</f>
        <v/>
      </c>
      <c r="P33" s="133" t="str">
        <f t="shared" si="0"/>
        <v>No</v>
      </c>
    </row>
    <row r="34" spans="1:16" ht="75.599999999999994" customHeight="1" x14ac:dyDescent="0.3">
      <c r="A34" s="454">
        <f>Measures!A34</f>
        <v>27</v>
      </c>
      <c r="B34" s="425" t="str">
        <f>IF(Measures!AM34="Row Not Used","",IF(ISBLANK(Measures!V34),Measures!B34,_xlfn.CONCAT(Measures!B34," - ",Measures!V34)))</f>
        <v/>
      </c>
      <c r="C34" s="426" t="str">
        <f>IF(Measures!AM34="Row Not Used","",_xlfn.CONCAT(Measures!D34," - ",Measures!E34," - ",Measures!F34))</f>
        <v/>
      </c>
      <c r="D34" s="442" t="str">
        <f>IF(Measures!AM34="Row Not Used","",Measures!G34)</f>
        <v/>
      </c>
      <c r="E34" s="443" t="str">
        <f>IF(Measures!AM34="Row Not Used","",Measures!H34)</f>
        <v/>
      </c>
      <c r="F34" s="450" t="str">
        <f>IF(Measures!AM34="Row Not Used","",Measures!I34)</f>
        <v/>
      </c>
      <c r="G34" s="426" t="str">
        <f>IF(OR(Measures!AM34="Row Not Used",Measures!C34="Controls Only",Measures!C34="Decommissioning"),"",_xlfn.CONCAT(Measures!K34," - ",Measures!L34))</f>
        <v/>
      </c>
      <c r="H34" s="442" t="str">
        <f>IF(OR(Measures!AM34="Row Not Used",Measures!C34="Controls Only",Measures!C34="Decommissioning"),"",Measures!M34)</f>
        <v/>
      </c>
      <c r="I34" s="443" t="str">
        <f>IF(OR(Measures!AM34="Row Not Used",Measures!C34="Controls Only",Measures!C34="Decommissioning"),"",Measures!N34)</f>
        <v/>
      </c>
      <c r="J34" s="444" t="str">
        <f>IF(OR(Measures!AM34="Row Not Used",Measures!C34="Controls Only",Measures!C34="Decommissioning"),"",Measures!O34)</f>
        <v/>
      </c>
      <c r="K34" s="425" t="str">
        <f>IF(OR(Measures!AM34="Row Not Used",Measures!C34="Controls Only",Measures!C34="Decommissioning"),"",Measures!AS34)</f>
        <v/>
      </c>
      <c r="L34" s="426" t="str">
        <f>IF(OR(Measures!AM34="Row Not Used",Measures!AM34="Decommissioning",ISBLANK(Measures!R34)),"",Measures!R34)</f>
        <v/>
      </c>
      <c r="M34" s="431" t="str">
        <f>IF(OR(Measures!AM34="Row Not Used",Measures!AM34="Fixtures Only",Measures!AM34="Decommissioning"),"",Measures!S34)</f>
        <v/>
      </c>
      <c r="N34" s="432" t="str">
        <f>IF(Measures!AM34="Row Not Used","",Measures!AF34)</f>
        <v/>
      </c>
      <c r="O34" s="426" t="str">
        <f>IF(Measures!AM34="Row Not Used","",Measures!C34)</f>
        <v/>
      </c>
      <c r="P34" s="133" t="str">
        <f t="shared" si="0"/>
        <v>No</v>
      </c>
    </row>
    <row r="35" spans="1:16" ht="75.599999999999994" customHeight="1" x14ac:dyDescent="0.3">
      <c r="A35" s="454">
        <f>Measures!A35</f>
        <v>28</v>
      </c>
      <c r="B35" s="425" t="str">
        <f>IF(Measures!AM35="Row Not Used","",IF(ISBLANK(Measures!V35),Measures!B35,_xlfn.CONCAT(Measures!B35," - ",Measures!V35)))</f>
        <v/>
      </c>
      <c r="C35" s="426" t="str">
        <f>IF(Measures!AM35="Row Not Used","",_xlfn.CONCAT(Measures!D35," - ",Measures!E35," - ",Measures!F35))</f>
        <v/>
      </c>
      <c r="D35" s="442" t="str">
        <f>IF(Measures!AM35="Row Not Used","",Measures!G35)</f>
        <v/>
      </c>
      <c r="E35" s="443" t="str">
        <f>IF(Measures!AM35="Row Not Used","",Measures!H35)</f>
        <v/>
      </c>
      <c r="F35" s="450" t="str">
        <f>IF(Measures!AM35="Row Not Used","",Measures!I35)</f>
        <v/>
      </c>
      <c r="G35" s="426" t="str">
        <f>IF(OR(Measures!AM35="Row Not Used",Measures!C35="Controls Only",Measures!C35="Decommissioning"),"",_xlfn.CONCAT(Measures!K35," - ",Measures!L35))</f>
        <v/>
      </c>
      <c r="H35" s="442" t="str">
        <f>IF(OR(Measures!AM35="Row Not Used",Measures!C35="Controls Only",Measures!C35="Decommissioning"),"",Measures!M35)</f>
        <v/>
      </c>
      <c r="I35" s="443" t="str">
        <f>IF(OR(Measures!AM35="Row Not Used",Measures!C35="Controls Only",Measures!C35="Decommissioning"),"",Measures!N35)</f>
        <v/>
      </c>
      <c r="J35" s="444" t="str">
        <f>IF(OR(Measures!AM35="Row Not Used",Measures!C35="Controls Only",Measures!C35="Decommissioning"),"",Measures!O35)</f>
        <v/>
      </c>
      <c r="K35" s="425" t="str">
        <f>IF(OR(Measures!AM35="Row Not Used",Measures!C35="Controls Only",Measures!C35="Decommissioning"),"",Measures!AS35)</f>
        <v/>
      </c>
      <c r="L35" s="426" t="str">
        <f>IF(OR(Measures!AM35="Row Not Used",Measures!AM35="Decommissioning",ISBLANK(Measures!R35)),"",Measures!R35)</f>
        <v/>
      </c>
      <c r="M35" s="431" t="str">
        <f>IF(OR(Measures!AM35="Row Not Used",Measures!AM35="Fixtures Only",Measures!AM35="Decommissioning"),"",Measures!S35)</f>
        <v/>
      </c>
      <c r="N35" s="432" t="str">
        <f>IF(Measures!AM35="Row Not Used","",Measures!AF35)</f>
        <v/>
      </c>
      <c r="O35" s="426" t="str">
        <f>IF(Measures!AM35="Row Not Used","",Measures!C35)</f>
        <v/>
      </c>
      <c r="P35" s="133" t="str">
        <f t="shared" si="0"/>
        <v>No</v>
      </c>
    </row>
    <row r="36" spans="1:16" ht="75.599999999999994" customHeight="1" x14ac:dyDescent="0.3">
      <c r="A36" s="454">
        <f>Measures!A36</f>
        <v>29</v>
      </c>
      <c r="B36" s="425" t="str">
        <f>IF(Measures!AM36="Row Not Used","",IF(ISBLANK(Measures!V36),Measures!B36,_xlfn.CONCAT(Measures!B36," - ",Measures!V36)))</f>
        <v/>
      </c>
      <c r="C36" s="426" t="str">
        <f>IF(Measures!AM36="Row Not Used","",_xlfn.CONCAT(Measures!D36," - ",Measures!E36," - ",Measures!F36))</f>
        <v/>
      </c>
      <c r="D36" s="442" t="str">
        <f>IF(Measures!AM36="Row Not Used","",Measures!G36)</f>
        <v/>
      </c>
      <c r="E36" s="443" t="str">
        <f>IF(Measures!AM36="Row Not Used","",Measures!H36)</f>
        <v/>
      </c>
      <c r="F36" s="450" t="str">
        <f>IF(Measures!AM36="Row Not Used","",Measures!I36)</f>
        <v/>
      </c>
      <c r="G36" s="426" t="str">
        <f>IF(OR(Measures!AM36="Row Not Used",Measures!C36="Controls Only",Measures!C36="Decommissioning"),"",_xlfn.CONCAT(Measures!K36," - ",Measures!L36))</f>
        <v/>
      </c>
      <c r="H36" s="442" t="str">
        <f>IF(OR(Measures!AM36="Row Not Used",Measures!C36="Controls Only",Measures!C36="Decommissioning"),"",Measures!M36)</f>
        <v/>
      </c>
      <c r="I36" s="443" t="str">
        <f>IF(OR(Measures!AM36="Row Not Used",Measures!C36="Controls Only",Measures!C36="Decommissioning"),"",Measures!N36)</f>
        <v/>
      </c>
      <c r="J36" s="444" t="str">
        <f>IF(OR(Measures!AM36="Row Not Used",Measures!C36="Controls Only",Measures!C36="Decommissioning"),"",Measures!O36)</f>
        <v/>
      </c>
      <c r="K36" s="425" t="str">
        <f>IF(OR(Measures!AM36="Row Not Used",Measures!C36="Controls Only",Measures!C36="Decommissioning"),"",Measures!AS36)</f>
        <v/>
      </c>
      <c r="L36" s="426" t="str">
        <f>IF(OR(Measures!AM36="Row Not Used",Measures!AM36="Decommissioning",ISBLANK(Measures!R36)),"",Measures!R36)</f>
        <v/>
      </c>
      <c r="M36" s="431" t="str">
        <f>IF(OR(Measures!AM36="Row Not Used",Measures!AM36="Fixtures Only",Measures!AM36="Decommissioning"),"",Measures!S36)</f>
        <v/>
      </c>
      <c r="N36" s="432" t="str">
        <f>IF(Measures!AM36="Row Not Used","",Measures!AF36)</f>
        <v/>
      </c>
      <c r="O36" s="426" t="str">
        <f>IF(Measures!AM36="Row Not Used","",Measures!C36)</f>
        <v/>
      </c>
      <c r="P36" s="133" t="str">
        <f t="shared" si="0"/>
        <v>No</v>
      </c>
    </row>
    <row r="37" spans="1:16" ht="75.599999999999994" customHeight="1" x14ac:dyDescent="0.3">
      <c r="A37" s="454">
        <f>Measures!A37</f>
        <v>30</v>
      </c>
      <c r="B37" s="425" t="str">
        <f>IF(Measures!AM37="Row Not Used","",IF(ISBLANK(Measures!V37),Measures!B37,_xlfn.CONCAT(Measures!B37," - ",Measures!V37)))</f>
        <v/>
      </c>
      <c r="C37" s="426" t="str">
        <f>IF(Measures!AM37="Row Not Used","",_xlfn.CONCAT(Measures!D37," - ",Measures!E37," - ",Measures!F37))</f>
        <v/>
      </c>
      <c r="D37" s="442" t="str">
        <f>IF(Measures!AM37="Row Not Used","",Measures!G37)</f>
        <v/>
      </c>
      <c r="E37" s="443" t="str">
        <f>IF(Measures!AM37="Row Not Used","",Measures!H37)</f>
        <v/>
      </c>
      <c r="F37" s="450" t="str">
        <f>IF(Measures!AM37="Row Not Used","",Measures!I37)</f>
        <v/>
      </c>
      <c r="G37" s="426" t="str">
        <f>IF(OR(Measures!AM37="Row Not Used",Measures!C37="Controls Only",Measures!C37="Decommissioning"),"",_xlfn.CONCAT(Measures!K37," - ",Measures!L37))</f>
        <v/>
      </c>
      <c r="H37" s="442" t="str">
        <f>IF(OR(Measures!AM37="Row Not Used",Measures!C37="Controls Only",Measures!C37="Decommissioning"),"",Measures!M37)</f>
        <v/>
      </c>
      <c r="I37" s="443" t="str">
        <f>IF(OR(Measures!AM37="Row Not Used",Measures!C37="Controls Only",Measures!C37="Decommissioning"),"",Measures!N37)</f>
        <v/>
      </c>
      <c r="J37" s="444" t="str">
        <f>IF(OR(Measures!AM37="Row Not Used",Measures!C37="Controls Only",Measures!C37="Decommissioning"),"",Measures!O37)</f>
        <v/>
      </c>
      <c r="K37" s="425" t="str">
        <f>IF(OR(Measures!AM37="Row Not Used",Measures!C37="Controls Only",Measures!C37="Decommissioning"),"",Measures!AS37)</f>
        <v/>
      </c>
      <c r="L37" s="426" t="str">
        <f>IF(OR(Measures!AM37="Row Not Used",Measures!AM37="Decommissioning",ISBLANK(Measures!R37)),"",Measures!R37)</f>
        <v/>
      </c>
      <c r="M37" s="431" t="str">
        <f>IF(OR(Measures!AM37="Row Not Used",Measures!AM37="Fixtures Only",Measures!AM37="Decommissioning"),"",Measures!S37)</f>
        <v/>
      </c>
      <c r="N37" s="432" t="str">
        <f>IF(Measures!AM37="Row Not Used","",Measures!AF37)</f>
        <v/>
      </c>
      <c r="O37" s="426" t="str">
        <f>IF(Measures!AM37="Row Not Used","",Measures!C37)</f>
        <v/>
      </c>
      <c r="P37" s="133" t="str">
        <f t="shared" si="0"/>
        <v>No</v>
      </c>
    </row>
    <row r="38" spans="1:16" ht="75.599999999999994" customHeight="1" x14ac:dyDescent="0.3">
      <c r="A38" s="454">
        <f>Measures!A38</f>
        <v>31</v>
      </c>
      <c r="B38" s="425" t="str">
        <f>IF(Measures!AM38="Row Not Used","",IF(ISBLANK(Measures!V38),Measures!B38,_xlfn.CONCAT(Measures!B38," - ",Measures!V38)))</f>
        <v/>
      </c>
      <c r="C38" s="426" t="str">
        <f>IF(Measures!AM38="Row Not Used","",_xlfn.CONCAT(Measures!D38," - ",Measures!E38," - ",Measures!F38))</f>
        <v/>
      </c>
      <c r="D38" s="442" t="str">
        <f>IF(Measures!AM38="Row Not Used","",Measures!G38)</f>
        <v/>
      </c>
      <c r="E38" s="443" t="str">
        <f>IF(Measures!AM38="Row Not Used","",Measures!H38)</f>
        <v/>
      </c>
      <c r="F38" s="450" t="str">
        <f>IF(Measures!AM38="Row Not Used","",Measures!I38)</f>
        <v/>
      </c>
      <c r="G38" s="426" t="str">
        <f>IF(OR(Measures!AM38="Row Not Used",Measures!C38="Controls Only",Measures!C38="Decommissioning"),"",_xlfn.CONCAT(Measures!K38," - ",Measures!L38))</f>
        <v/>
      </c>
      <c r="H38" s="442" t="str">
        <f>IF(OR(Measures!AM38="Row Not Used",Measures!C38="Controls Only",Measures!C38="Decommissioning"),"",Measures!M38)</f>
        <v/>
      </c>
      <c r="I38" s="443" t="str">
        <f>IF(OR(Measures!AM38="Row Not Used",Measures!C38="Controls Only",Measures!C38="Decommissioning"),"",Measures!N38)</f>
        <v/>
      </c>
      <c r="J38" s="444" t="str">
        <f>IF(OR(Measures!AM38="Row Not Used",Measures!C38="Controls Only",Measures!C38="Decommissioning"),"",Measures!O38)</f>
        <v/>
      </c>
      <c r="K38" s="425" t="str">
        <f>IF(OR(Measures!AM38="Row Not Used",Measures!C38="Controls Only",Measures!C38="Decommissioning"),"",Measures!AS38)</f>
        <v/>
      </c>
      <c r="L38" s="426" t="str">
        <f>IF(OR(Measures!AM38="Row Not Used",Measures!AM38="Decommissioning",ISBLANK(Measures!R38)),"",Measures!R38)</f>
        <v/>
      </c>
      <c r="M38" s="431" t="str">
        <f>IF(OR(Measures!AM38="Row Not Used",Measures!AM38="Fixtures Only",Measures!AM38="Decommissioning"),"",Measures!S38)</f>
        <v/>
      </c>
      <c r="N38" s="432" t="str">
        <f>IF(Measures!AM38="Row Not Used","",Measures!AF38)</f>
        <v/>
      </c>
      <c r="O38" s="426" t="str">
        <f>IF(Measures!AM38="Row Not Used","",Measures!C38)</f>
        <v/>
      </c>
      <c r="P38" s="133" t="str">
        <f t="shared" si="0"/>
        <v>No</v>
      </c>
    </row>
    <row r="39" spans="1:16" ht="75.599999999999994" customHeight="1" x14ac:dyDescent="0.3">
      <c r="A39" s="454">
        <f>Measures!A39</f>
        <v>32</v>
      </c>
      <c r="B39" s="425" t="str">
        <f>IF(Measures!AM39="Row Not Used","",IF(ISBLANK(Measures!V39),Measures!B39,_xlfn.CONCAT(Measures!B39," - ",Measures!V39)))</f>
        <v/>
      </c>
      <c r="C39" s="426" t="str">
        <f>IF(Measures!AM39="Row Not Used","",_xlfn.CONCAT(Measures!D39," - ",Measures!E39," - ",Measures!F39))</f>
        <v/>
      </c>
      <c r="D39" s="442" t="str">
        <f>IF(Measures!AM39="Row Not Used","",Measures!G39)</f>
        <v/>
      </c>
      <c r="E39" s="443" t="str">
        <f>IF(Measures!AM39="Row Not Used","",Measures!H39)</f>
        <v/>
      </c>
      <c r="F39" s="450" t="str">
        <f>IF(Measures!AM39="Row Not Used","",Measures!I39)</f>
        <v/>
      </c>
      <c r="G39" s="426" t="str">
        <f>IF(OR(Measures!AM39="Row Not Used",Measures!C39="Controls Only",Measures!C39="Decommissioning"),"",_xlfn.CONCAT(Measures!K39," - ",Measures!L39))</f>
        <v/>
      </c>
      <c r="H39" s="442" t="str">
        <f>IF(OR(Measures!AM39="Row Not Used",Measures!C39="Controls Only",Measures!C39="Decommissioning"),"",Measures!M39)</f>
        <v/>
      </c>
      <c r="I39" s="443" t="str">
        <f>IF(OR(Measures!AM39="Row Not Used",Measures!C39="Controls Only",Measures!C39="Decommissioning"),"",Measures!N39)</f>
        <v/>
      </c>
      <c r="J39" s="444" t="str">
        <f>IF(OR(Measures!AM39="Row Not Used",Measures!C39="Controls Only",Measures!C39="Decommissioning"),"",Measures!O39)</f>
        <v/>
      </c>
      <c r="K39" s="425" t="str">
        <f>IF(OR(Measures!AM39="Row Not Used",Measures!C39="Controls Only",Measures!C39="Decommissioning"),"",Measures!AS39)</f>
        <v/>
      </c>
      <c r="L39" s="426" t="str">
        <f>IF(OR(Measures!AM39="Row Not Used",Measures!AM39="Decommissioning",ISBLANK(Measures!R39)),"",Measures!R39)</f>
        <v/>
      </c>
      <c r="M39" s="431" t="str">
        <f>IF(OR(Measures!AM39="Row Not Used",Measures!AM39="Fixtures Only",Measures!AM39="Decommissioning"),"",Measures!S39)</f>
        <v/>
      </c>
      <c r="N39" s="432" t="str">
        <f>IF(Measures!AM39="Row Not Used","",Measures!AF39)</f>
        <v/>
      </c>
      <c r="O39" s="426" t="str">
        <f>IF(Measures!AM39="Row Not Used","",Measures!C39)</f>
        <v/>
      </c>
      <c r="P39" s="133" t="str">
        <f t="shared" si="0"/>
        <v>No</v>
      </c>
    </row>
    <row r="40" spans="1:16" ht="75.599999999999994" customHeight="1" x14ac:dyDescent="0.3">
      <c r="A40" s="454">
        <f>Measures!A40</f>
        <v>33</v>
      </c>
      <c r="B40" s="425" t="str">
        <f>IF(Measures!AM40="Row Not Used","",IF(ISBLANK(Measures!V40),Measures!B40,_xlfn.CONCAT(Measures!B40," - ",Measures!V40)))</f>
        <v/>
      </c>
      <c r="C40" s="426" t="str">
        <f>IF(Measures!AM40="Row Not Used","",_xlfn.CONCAT(Measures!D40," - ",Measures!E40," - ",Measures!F40))</f>
        <v/>
      </c>
      <c r="D40" s="442" t="str">
        <f>IF(Measures!AM40="Row Not Used","",Measures!G40)</f>
        <v/>
      </c>
      <c r="E40" s="443" t="str">
        <f>IF(Measures!AM40="Row Not Used","",Measures!H40)</f>
        <v/>
      </c>
      <c r="F40" s="450" t="str">
        <f>IF(Measures!AM40="Row Not Used","",Measures!I40)</f>
        <v/>
      </c>
      <c r="G40" s="426" t="str">
        <f>IF(OR(Measures!AM40="Row Not Used",Measures!C40="Controls Only",Measures!C40="Decommissioning"),"",_xlfn.CONCAT(Measures!K40," - ",Measures!L40))</f>
        <v/>
      </c>
      <c r="H40" s="442" t="str">
        <f>IF(OR(Measures!AM40="Row Not Used",Measures!C40="Controls Only",Measures!C40="Decommissioning"),"",Measures!M40)</f>
        <v/>
      </c>
      <c r="I40" s="443" t="str">
        <f>IF(OR(Measures!AM40="Row Not Used",Measures!C40="Controls Only",Measures!C40="Decommissioning"),"",Measures!N40)</f>
        <v/>
      </c>
      <c r="J40" s="444" t="str">
        <f>IF(OR(Measures!AM40="Row Not Used",Measures!C40="Controls Only",Measures!C40="Decommissioning"),"",Measures!O40)</f>
        <v/>
      </c>
      <c r="K40" s="425" t="str">
        <f>IF(OR(Measures!AM40="Row Not Used",Measures!C40="Controls Only",Measures!C40="Decommissioning"),"",Measures!AS40)</f>
        <v/>
      </c>
      <c r="L40" s="426" t="str">
        <f>IF(OR(Measures!AM40="Row Not Used",Measures!AM40="Decommissioning",ISBLANK(Measures!R40)),"",Measures!R40)</f>
        <v/>
      </c>
      <c r="M40" s="431" t="str">
        <f>IF(OR(Measures!AM40="Row Not Used",Measures!AM40="Fixtures Only",Measures!AM40="Decommissioning"),"",Measures!S40)</f>
        <v/>
      </c>
      <c r="N40" s="432" t="str">
        <f>IF(Measures!AM40="Row Not Used","",Measures!AF40)</f>
        <v/>
      </c>
      <c r="O40" s="426" t="str">
        <f>IF(Measures!AM40="Row Not Used","",Measures!C40)</f>
        <v/>
      </c>
      <c r="P40" s="133" t="str">
        <f t="shared" si="0"/>
        <v>No</v>
      </c>
    </row>
    <row r="41" spans="1:16" ht="75.599999999999994" customHeight="1" x14ac:dyDescent="0.3">
      <c r="A41" s="454">
        <f>Measures!A41</f>
        <v>34</v>
      </c>
      <c r="B41" s="425" t="str">
        <f>IF(Measures!AM41="Row Not Used","",IF(ISBLANK(Measures!V41),Measures!B41,_xlfn.CONCAT(Measures!B41," - ",Measures!V41)))</f>
        <v/>
      </c>
      <c r="C41" s="426" t="str">
        <f>IF(Measures!AM41="Row Not Used","",_xlfn.CONCAT(Measures!D41," - ",Measures!E41," - ",Measures!F41))</f>
        <v/>
      </c>
      <c r="D41" s="442" t="str">
        <f>IF(Measures!AM41="Row Not Used","",Measures!G41)</f>
        <v/>
      </c>
      <c r="E41" s="443" t="str">
        <f>IF(Measures!AM41="Row Not Used","",Measures!H41)</f>
        <v/>
      </c>
      <c r="F41" s="450" t="str">
        <f>IF(Measures!AM41="Row Not Used","",Measures!I41)</f>
        <v/>
      </c>
      <c r="G41" s="426" t="str">
        <f>IF(OR(Measures!AM41="Row Not Used",Measures!C41="Controls Only",Measures!C41="Decommissioning"),"",_xlfn.CONCAT(Measures!K41," - ",Measures!L41))</f>
        <v/>
      </c>
      <c r="H41" s="442" t="str">
        <f>IF(OR(Measures!AM41="Row Not Used",Measures!C41="Controls Only",Measures!C41="Decommissioning"),"",Measures!M41)</f>
        <v/>
      </c>
      <c r="I41" s="443" t="str">
        <f>IF(OR(Measures!AM41="Row Not Used",Measures!C41="Controls Only",Measures!C41="Decommissioning"),"",Measures!N41)</f>
        <v/>
      </c>
      <c r="J41" s="444" t="str">
        <f>IF(OR(Measures!AM41="Row Not Used",Measures!C41="Controls Only",Measures!C41="Decommissioning"),"",Measures!O41)</f>
        <v/>
      </c>
      <c r="K41" s="425" t="str">
        <f>IF(OR(Measures!AM41="Row Not Used",Measures!C41="Controls Only",Measures!C41="Decommissioning"),"",Measures!AS41)</f>
        <v/>
      </c>
      <c r="L41" s="426" t="str">
        <f>IF(OR(Measures!AM41="Row Not Used",Measures!AM41="Decommissioning",ISBLANK(Measures!R41)),"",Measures!R41)</f>
        <v/>
      </c>
      <c r="M41" s="431" t="str">
        <f>IF(OR(Measures!AM41="Row Not Used",Measures!AM41="Fixtures Only",Measures!AM41="Decommissioning"),"",Measures!S41)</f>
        <v/>
      </c>
      <c r="N41" s="432" t="str">
        <f>IF(Measures!AM41="Row Not Used","",Measures!AF41)</f>
        <v/>
      </c>
      <c r="O41" s="426" t="str">
        <f>IF(Measures!AM41="Row Not Used","",Measures!C41)</f>
        <v/>
      </c>
      <c r="P41" s="133" t="str">
        <f t="shared" si="0"/>
        <v>No</v>
      </c>
    </row>
    <row r="42" spans="1:16" ht="75.599999999999994" customHeight="1" x14ac:dyDescent="0.3">
      <c r="A42" s="454">
        <f>Measures!A42</f>
        <v>35</v>
      </c>
      <c r="B42" s="425" t="str">
        <f>IF(Measures!AM42="Row Not Used","",IF(ISBLANK(Measures!V42),Measures!B42,_xlfn.CONCAT(Measures!B42," - ",Measures!V42)))</f>
        <v/>
      </c>
      <c r="C42" s="426" t="str">
        <f>IF(Measures!AM42="Row Not Used","",_xlfn.CONCAT(Measures!D42," - ",Measures!E42," - ",Measures!F42))</f>
        <v/>
      </c>
      <c r="D42" s="442" t="str">
        <f>IF(Measures!AM42="Row Not Used","",Measures!G42)</f>
        <v/>
      </c>
      <c r="E42" s="443" t="str">
        <f>IF(Measures!AM42="Row Not Used","",Measures!H42)</f>
        <v/>
      </c>
      <c r="F42" s="450" t="str">
        <f>IF(Measures!AM42="Row Not Used","",Measures!I42)</f>
        <v/>
      </c>
      <c r="G42" s="426" t="str">
        <f>IF(OR(Measures!AM42="Row Not Used",Measures!C42="Controls Only",Measures!C42="Decommissioning"),"",_xlfn.CONCAT(Measures!K42," - ",Measures!L42))</f>
        <v/>
      </c>
      <c r="H42" s="442" t="str">
        <f>IF(OR(Measures!AM42="Row Not Used",Measures!C42="Controls Only",Measures!C42="Decommissioning"),"",Measures!M42)</f>
        <v/>
      </c>
      <c r="I42" s="443" t="str">
        <f>IF(OR(Measures!AM42="Row Not Used",Measures!C42="Controls Only",Measures!C42="Decommissioning"),"",Measures!N42)</f>
        <v/>
      </c>
      <c r="J42" s="444" t="str">
        <f>IF(OR(Measures!AM42="Row Not Used",Measures!C42="Controls Only",Measures!C42="Decommissioning"),"",Measures!O42)</f>
        <v/>
      </c>
      <c r="K42" s="425" t="str">
        <f>IF(OR(Measures!AM42="Row Not Used",Measures!C42="Controls Only",Measures!C42="Decommissioning"),"",Measures!AS42)</f>
        <v/>
      </c>
      <c r="L42" s="426" t="str">
        <f>IF(OR(Measures!AM42="Row Not Used",Measures!AM42="Decommissioning",ISBLANK(Measures!R42)),"",Measures!R42)</f>
        <v/>
      </c>
      <c r="M42" s="431" t="str">
        <f>IF(OR(Measures!AM42="Row Not Used",Measures!AM42="Fixtures Only",Measures!AM42="Decommissioning"),"",Measures!S42)</f>
        <v/>
      </c>
      <c r="N42" s="432" t="str">
        <f>IF(Measures!AM42="Row Not Used","",Measures!AF42)</f>
        <v/>
      </c>
      <c r="O42" s="426" t="str">
        <f>IF(Measures!AM42="Row Not Used","",Measures!C42)</f>
        <v/>
      </c>
      <c r="P42" s="133" t="str">
        <f t="shared" si="0"/>
        <v>No</v>
      </c>
    </row>
    <row r="43" spans="1:16" ht="75.599999999999994" customHeight="1" x14ac:dyDescent="0.3">
      <c r="A43" s="454">
        <f>Measures!A43</f>
        <v>36</v>
      </c>
      <c r="B43" s="425" t="str">
        <f>IF(Measures!AM43="Row Not Used","",IF(ISBLANK(Measures!V43),Measures!B43,_xlfn.CONCAT(Measures!B43," - ",Measures!V43)))</f>
        <v/>
      </c>
      <c r="C43" s="426" t="str">
        <f>IF(Measures!AM43="Row Not Used","",_xlfn.CONCAT(Measures!D43," - ",Measures!E43," - ",Measures!F43))</f>
        <v/>
      </c>
      <c r="D43" s="442" t="str">
        <f>IF(Measures!AM43="Row Not Used","",Measures!G43)</f>
        <v/>
      </c>
      <c r="E43" s="443" t="str">
        <f>IF(Measures!AM43="Row Not Used","",Measures!H43)</f>
        <v/>
      </c>
      <c r="F43" s="450" t="str">
        <f>IF(Measures!AM43="Row Not Used","",Measures!I43)</f>
        <v/>
      </c>
      <c r="G43" s="426" t="str">
        <f>IF(OR(Measures!AM43="Row Not Used",Measures!C43="Controls Only",Measures!C43="Decommissioning"),"",_xlfn.CONCAT(Measures!K43," - ",Measures!L43))</f>
        <v/>
      </c>
      <c r="H43" s="442" t="str">
        <f>IF(OR(Measures!AM43="Row Not Used",Measures!C43="Controls Only",Measures!C43="Decommissioning"),"",Measures!M43)</f>
        <v/>
      </c>
      <c r="I43" s="443" t="str">
        <f>IF(OR(Measures!AM43="Row Not Used",Measures!C43="Controls Only",Measures!C43="Decommissioning"),"",Measures!N43)</f>
        <v/>
      </c>
      <c r="J43" s="444" t="str">
        <f>IF(OR(Measures!AM43="Row Not Used",Measures!C43="Controls Only",Measures!C43="Decommissioning"),"",Measures!O43)</f>
        <v/>
      </c>
      <c r="K43" s="425" t="str">
        <f>IF(OR(Measures!AM43="Row Not Used",Measures!C43="Controls Only",Measures!C43="Decommissioning"),"",Measures!AS43)</f>
        <v/>
      </c>
      <c r="L43" s="426" t="str">
        <f>IF(OR(Measures!AM43="Row Not Used",Measures!AM43="Decommissioning",ISBLANK(Measures!R43)),"",Measures!R43)</f>
        <v/>
      </c>
      <c r="M43" s="431" t="str">
        <f>IF(OR(Measures!AM43="Row Not Used",Measures!AM43="Fixtures Only",Measures!AM43="Decommissioning"),"",Measures!S43)</f>
        <v/>
      </c>
      <c r="N43" s="432" t="str">
        <f>IF(Measures!AM43="Row Not Used","",Measures!AF43)</f>
        <v/>
      </c>
      <c r="O43" s="426" t="str">
        <f>IF(Measures!AM43="Row Not Used","",Measures!C43)</f>
        <v/>
      </c>
      <c r="P43" s="133" t="str">
        <f t="shared" si="0"/>
        <v>No</v>
      </c>
    </row>
    <row r="44" spans="1:16" ht="75.599999999999994" customHeight="1" x14ac:dyDescent="0.3">
      <c r="A44" s="454">
        <f>Measures!A44</f>
        <v>37</v>
      </c>
      <c r="B44" s="425" t="str">
        <f>IF(Measures!AM44="Row Not Used","",IF(ISBLANK(Measures!V44),Measures!B44,_xlfn.CONCAT(Measures!B44," - ",Measures!V44)))</f>
        <v/>
      </c>
      <c r="C44" s="426" t="str">
        <f>IF(Measures!AM44="Row Not Used","",_xlfn.CONCAT(Measures!D44," - ",Measures!E44," - ",Measures!F44))</f>
        <v/>
      </c>
      <c r="D44" s="442" t="str">
        <f>IF(Measures!AM44="Row Not Used","",Measures!G44)</f>
        <v/>
      </c>
      <c r="E44" s="443" t="str">
        <f>IF(Measures!AM44="Row Not Used","",Measures!H44)</f>
        <v/>
      </c>
      <c r="F44" s="450" t="str">
        <f>IF(Measures!AM44="Row Not Used","",Measures!I44)</f>
        <v/>
      </c>
      <c r="G44" s="426" t="str">
        <f>IF(OR(Measures!AM44="Row Not Used",Measures!C44="Controls Only",Measures!C44="Decommissioning"),"",_xlfn.CONCAT(Measures!K44," - ",Measures!L44))</f>
        <v/>
      </c>
      <c r="H44" s="442" t="str">
        <f>IF(OR(Measures!AM44="Row Not Used",Measures!C44="Controls Only",Measures!C44="Decommissioning"),"",Measures!M44)</f>
        <v/>
      </c>
      <c r="I44" s="443" t="str">
        <f>IF(OR(Measures!AM44="Row Not Used",Measures!C44="Controls Only",Measures!C44="Decommissioning"),"",Measures!N44)</f>
        <v/>
      </c>
      <c r="J44" s="444" t="str">
        <f>IF(OR(Measures!AM44="Row Not Used",Measures!C44="Controls Only",Measures!C44="Decommissioning"),"",Measures!O44)</f>
        <v/>
      </c>
      <c r="K44" s="425" t="str">
        <f>IF(OR(Measures!AM44="Row Not Used",Measures!C44="Controls Only",Measures!C44="Decommissioning"),"",Measures!AS44)</f>
        <v/>
      </c>
      <c r="L44" s="426" t="str">
        <f>IF(OR(Measures!AM44="Row Not Used",Measures!AM44="Decommissioning",ISBLANK(Measures!R44)),"",Measures!R44)</f>
        <v/>
      </c>
      <c r="M44" s="431" t="str">
        <f>IF(OR(Measures!AM44="Row Not Used",Measures!AM44="Fixtures Only",Measures!AM44="Decommissioning"),"",Measures!S44)</f>
        <v/>
      </c>
      <c r="N44" s="432" t="str">
        <f>IF(Measures!AM44="Row Not Used","",Measures!AF44)</f>
        <v/>
      </c>
      <c r="O44" s="426" t="str">
        <f>IF(Measures!AM44="Row Not Used","",Measures!C44)</f>
        <v/>
      </c>
      <c r="P44" s="133" t="str">
        <f t="shared" si="0"/>
        <v>No</v>
      </c>
    </row>
    <row r="45" spans="1:16" ht="75.599999999999994" customHeight="1" x14ac:dyDescent="0.3">
      <c r="A45" s="454">
        <f>Measures!A45</f>
        <v>38</v>
      </c>
      <c r="B45" s="425" t="str">
        <f>IF(Measures!AM45="Row Not Used","",IF(ISBLANK(Measures!V45),Measures!B45,_xlfn.CONCAT(Measures!B45," - ",Measures!V45)))</f>
        <v/>
      </c>
      <c r="C45" s="426" t="str">
        <f>IF(Measures!AM45="Row Not Used","",_xlfn.CONCAT(Measures!D45," - ",Measures!E45," - ",Measures!F45))</f>
        <v/>
      </c>
      <c r="D45" s="442" t="str">
        <f>IF(Measures!AM45="Row Not Used","",Measures!G45)</f>
        <v/>
      </c>
      <c r="E45" s="443" t="str">
        <f>IF(Measures!AM45="Row Not Used","",Measures!H45)</f>
        <v/>
      </c>
      <c r="F45" s="450" t="str">
        <f>IF(Measures!AM45="Row Not Used","",Measures!I45)</f>
        <v/>
      </c>
      <c r="G45" s="426" t="str">
        <f>IF(OR(Measures!AM45="Row Not Used",Measures!C45="Controls Only",Measures!C45="Decommissioning"),"",_xlfn.CONCAT(Measures!K45," - ",Measures!L45))</f>
        <v/>
      </c>
      <c r="H45" s="442" t="str">
        <f>IF(OR(Measures!AM45="Row Not Used",Measures!C45="Controls Only",Measures!C45="Decommissioning"),"",Measures!M45)</f>
        <v/>
      </c>
      <c r="I45" s="443" t="str">
        <f>IF(OR(Measures!AM45="Row Not Used",Measures!C45="Controls Only",Measures!C45="Decommissioning"),"",Measures!N45)</f>
        <v/>
      </c>
      <c r="J45" s="444" t="str">
        <f>IF(OR(Measures!AM45="Row Not Used",Measures!C45="Controls Only",Measures!C45="Decommissioning"),"",Measures!O45)</f>
        <v/>
      </c>
      <c r="K45" s="425" t="str">
        <f>IF(OR(Measures!AM45="Row Not Used",Measures!C45="Controls Only",Measures!C45="Decommissioning"),"",Measures!AS45)</f>
        <v/>
      </c>
      <c r="L45" s="426" t="str">
        <f>IF(OR(Measures!AM45="Row Not Used",Measures!AM45="Decommissioning",ISBLANK(Measures!R45)),"",Measures!R45)</f>
        <v/>
      </c>
      <c r="M45" s="431" t="str">
        <f>IF(OR(Measures!AM45="Row Not Used",Measures!AM45="Fixtures Only",Measures!AM45="Decommissioning"),"",Measures!S45)</f>
        <v/>
      </c>
      <c r="N45" s="432" t="str">
        <f>IF(Measures!AM45="Row Not Used","",Measures!AF45)</f>
        <v/>
      </c>
      <c r="O45" s="426" t="str">
        <f>IF(Measures!AM45="Row Not Used","",Measures!C45)</f>
        <v/>
      </c>
      <c r="P45" s="133" t="str">
        <f t="shared" si="0"/>
        <v>No</v>
      </c>
    </row>
    <row r="46" spans="1:16" ht="75.599999999999994" customHeight="1" x14ac:dyDescent="0.3">
      <c r="A46" s="454">
        <f>Measures!A46</f>
        <v>39</v>
      </c>
      <c r="B46" s="425" t="str">
        <f>IF(Measures!AM46="Row Not Used","",IF(ISBLANK(Measures!V46),Measures!B46,_xlfn.CONCAT(Measures!B46," - ",Measures!V46)))</f>
        <v/>
      </c>
      <c r="C46" s="426" t="str">
        <f>IF(Measures!AM46="Row Not Used","",_xlfn.CONCAT(Measures!D46," - ",Measures!E46," - ",Measures!F46))</f>
        <v/>
      </c>
      <c r="D46" s="442" t="str">
        <f>IF(Measures!AM46="Row Not Used","",Measures!G46)</f>
        <v/>
      </c>
      <c r="E46" s="443" t="str">
        <f>IF(Measures!AM46="Row Not Used","",Measures!H46)</f>
        <v/>
      </c>
      <c r="F46" s="450" t="str">
        <f>IF(Measures!AM46="Row Not Used","",Measures!I46)</f>
        <v/>
      </c>
      <c r="G46" s="426" t="str">
        <f>IF(OR(Measures!AM46="Row Not Used",Measures!C46="Controls Only",Measures!C46="Decommissioning"),"",_xlfn.CONCAT(Measures!K46," - ",Measures!L46))</f>
        <v/>
      </c>
      <c r="H46" s="442" t="str">
        <f>IF(OR(Measures!AM46="Row Not Used",Measures!C46="Controls Only",Measures!C46="Decommissioning"),"",Measures!M46)</f>
        <v/>
      </c>
      <c r="I46" s="443" t="str">
        <f>IF(OR(Measures!AM46="Row Not Used",Measures!C46="Controls Only",Measures!C46="Decommissioning"),"",Measures!N46)</f>
        <v/>
      </c>
      <c r="J46" s="444" t="str">
        <f>IF(OR(Measures!AM46="Row Not Used",Measures!C46="Controls Only",Measures!C46="Decommissioning"),"",Measures!O46)</f>
        <v/>
      </c>
      <c r="K46" s="425" t="str">
        <f>IF(OR(Measures!AM46="Row Not Used",Measures!C46="Controls Only",Measures!C46="Decommissioning"),"",Measures!AS46)</f>
        <v/>
      </c>
      <c r="L46" s="426" t="str">
        <f>IF(OR(Measures!AM46="Row Not Used",Measures!AM46="Decommissioning",ISBLANK(Measures!R46)),"",Measures!R46)</f>
        <v/>
      </c>
      <c r="M46" s="431" t="str">
        <f>IF(OR(Measures!AM46="Row Not Used",Measures!AM46="Fixtures Only",Measures!AM46="Decommissioning"),"",Measures!S46)</f>
        <v/>
      </c>
      <c r="N46" s="432" t="str">
        <f>IF(Measures!AM46="Row Not Used","",Measures!AF46)</f>
        <v/>
      </c>
      <c r="O46" s="426" t="str">
        <f>IF(Measures!AM46="Row Not Used","",Measures!C46)</f>
        <v/>
      </c>
      <c r="P46" s="133" t="str">
        <f t="shared" si="0"/>
        <v>No</v>
      </c>
    </row>
    <row r="47" spans="1:16" ht="75.599999999999994" customHeight="1" x14ac:dyDescent="0.3">
      <c r="A47" s="454">
        <f>Measures!A47</f>
        <v>40</v>
      </c>
      <c r="B47" s="425" t="str">
        <f>IF(Measures!AM47="Row Not Used","",IF(ISBLANK(Measures!V47),Measures!B47,_xlfn.CONCAT(Measures!B47," - ",Measures!V47)))</f>
        <v/>
      </c>
      <c r="C47" s="426" t="str">
        <f>IF(Measures!AM47="Row Not Used","",_xlfn.CONCAT(Measures!D47," - ",Measures!E47," - ",Measures!F47))</f>
        <v/>
      </c>
      <c r="D47" s="442" t="str">
        <f>IF(Measures!AM47="Row Not Used","",Measures!G47)</f>
        <v/>
      </c>
      <c r="E47" s="443" t="str">
        <f>IF(Measures!AM47="Row Not Used","",Measures!H47)</f>
        <v/>
      </c>
      <c r="F47" s="450" t="str">
        <f>IF(Measures!AM47="Row Not Used","",Measures!I47)</f>
        <v/>
      </c>
      <c r="G47" s="426" t="str">
        <f>IF(OR(Measures!AM47="Row Not Used",Measures!C47="Controls Only",Measures!C47="Decommissioning"),"",_xlfn.CONCAT(Measures!K47," - ",Measures!L47))</f>
        <v/>
      </c>
      <c r="H47" s="442" t="str">
        <f>IF(OR(Measures!AM47="Row Not Used",Measures!C47="Controls Only",Measures!C47="Decommissioning"),"",Measures!M47)</f>
        <v/>
      </c>
      <c r="I47" s="443" t="str">
        <f>IF(OR(Measures!AM47="Row Not Used",Measures!C47="Controls Only",Measures!C47="Decommissioning"),"",Measures!N47)</f>
        <v/>
      </c>
      <c r="J47" s="444" t="str">
        <f>IF(OR(Measures!AM47="Row Not Used",Measures!C47="Controls Only",Measures!C47="Decommissioning"),"",Measures!O47)</f>
        <v/>
      </c>
      <c r="K47" s="425" t="str">
        <f>IF(OR(Measures!AM47="Row Not Used",Measures!C47="Controls Only",Measures!C47="Decommissioning"),"",Measures!AS47)</f>
        <v/>
      </c>
      <c r="L47" s="426" t="str">
        <f>IF(OR(Measures!AM47="Row Not Used",Measures!AM47="Decommissioning",ISBLANK(Measures!R47)),"",Measures!R47)</f>
        <v/>
      </c>
      <c r="M47" s="431" t="str">
        <f>IF(OR(Measures!AM47="Row Not Used",Measures!AM47="Fixtures Only",Measures!AM47="Decommissioning"),"",Measures!S47)</f>
        <v/>
      </c>
      <c r="N47" s="432" t="str">
        <f>IF(Measures!AM47="Row Not Used","",Measures!AF47)</f>
        <v/>
      </c>
      <c r="O47" s="426" t="str">
        <f>IF(Measures!AM47="Row Not Used","",Measures!C47)</f>
        <v/>
      </c>
      <c r="P47" s="133" t="str">
        <f t="shared" si="0"/>
        <v>No</v>
      </c>
    </row>
    <row r="48" spans="1:16" ht="75.599999999999994" customHeight="1" x14ac:dyDescent="0.3">
      <c r="A48" s="454">
        <f>Measures!A48</f>
        <v>41</v>
      </c>
      <c r="B48" s="425" t="str">
        <f>IF(Measures!AM48="Row Not Used","",IF(ISBLANK(Measures!V48),Measures!B48,_xlfn.CONCAT(Measures!B48," - ",Measures!V48)))</f>
        <v/>
      </c>
      <c r="C48" s="426" t="str">
        <f>IF(Measures!AM48="Row Not Used","",_xlfn.CONCAT(Measures!D48," - ",Measures!E48," - ",Measures!F48))</f>
        <v/>
      </c>
      <c r="D48" s="442" t="str">
        <f>IF(Measures!AM48="Row Not Used","",Measures!G48)</f>
        <v/>
      </c>
      <c r="E48" s="443" t="str">
        <f>IF(Measures!AM48="Row Not Used","",Measures!H48)</f>
        <v/>
      </c>
      <c r="F48" s="450" t="str">
        <f>IF(Measures!AM48="Row Not Used","",Measures!I48)</f>
        <v/>
      </c>
      <c r="G48" s="426" t="str">
        <f>IF(OR(Measures!AM48="Row Not Used",Measures!C48="Controls Only",Measures!C48="Decommissioning"),"",_xlfn.CONCAT(Measures!K48," - ",Measures!L48))</f>
        <v/>
      </c>
      <c r="H48" s="442" t="str">
        <f>IF(OR(Measures!AM48="Row Not Used",Measures!C48="Controls Only",Measures!C48="Decommissioning"),"",Measures!M48)</f>
        <v/>
      </c>
      <c r="I48" s="443" t="str">
        <f>IF(OR(Measures!AM48="Row Not Used",Measures!C48="Controls Only",Measures!C48="Decommissioning"),"",Measures!N48)</f>
        <v/>
      </c>
      <c r="J48" s="444" t="str">
        <f>IF(OR(Measures!AM48="Row Not Used",Measures!C48="Controls Only",Measures!C48="Decommissioning"),"",Measures!O48)</f>
        <v/>
      </c>
      <c r="K48" s="425" t="str">
        <f>IF(OR(Measures!AM48="Row Not Used",Measures!C48="Controls Only",Measures!C48="Decommissioning"),"",Measures!AS48)</f>
        <v/>
      </c>
      <c r="L48" s="426" t="str">
        <f>IF(OR(Measures!AM48="Row Not Used",Measures!AM48="Decommissioning",ISBLANK(Measures!R48)),"",Measures!R48)</f>
        <v/>
      </c>
      <c r="M48" s="431" t="str">
        <f>IF(OR(Measures!AM48="Row Not Used",Measures!AM48="Fixtures Only",Measures!AM48="Decommissioning"),"",Measures!S48)</f>
        <v/>
      </c>
      <c r="N48" s="432" t="str">
        <f>IF(Measures!AM48="Row Not Used","",Measures!AF48)</f>
        <v/>
      </c>
      <c r="O48" s="426" t="str">
        <f>IF(Measures!AM48="Row Not Used","",Measures!C48)</f>
        <v/>
      </c>
      <c r="P48" s="133" t="str">
        <f t="shared" si="0"/>
        <v>No</v>
      </c>
    </row>
    <row r="49" spans="1:16" ht="75.599999999999994" customHeight="1" x14ac:dyDescent="0.3">
      <c r="A49" s="454">
        <f>Measures!A49</f>
        <v>42</v>
      </c>
      <c r="B49" s="425" t="str">
        <f>IF(Measures!AM49="Row Not Used","",IF(ISBLANK(Measures!V49),Measures!B49,_xlfn.CONCAT(Measures!B49," - ",Measures!V49)))</f>
        <v/>
      </c>
      <c r="C49" s="426" t="str">
        <f>IF(Measures!AM49="Row Not Used","",_xlfn.CONCAT(Measures!D49," - ",Measures!E49," - ",Measures!F49))</f>
        <v/>
      </c>
      <c r="D49" s="442" t="str">
        <f>IF(Measures!AM49="Row Not Used","",Measures!G49)</f>
        <v/>
      </c>
      <c r="E49" s="443" t="str">
        <f>IF(Measures!AM49="Row Not Used","",Measures!H49)</f>
        <v/>
      </c>
      <c r="F49" s="450" t="str">
        <f>IF(Measures!AM49="Row Not Used","",Measures!I49)</f>
        <v/>
      </c>
      <c r="G49" s="426" t="str">
        <f>IF(OR(Measures!AM49="Row Not Used",Measures!C49="Controls Only",Measures!C49="Decommissioning"),"",_xlfn.CONCAT(Measures!K49," - ",Measures!L49))</f>
        <v/>
      </c>
      <c r="H49" s="442" t="str">
        <f>IF(OR(Measures!AM49="Row Not Used",Measures!C49="Controls Only",Measures!C49="Decommissioning"),"",Measures!M49)</f>
        <v/>
      </c>
      <c r="I49" s="443" t="str">
        <f>IF(OR(Measures!AM49="Row Not Used",Measures!C49="Controls Only",Measures!C49="Decommissioning"),"",Measures!N49)</f>
        <v/>
      </c>
      <c r="J49" s="444" t="str">
        <f>IF(OR(Measures!AM49="Row Not Used",Measures!C49="Controls Only",Measures!C49="Decommissioning"),"",Measures!O49)</f>
        <v/>
      </c>
      <c r="K49" s="425" t="str">
        <f>IF(OR(Measures!AM49="Row Not Used",Measures!C49="Controls Only",Measures!C49="Decommissioning"),"",Measures!AS49)</f>
        <v/>
      </c>
      <c r="L49" s="426" t="str">
        <f>IF(OR(Measures!AM49="Row Not Used",Measures!AM49="Decommissioning",ISBLANK(Measures!R49)),"",Measures!R49)</f>
        <v/>
      </c>
      <c r="M49" s="431" t="str">
        <f>IF(OR(Measures!AM49="Row Not Used",Measures!AM49="Fixtures Only",Measures!AM49="Decommissioning"),"",Measures!S49)</f>
        <v/>
      </c>
      <c r="N49" s="432" t="str">
        <f>IF(Measures!AM49="Row Not Used","",Measures!AF49)</f>
        <v/>
      </c>
      <c r="O49" s="426" t="str">
        <f>IF(Measures!AM49="Row Not Used","",Measures!C49)</f>
        <v/>
      </c>
      <c r="P49" s="133" t="str">
        <f t="shared" si="0"/>
        <v>No</v>
      </c>
    </row>
    <row r="50" spans="1:16" ht="75.599999999999994" customHeight="1" x14ac:dyDescent="0.3">
      <c r="A50" s="454">
        <f>Measures!A50</f>
        <v>43</v>
      </c>
      <c r="B50" s="425" t="str">
        <f>IF(Measures!AM50="Row Not Used","",IF(ISBLANK(Measures!V50),Measures!B50,_xlfn.CONCAT(Measures!B50," - ",Measures!V50)))</f>
        <v/>
      </c>
      <c r="C50" s="426" t="str">
        <f>IF(Measures!AM50="Row Not Used","",_xlfn.CONCAT(Measures!D50," - ",Measures!E50," - ",Measures!F50))</f>
        <v/>
      </c>
      <c r="D50" s="442" t="str">
        <f>IF(Measures!AM50="Row Not Used","",Measures!G50)</f>
        <v/>
      </c>
      <c r="E50" s="443" t="str">
        <f>IF(Measures!AM50="Row Not Used","",Measures!H50)</f>
        <v/>
      </c>
      <c r="F50" s="450" t="str">
        <f>IF(Measures!AM50="Row Not Used","",Measures!I50)</f>
        <v/>
      </c>
      <c r="G50" s="426" t="str">
        <f>IF(OR(Measures!AM50="Row Not Used",Measures!C50="Controls Only",Measures!C50="Decommissioning"),"",_xlfn.CONCAT(Measures!K50," - ",Measures!L50))</f>
        <v/>
      </c>
      <c r="H50" s="442" t="str">
        <f>IF(OR(Measures!AM50="Row Not Used",Measures!C50="Controls Only",Measures!C50="Decommissioning"),"",Measures!M50)</f>
        <v/>
      </c>
      <c r="I50" s="443" t="str">
        <f>IF(OR(Measures!AM50="Row Not Used",Measures!C50="Controls Only",Measures!C50="Decommissioning"),"",Measures!N50)</f>
        <v/>
      </c>
      <c r="J50" s="444" t="str">
        <f>IF(OR(Measures!AM50="Row Not Used",Measures!C50="Controls Only",Measures!C50="Decommissioning"),"",Measures!O50)</f>
        <v/>
      </c>
      <c r="K50" s="425" t="str">
        <f>IF(OR(Measures!AM50="Row Not Used",Measures!C50="Controls Only",Measures!C50="Decommissioning"),"",Measures!AS50)</f>
        <v/>
      </c>
      <c r="L50" s="426" t="str">
        <f>IF(OR(Measures!AM50="Row Not Used",Measures!AM50="Decommissioning",ISBLANK(Measures!R50)),"",Measures!R50)</f>
        <v/>
      </c>
      <c r="M50" s="431" t="str">
        <f>IF(OR(Measures!AM50="Row Not Used",Measures!AM50="Fixtures Only",Measures!AM50="Decommissioning"),"",Measures!S50)</f>
        <v/>
      </c>
      <c r="N50" s="432" t="str">
        <f>IF(Measures!AM50="Row Not Used","",Measures!AF50)</f>
        <v/>
      </c>
      <c r="O50" s="426" t="str">
        <f>IF(Measures!AM50="Row Not Used","",Measures!C50)</f>
        <v/>
      </c>
      <c r="P50" s="133" t="str">
        <f t="shared" si="0"/>
        <v>No</v>
      </c>
    </row>
    <row r="51" spans="1:16" ht="75.599999999999994" customHeight="1" x14ac:dyDescent="0.3">
      <c r="A51" s="454">
        <f>Measures!A51</f>
        <v>44</v>
      </c>
      <c r="B51" s="425" t="str">
        <f>IF(Measures!AM51="Row Not Used","",IF(ISBLANK(Measures!V51),Measures!B51,_xlfn.CONCAT(Measures!B51," - ",Measures!V51)))</f>
        <v/>
      </c>
      <c r="C51" s="426" t="str">
        <f>IF(Measures!AM51="Row Not Used","",_xlfn.CONCAT(Measures!D51," - ",Measures!E51," - ",Measures!F51))</f>
        <v/>
      </c>
      <c r="D51" s="442" t="str">
        <f>IF(Measures!AM51="Row Not Used","",Measures!G51)</f>
        <v/>
      </c>
      <c r="E51" s="443" t="str">
        <f>IF(Measures!AM51="Row Not Used","",Measures!H51)</f>
        <v/>
      </c>
      <c r="F51" s="450" t="str">
        <f>IF(Measures!AM51="Row Not Used","",Measures!I51)</f>
        <v/>
      </c>
      <c r="G51" s="426" t="str">
        <f>IF(OR(Measures!AM51="Row Not Used",Measures!C51="Controls Only",Measures!C51="Decommissioning"),"",_xlfn.CONCAT(Measures!K51," - ",Measures!L51))</f>
        <v/>
      </c>
      <c r="H51" s="442" t="str">
        <f>IF(OR(Measures!AM51="Row Not Used",Measures!C51="Controls Only",Measures!C51="Decommissioning"),"",Measures!M51)</f>
        <v/>
      </c>
      <c r="I51" s="443" t="str">
        <f>IF(OR(Measures!AM51="Row Not Used",Measures!C51="Controls Only",Measures!C51="Decommissioning"),"",Measures!N51)</f>
        <v/>
      </c>
      <c r="J51" s="444" t="str">
        <f>IF(OR(Measures!AM51="Row Not Used",Measures!C51="Controls Only",Measures!C51="Decommissioning"),"",Measures!O51)</f>
        <v/>
      </c>
      <c r="K51" s="425" t="str">
        <f>IF(OR(Measures!AM51="Row Not Used",Measures!C51="Controls Only",Measures!C51="Decommissioning"),"",Measures!AS51)</f>
        <v/>
      </c>
      <c r="L51" s="426" t="str">
        <f>IF(OR(Measures!AM51="Row Not Used",Measures!AM51="Decommissioning",ISBLANK(Measures!R51)),"",Measures!R51)</f>
        <v/>
      </c>
      <c r="M51" s="431" t="str">
        <f>IF(OR(Measures!AM51="Row Not Used",Measures!AM51="Fixtures Only",Measures!AM51="Decommissioning"),"",Measures!S51)</f>
        <v/>
      </c>
      <c r="N51" s="432" t="str">
        <f>IF(Measures!AM51="Row Not Used","",Measures!AF51)</f>
        <v/>
      </c>
      <c r="O51" s="426" t="str">
        <f>IF(Measures!AM51="Row Not Used","",Measures!C51)</f>
        <v/>
      </c>
      <c r="P51" s="133" t="str">
        <f t="shared" si="0"/>
        <v>No</v>
      </c>
    </row>
    <row r="52" spans="1:16" ht="75.599999999999994" customHeight="1" x14ac:dyDescent="0.3">
      <c r="A52" s="454">
        <f>Measures!A52</f>
        <v>45</v>
      </c>
      <c r="B52" s="425" t="str">
        <f>IF(Measures!AM52="Row Not Used","",IF(ISBLANK(Measures!V52),Measures!B52,_xlfn.CONCAT(Measures!B52," - ",Measures!V52)))</f>
        <v/>
      </c>
      <c r="C52" s="426" t="str">
        <f>IF(Measures!AM52="Row Not Used","",_xlfn.CONCAT(Measures!D52," - ",Measures!E52," - ",Measures!F52))</f>
        <v/>
      </c>
      <c r="D52" s="442" t="str">
        <f>IF(Measures!AM52="Row Not Used","",Measures!G52)</f>
        <v/>
      </c>
      <c r="E52" s="443" t="str">
        <f>IF(Measures!AM52="Row Not Used","",Measures!H52)</f>
        <v/>
      </c>
      <c r="F52" s="450" t="str">
        <f>IF(Measures!AM52="Row Not Used","",Measures!I52)</f>
        <v/>
      </c>
      <c r="G52" s="426" t="str">
        <f>IF(OR(Measures!AM52="Row Not Used",Measures!C52="Controls Only",Measures!C52="Decommissioning"),"",_xlfn.CONCAT(Measures!K52," - ",Measures!L52))</f>
        <v/>
      </c>
      <c r="H52" s="442" t="str">
        <f>IF(OR(Measures!AM52="Row Not Used",Measures!C52="Controls Only",Measures!C52="Decommissioning"),"",Measures!M52)</f>
        <v/>
      </c>
      <c r="I52" s="443" t="str">
        <f>IF(OR(Measures!AM52="Row Not Used",Measures!C52="Controls Only",Measures!C52="Decommissioning"),"",Measures!N52)</f>
        <v/>
      </c>
      <c r="J52" s="444" t="str">
        <f>IF(OR(Measures!AM52="Row Not Used",Measures!C52="Controls Only",Measures!C52="Decommissioning"),"",Measures!O52)</f>
        <v/>
      </c>
      <c r="K52" s="425" t="str">
        <f>IF(OR(Measures!AM52="Row Not Used",Measures!C52="Controls Only",Measures!C52="Decommissioning"),"",Measures!AS52)</f>
        <v/>
      </c>
      <c r="L52" s="426" t="str">
        <f>IF(OR(Measures!AM52="Row Not Used",Measures!AM52="Decommissioning",ISBLANK(Measures!R52)),"",Measures!R52)</f>
        <v/>
      </c>
      <c r="M52" s="431" t="str">
        <f>IF(OR(Measures!AM52="Row Not Used",Measures!AM52="Fixtures Only",Measures!AM52="Decommissioning"),"",Measures!S52)</f>
        <v/>
      </c>
      <c r="N52" s="432" t="str">
        <f>IF(Measures!AM52="Row Not Used","",Measures!AF52)</f>
        <v/>
      </c>
      <c r="O52" s="426" t="str">
        <f>IF(Measures!AM52="Row Not Used","",Measures!C52)</f>
        <v/>
      </c>
      <c r="P52" s="133" t="str">
        <f t="shared" si="0"/>
        <v>No</v>
      </c>
    </row>
    <row r="53" spans="1:16" ht="75.599999999999994" customHeight="1" x14ac:dyDescent="0.3">
      <c r="A53" s="454">
        <f>Measures!A53</f>
        <v>46</v>
      </c>
      <c r="B53" s="425" t="str">
        <f>IF(Measures!AM53="Row Not Used","",IF(ISBLANK(Measures!V53),Measures!B53,_xlfn.CONCAT(Measures!B53," - ",Measures!V53)))</f>
        <v/>
      </c>
      <c r="C53" s="426" t="str">
        <f>IF(Measures!AM53="Row Not Used","",_xlfn.CONCAT(Measures!D53," - ",Measures!E53," - ",Measures!F53))</f>
        <v/>
      </c>
      <c r="D53" s="442" t="str">
        <f>IF(Measures!AM53="Row Not Used","",Measures!G53)</f>
        <v/>
      </c>
      <c r="E53" s="443" t="str">
        <f>IF(Measures!AM53="Row Not Used","",Measures!H53)</f>
        <v/>
      </c>
      <c r="F53" s="450" t="str">
        <f>IF(Measures!AM53="Row Not Used","",Measures!I53)</f>
        <v/>
      </c>
      <c r="G53" s="426" t="str">
        <f>IF(OR(Measures!AM53="Row Not Used",Measures!C53="Controls Only",Measures!C53="Decommissioning"),"",_xlfn.CONCAT(Measures!K53," - ",Measures!L53))</f>
        <v/>
      </c>
      <c r="H53" s="442" t="str">
        <f>IF(OR(Measures!AM53="Row Not Used",Measures!C53="Controls Only",Measures!C53="Decommissioning"),"",Measures!M53)</f>
        <v/>
      </c>
      <c r="I53" s="443" t="str">
        <f>IF(OR(Measures!AM53="Row Not Used",Measures!C53="Controls Only",Measures!C53="Decommissioning"),"",Measures!N53)</f>
        <v/>
      </c>
      <c r="J53" s="444" t="str">
        <f>IF(OR(Measures!AM53="Row Not Used",Measures!C53="Controls Only",Measures!C53="Decommissioning"),"",Measures!O53)</f>
        <v/>
      </c>
      <c r="K53" s="425" t="str">
        <f>IF(OR(Measures!AM53="Row Not Used",Measures!C53="Controls Only",Measures!C53="Decommissioning"),"",Measures!AS53)</f>
        <v/>
      </c>
      <c r="L53" s="426" t="str">
        <f>IF(OR(Measures!AM53="Row Not Used",Measures!AM53="Decommissioning",ISBLANK(Measures!R53)),"",Measures!R53)</f>
        <v/>
      </c>
      <c r="M53" s="431" t="str">
        <f>IF(OR(Measures!AM53="Row Not Used",Measures!AM53="Fixtures Only",Measures!AM53="Decommissioning"),"",Measures!S53)</f>
        <v/>
      </c>
      <c r="N53" s="432" t="str">
        <f>IF(Measures!AM53="Row Not Used","",Measures!AF53)</f>
        <v/>
      </c>
      <c r="O53" s="426" t="str">
        <f>IF(Measures!AM53="Row Not Used","",Measures!C53)</f>
        <v/>
      </c>
      <c r="P53" s="133" t="str">
        <f t="shared" si="0"/>
        <v>No</v>
      </c>
    </row>
    <row r="54" spans="1:16" ht="75.599999999999994" customHeight="1" x14ac:dyDescent="0.3">
      <c r="A54" s="454">
        <f>Measures!A54</f>
        <v>47</v>
      </c>
      <c r="B54" s="425" t="str">
        <f>IF(Measures!AM54="Row Not Used","",IF(ISBLANK(Measures!V54),Measures!B54,_xlfn.CONCAT(Measures!B54," - ",Measures!V54)))</f>
        <v/>
      </c>
      <c r="C54" s="426" t="str">
        <f>IF(Measures!AM54="Row Not Used","",_xlfn.CONCAT(Measures!D54," - ",Measures!E54," - ",Measures!F54))</f>
        <v/>
      </c>
      <c r="D54" s="442" t="str">
        <f>IF(Measures!AM54="Row Not Used","",Measures!G54)</f>
        <v/>
      </c>
      <c r="E54" s="443" t="str">
        <f>IF(Measures!AM54="Row Not Used","",Measures!H54)</f>
        <v/>
      </c>
      <c r="F54" s="450" t="str">
        <f>IF(Measures!AM54="Row Not Used","",Measures!I54)</f>
        <v/>
      </c>
      <c r="G54" s="426" t="str">
        <f>IF(OR(Measures!AM54="Row Not Used",Measures!C54="Controls Only",Measures!C54="Decommissioning"),"",_xlfn.CONCAT(Measures!K54," - ",Measures!L54))</f>
        <v/>
      </c>
      <c r="H54" s="442" t="str">
        <f>IF(OR(Measures!AM54="Row Not Used",Measures!C54="Controls Only",Measures!C54="Decommissioning"),"",Measures!M54)</f>
        <v/>
      </c>
      <c r="I54" s="443" t="str">
        <f>IF(OR(Measures!AM54="Row Not Used",Measures!C54="Controls Only",Measures!C54="Decommissioning"),"",Measures!N54)</f>
        <v/>
      </c>
      <c r="J54" s="444" t="str">
        <f>IF(OR(Measures!AM54="Row Not Used",Measures!C54="Controls Only",Measures!C54="Decommissioning"),"",Measures!O54)</f>
        <v/>
      </c>
      <c r="K54" s="425" t="str">
        <f>IF(OR(Measures!AM54="Row Not Used",Measures!C54="Controls Only",Measures!C54="Decommissioning"),"",Measures!AS54)</f>
        <v/>
      </c>
      <c r="L54" s="426" t="str">
        <f>IF(OR(Measures!AM54="Row Not Used",Measures!AM54="Decommissioning",ISBLANK(Measures!R54)),"",Measures!R54)</f>
        <v/>
      </c>
      <c r="M54" s="431" t="str">
        <f>IF(OR(Measures!AM54="Row Not Used",Measures!AM54="Fixtures Only",Measures!AM54="Decommissioning"),"",Measures!S54)</f>
        <v/>
      </c>
      <c r="N54" s="432" t="str">
        <f>IF(Measures!AM54="Row Not Used","",Measures!AF54)</f>
        <v/>
      </c>
      <c r="O54" s="426" t="str">
        <f>IF(Measures!AM54="Row Not Used","",Measures!C54)</f>
        <v/>
      </c>
      <c r="P54" s="133" t="str">
        <f t="shared" si="0"/>
        <v>No</v>
      </c>
    </row>
    <row r="55" spans="1:16" ht="75.599999999999994" customHeight="1" x14ac:dyDescent="0.3">
      <c r="A55" s="454">
        <f>Measures!A55</f>
        <v>48</v>
      </c>
      <c r="B55" s="425" t="str">
        <f>IF(Measures!AM55="Row Not Used","",IF(ISBLANK(Measures!V55),Measures!B55,_xlfn.CONCAT(Measures!B55," - ",Measures!V55)))</f>
        <v/>
      </c>
      <c r="C55" s="426" t="str">
        <f>IF(Measures!AM55="Row Not Used","",_xlfn.CONCAT(Measures!D55," - ",Measures!E55," - ",Measures!F55))</f>
        <v/>
      </c>
      <c r="D55" s="442" t="str">
        <f>IF(Measures!AM55="Row Not Used","",Measures!G55)</f>
        <v/>
      </c>
      <c r="E55" s="443" t="str">
        <f>IF(Measures!AM55="Row Not Used","",Measures!H55)</f>
        <v/>
      </c>
      <c r="F55" s="450" t="str">
        <f>IF(Measures!AM55="Row Not Used","",Measures!I55)</f>
        <v/>
      </c>
      <c r="G55" s="426" t="str">
        <f>IF(OR(Measures!AM55="Row Not Used",Measures!C55="Controls Only",Measures!C55="Decommissioning"),"",_xlfn.CONCAT(Measures!K55," - ",Measures!L55))</f>
        <v/>
      </c>
      <c r="H55" s="442" t="str">
        <f>IF(OR(Measures!AM55="Row Not Used",Measures!C55="Controls Only",Measures!C55="Decommissioning"),"",Measures!M55)</f>
        <v/>
      </c>
      <c r="I55" s="443" t="str">
        <f>IF(OR(Measures!AM55="Row Not Used",Measures!C55="Controls Only",Measures!C55="Decommissioning"),"",Measures!N55)</f>
        <v/>
      </c>
      <c r="J55" s="444" t="str">
        <f>IF(OR(Measures!AM55="Row Not Used",Measures!C55="Controls Only",Measures!C55="Decommissioning"),"",Measures!O55)</f>
        <v/>
      </c>
      <c r="K55" s="425" t="str">
        <f>IF(OR(Measures!AM55="Row Not Used",Measures!C55="Controls Only",Measures!C55="Decommissioning"),"",Measures!AS55)</f>
        <v/>
      </c>
      <c r="L55" s="426" t="str">
        <f>IF(OR(Measures!AM55="Row Not Used",Measures!AM55="Decommissioning",ISBLANK(Measures!R55)),"",Measures!R55)</f>
        <v/>
      </c>
      <c r="M55" s="431" t="str">
        <f>IF(OR(Measures!AM55="Row Not Used",Measures!AM55="Fixtures Only",Measures!AM55="Decommissioning"),"",Measures!S55)</f>
        <v/>
      </c>
      <c r="N55" s="432" t="str">
        <f>IF(Measures!AM55="Row Not Used","",Measures!AF55)</f>
        <v/>
      </c>
      <c r="O55" s="426" t="str">
        <f>IF(Measures!AM55="Row Not Used","",Measures!C55)</f>
        <v/>
      </c>
      <c r="P55" s="133" t="str">
        <f t="shared" si="0"/>
        <v>No</v>
      </c>
    </row>
    <row r="56" spans="1:16" ht="75.599999999999994" customHeight="1" x14ac:dyDescent="0.3">
      <c r="A56" s="454">
        <f>Measures!A56</f>
        <v>49</v>
      </c>
      <c r="B56" s="425" t="str">
        <f>IF(Measures!AM56="Row Not Used","",IF(ISBLANK(Measures!V56),Measures!B56,_xlfn.CONCAT(Measures!B56," - ",Measures!V56)))</f>
        <v/>
      </c>
      <c r="C56" s="426" t="str">
        <f>IF(Measures!AM56="Row Not Used","",_xlfn.CONCAT(Measures!D56," - ",Measures!E56," - ",Measures!F56))</f>
        <v/>
      </c>
      <c r="D56" s="442" t="str">
        <f>IF(Measures!AM56="Row Not Used","",Measures!G56)</f>
        <v/>
      </c>
      <c r="E56" s="443" t="str">
        <f>IF(Measures!AM56="Row Not Used","",Measures!H56)</f>
        <v/>
      </c>
      <c r="F56" s="450" t="str">
        <f>IF(Measures!AM56="Row Not Used","",Measures!I56)</f>
        <v/>
      </c>
      <c r="G56" s="426" t="str">
        <f>IF(OR(Measures!AM56="Row Not Used",Measures!C56="Controls Only",Measures!C56="Decommissioning"),"",_xlfn.CONCAT(Measures!K56," - ",Measures!L56))</f>
        <v/>
      </c>
      <c r="H56" s="442" t="str">
        <f>IF(OR(Measures!AM56="Row Not Used",Measures!C56="Controls Only",Measures!C56="Decommissioning"),"",Measures!M56)</f>
        <v/>
      </c>
      <c r="I56" s="443" t="str">
        <f>IF(OR(Measures!AM56="Row Not Used",Measures!C56="Controls Only",Measures!C56="Decommissioning"),"",Measures!N56)</f>
        <v/>
      </c>
      <c r="J56" s="444" t="str">
        <f>IF(OR(Measures!AM56="Row Not Used",Measures!C56="Controls Only",Measures!C56="Decommissioning"),"",Measures!O56)</f>
        <v/>
      </c>
      <c r="K56" s="425" t="str">
        <f>IF(OR(Measures!AM56="Row Not Used",Measures!C56="Controls Only",Measures!C56="Decommissioning"),"",Measures!AS56)</f>
        <v/>
      </c>
      <c r="L56" s="426" t="str">
        <f>IF(OR(Measures!AM56="Row Not Used",Measures!AM56="Decommissioning",ISBLANK(Measures!R56)),"",Measures!R56)</f>
        <v/>
      </c>
      <c r="M56" s="431" t="str">
        <f>IF(OR(Measures!AM56="Row Not Used",Measures!AM56="Fixtures Only",Measures!AM56="Decommissioning"),"",Measures!S56)</f>
        <v/>
      </c>
      <c r="N56" s="432" t="str">
        <f>IF(Measures!AM56="Row Not Used","",Measures!AF56)</f>
        <v/>
      </c>
      <c r="O56" s="426" t="str">
        <f>IF(Measures!AM56="Row Not Used","",Measures!C56)</f>
        <v/>
      </c>
      <c r="P56" s="133" t="str">
        <f t="shared" si="0"/>
        <v>No</v>
      </c>
    </row>
    <row r="57" spans="1:16" ht="75.599999999999994" customHeight="1" x14ac:dyDescent="0.3">
      <c r="A57" s="454">
        <f>Measures!A57</f>
        <v>50</v>
      </c>
      <c r="B57" s="425" t="str">
        <f>IF(Measures!AM57="Row Not Used","",IF(ISBLANK(Measures!V57),Measures!B57,_xlfn.CONCAT(Measures!B57," - ",Measures!V57)))</f>
        <v/>
      </c>
      <c r="C57" s="426" t="str">
        <f>IF(Measures!AM57="Row Not Used","",_xlfn.CONCAT(Measures!D57," - ",Measures!E57," - ",Measures!F57))</f>
        <v/>
      </c>
      <c r="D57" s="442" t="str">
        <f>IF(Measures!AM57="Row Not Used","",Measures!G57)</f>
        <v/>
      </c>
      <c r="E57" s="443" t="str">
        <f>IF(Measures!AM57="Row Not Used","",Measures!H57)</f>
        <v/>
      </c>
      <c r="F57" s="450" t="str">
        <f>IF(Measures!AM57="Row Not Used","",Measures!I57)</f>
        <v/>
      </c>
      <c r="G57" s="426" t="str">
        <f>IF(OR(Measures!AM57="Row Not Used",Measures!C57="Controls Only",Measures!C57="Decommissioning"),"",_xlfn.CONCAT(Measures!K57," - ",Measures!L57))</f>
        <v/>
      </c>
      <c r="H57" s="442" t="str">
        <f>IF(OR(Measures!AM57="Row Not Used",Measures!C57="Controls Only",Measures!C57="Decommissioning"),"",Measures!M57)</f>
        <v/>
      </c>
      <c r="I57" s="443" t="str">
        <f>IF(OR(Measures!AM57="Row Not Used",Measures!C57="Controls Only",Measures!C57="Decommissioning"),"",Measures!N57)</f>
        <v/>
      </c>
      <c r="J57" s="444" t="str">
        <f>IF(OR(Measures!AM57="Row Not Used",Measures!C57="Controls Only",Measures!C57="Decommissioning"),"",Measures!O57)</f>
        <v/>
      </c>
      <c r="K57" s="425" t="str">
        <f>IF(OR(Measures!AM57="Row Not Used",Measures!C57="Controls Only",Measures!C57="Decommissioning"),"",Measures!AS57)</f>
        <v/>
      </c>
      <c r="L57" s="426" t="str">
        <f>IF(OR(Measures!AM57="Row Not Used",Measures!AM57="Decommissioning",ISBLANK(Measures!R57)),"",Measures!R57)</f>
        <v/>
      </c>
      <c r="M57" s="431" t="str">
        <f>IF(OR(Measures!AM57="Row Not Used",Measures!AM57="Fixtures Only",Measures!AM57="Decommissioning"),"",Measures!S57)</f>
        <v/>
      </c>
      <c r="N57" s="432" t="str">
        <f>IF(Measures!AM57="Row Not Used","",Measures!AF57)</f>
        <v/>
      </c>
      <c r="O57" s="426" t="str">
        <f>IF(Measures!AM57="Row Not Used","",Measures!C57)</f>
        <v/>
      </c>
      <c r="P57" s="133" t="str">
        <f t="shared" si="0"/>
        <v>No</v>
      </c>
    </row>
    <row r="58" spans="1:16" ht="75.599999999999994" customHeight="1" x14ac:dyDescent="0.3">
      <c r="A58" s="454">
        <f>Measures!A58</f>
        <v>51</v>
      </c>
      <c r="B58" s="425" t="str">
        <f>IF(Measures!AM58="Row Not Used","",IF(ISBLANK(Measures!V58),Measures!B58,_xlfn.CONCAT(Measures!B58," - ",Measures!V58)))</f>
        <v/>
      </c>
      <c r="C58" s="426" t="str">
        <f>IF(Measures!AM58="Row Not Used","",_xlfn.CONCAT(Measures!D58," - ",Measures!E58," - ",Measures!F58))</f>
        <v/>
      </c>
      <c r="D58" s="442" t="str">
        <f>IF(Measures!AM58="Row Not Used","",Measures!G58)</f>
        <v/>
      </c>
      <c r="E58" s="443" t="str">
        <f>IF(Measures!AM58="Row Not Used","",Measures!H58)</f>
        <v/>
      </c>
      <c r="F58" s="450" t="str">
        <f>IF(Measures!AM58="Row Not Used","",Measures!I58)</f>
        <v/>
      </c>
      <c r="G58" s="426" t="str">
        <f>IF(OR(Measures!AM58="Row Not Used",Measures!C58="Controls Only",Measures!C58="Decommissioning"),"",_xlfn.CONCAT(Measures!K58," - ",Measures!L58))</f>
        <v/>
      </c>
      <c r="H58" s="442" t="str">
        <f>IF(OR(Measures!AM58="Row Not Used",Measures!C58="Controls Only",Measures!C58="Decommissioning"),"",Measures!M58)</f>
        <v/>
      </c>
      <c r="I58" s="443" t="str">
        <f>IF(OR(Measures!AM58="Row Not Used",Measures!C58="Controls Only",Measures!C58="Decommissioning"),"",Measures!N58)</f>
        <v/>
      </c>
      <c r="J58" s="444" t="str">
        <f>IF(OR(Measures!AM58="Row Not Used",Measures!C58="Controls Only",Measures!C58="Decommissioning"),"",Measures!O58)</f>
        <v/>
      </c>
      <c r="K58" s="425" t="str">
        <f>IF(OR(Measures!AM58="Row Not Used",Measures!C58="Controls Only",Measures!C58="Decommissioning"),"",Measures!AS58)</f>
        <v/>
      </c>
      <c r="L58" s="426" t="str">
        <f>IF(OR(Measures!AM58="Row Not Used",Measures!AM58="Decommissioning",ISBLANK(Measures!R58)),"",Measures!R58)</f>
        <v/>
      </c>
      <c r="M58" s="431" t="str">
        <f>IF(OR(Measures!AM58="Row Not Used",Measures!AM58="Fixtures Only",Measures!AM58="Decommissioning"),"",Measures!S58)</f>
        <v/>
      </c>
      <c r="N58" s="432" t="str">
        <f>IF(Measures!AM58="Row Not Used","",Measures!AF58)</f>
        <v/>
      </c>
      <c r="O58" s="426" t="str">
        <f>IF(Measures!AM58="Row Not Used","",Measures!C58)</f>
        <v/>
      </c>
      <c r="P58" s="133" t="str">
        <f t="shared" si="0"/>
        <v>No</v>
      </c>
    </row>
    <row r="59" spans="1:16" ht="75.599999999999994" customHeight="1" x14ac:dyDescent="0.3">
      <c r="A59" s="454">
        <f>Measures!A59</f>
        <v>52</v>
      </c>
      <c r="B59" s="425" t="str">
        <f>IF(Measures!AM59="Row Not Used","",IF(ISBLANK(Measures!V59),Measures!B59,_xlfn.CONCAT(Measures!B59," - ",Measures!V59)))</f>
        <v/>
      </c>
      <c r="C59" s="426" t="str">
        <f>IF(Measures!AM59="Row Not Used","",_xlfn.CONCAT(Measures!D59," - ",Measures!E59," - ",Measures!F59))</f>
        <v/>
      </c>
      <c r="D59" s="442" t="str">
        <f>IF(Measures!AM59="Row Not Used","",Measures!G59)</f>
        <v/>
      </c>
      <c r="E59" s="443" t="str">
        <f>IF(Measures!AM59="Row Not Used","",Measures!H59)</f>
        <v/>
      </c>
      <c r="F59" s="450" t="str">
        <f>IF(Measures!AM59="Row Not Used","",Measures!I59)</f>
        <v/>
      </c>
      <c r="G59" s="426" t="str">
        <f>IF(OR(Measures!AM59="Row Not Used",Measures!C59="Controls Only",Measures!C59="Decommissioning"),"",_xlfn.CONCAT(Measures!K59," - ",Measures!L59))</f>
        <v/>
      </c>
      <c r="H59" s="442" t="str">
        <f>IF(OR(Measures!AM59="Row Not Used",Measures!C59="Controls Only",Measures!C59="Decommissioning"),"",Measures!M59)</f>
        <v/>
      </c>
      <c r="I59" s="443" t="str">
        <f>IF(OR(Measures!AM59="Row Not Used",Measures!C59="Controls Only",Measures!C59="Decommissioning"),"",Measures!N59)</f>
        <v/>
      </c>
      <c r="J59" s="444" t="str">
        <f>IF(OR(Measures!AM59="Row Not Used",Measures!C59="Controls Only",Measures!C59="Decommissioning"),"",Measures!O59)</f>
        <v/>
      </c>
      <c r="K59" s="425" t="str">
        <f>IF(OR(Measures!AM59="Row Not Used",Measures!C59="Controls Only",Measures!C59="Decommissioning"),"",Measures!AS59)</f>
        <v/>
      </c>
      <c r="L59" s="426" t="str">
        <f>IF(OR(Measures!AM59="Row Not Used",Measures!AM59="Decommissioning",ISBLANK(Measures!R59)),"",Measures!R59)</f>
        <v/>
      </c>
      <c r="M59" s="431" t="str">
        <f>IF(OR(Measures!AM59="Row Not Used",Measures!AM59="Fixtures Only",Measures!AM59="Decommissioning"),"",Measures!S59)</f>
        <v/>
      </c>
      <c r="N59" s="432" t="str">
        <f>IF(Measures!AM59="Row Not Used","",Measures!AF59)</f>
        <v/>
      </c>
      <c r="O59" s="426" t="str">
        <f>IF(Measures!AM59="Row Not Used","",Measures!C59)</f>
        <v/>
      </c>
      <c r="P59" s="133" t="str">
        <f t="shared" si="0"/>
        <v>No</v>
      </c>
    </row>
    <row r="60" spans="1:16" ht="75.599999999999994" customHeight="1" x14ac:dyDescent="0.3">
      <c r="A60" s="454">
        <f>Measures!A60</f>
        <v>53</v>
      </c>
      <c r="B60" s="425" t="str">
        <f>IF(Measures!AM60="Row Not Used","",IF(ISBLANK(Measures!V60),Measures!B60,_xlfn.CONCAT(Measures!B60," - ",Measures!V60)))</f>
        <v/>
      </c>
      <c r="C60" s="426" t="str">
        <f>IF(Measures!AM60="Row Not Used","",_xlfn.CONCAT(Measures!D60," - ",Measures!E60," - ",Measures!F60))</f>
        <v/>
      </c>
      <c r="D60" s="442" t="str">
        <f>IF(Measures!AM60="Row Not Used","",Measures!G60)</f>
        <v/>
      </c>
      <c r="E60" s="443" t="str">
        <f>IF(Measures!AM60="Row Not Used","",Measures!H60)</f>
        <v/>
      </c>
      <c r="F60" s="450" t="str">
        <f>IF(Measures!AM60="Row Not Used","",Measures!I60)</f>
        <v/>
      </c>
      <c r="G60" s="426" t="str">
        <f>IF(OR(Measures!AM60="Row Not Used",Measures!C60="Controls Only",Measures!C60="Decommissioning"),"",_xlfn.CONCAT(Measures!K60," - ",Measures!L60))</f>
        <v/>
      </c>
      <c r="H60" s="442" t="str">
        <f>IF(OR(Measures!AM60="Row Not Used",Measures!C60="Controls Only",Measures!C60="Decommissioning"),"",Measures!M60)</f>
        <v/>
      </c>
      <c r="I60" s="443" t="str">
        <f>IF(OR(Measures!AM60="Row Not Used",Measures!C60="Controls Only",Measures!C60="Decommissioning"),"",Measures!N60)</f>
        <v/>
      </c>
      <c r="J60" s="444" t="str">
        <f>IF(OR(Measures!AM60="Row Not Used",Measures!C60="Controls Only",Measures!C60="Decommissioning"),"",Measures!O60)</f>
        <v/>
      </c>
      <c r="K60" s="425" t="str">
        <f>IF(OR(Measures!AM60="Row Not Used",Measures!C60="Controls Only",Measures!C60="Decommissioning"),"",Measures!AS60)</f>
        <v/>
      </c>
      <c r="L60" s="426" t="str">
        <f>IF(OR(Measures!AM60="Row Not Used",Measures!AM60="Decommissioning",ISBLANK(Measures!R60)),"",Measures!R60)</f>
        <v/>
      </c>
      <c r="M60" s="431" t="str">
        <f>IF(OR(Measures!AM60="Row Not Used",Measures!AM60="Fixtures Only",Measures!AM60="Decommissioning"),"",Measures!S60)</f>
        <v/>
      </c>
      <c r="N60" s="432" t="str">
        <f>IF(Measures!AM60="Row Not Used","",Measures!AF60)</f>
        <v/>
      </c>
      <c r="O60" s="426" t="str">
        <f>IF(Measures!AM60="Row Not Used","",Measures!C60)</f>
        <v/>
      </c>
      <c r="P60" s="133" t="str">
        <f t="shared" si="0"/>
        <v>No</v>
      </c>
    </row>
    <row r="61" spans="1:16" ht="75.599999999999994" customHeight="1" x14ac:dyDescent="0.3">
      <c r="A61" s="454">
        <f>Measures!A61</f>
        <v>54</v>
      </c>
      <c r="B61" s="425" t="str">
        <f>IF(Measures!AM61="Row Not Used","",IF(ISBLANK(Measures!V61),Measures!B61,_xlfn.CONCAT(Measures!B61," - ",Measures!V61)))</f>
        <v/>
      </c>
      <c r="C61" s="426" t="str">
        <f>IF(Measures!AM61="Row Not Used","",_xlfn.CONCAT(Measures!D61," - ",Measures!E61," - ",Measures!F61))</f>
        <v/>
      </c>
      <c r="D61" s="442" t="str">
        <f>IF(Measures!AM61="Row Not Used","",Measures!G61)</f>
        <v/>
      </c>
      <c r="E61" s="443" t="str">
        <f>IF(Measures!AM61="Row Not Used","",Measures!H61)</f>
        <v/>
      </c>
      <c r="F61" s="450" t="str">
        <f>IF(Measures!AM61="Row Not Used","",Measures!I61)</f>
        <v/>
      </c>
      <c r="G61" s="426" t="str">
        <f>IF(OR(Measures!AM61="Row Not Used",Measures!C61="Controls Only",Measures!C61="Decommissioning"),"",_xlfn.CONCAT(Measures!K61," - ",Measures!L61))</f>
        <v/>
      </c>
      <c r="H61" s="442" t="str">
        <f>IF(OR(Measures!AM61="Row Not Used",Measures!C61="Controls Only",Measures!C61="Decommissioning"),"",Measures!M61)</f>
        <v/>
      </c>
      <c r="I61" s="443" t="str">
        <f>IF(OR(Measures!AM61="Row Not Used",Measures!C61="Controls Only",Measures!C61="Decommissioning"),"",Measures!N61)</f>
        <v/>
      </c>
      <c r="J61" s="444" t="str">
        <f>IF(OR(Measures!AM61="Row Not Used",Measures!C61="Controls Only",Measures!C61="Decommissioning"),"",Measures!O61)</f>
        <v/>
      </c>
      <c r="K61" s="425" t="str">
        <f>IF(OR(Measures!AM61="Row Not Used",Measures!C61="Controls Only",Measures!C61="Decommissioning"),"",Measures!AS61)</f>
        <v/>
      </c>
      <c r="L61" s="426" t="str">
        <f>IF(OR(Measures!AM61="Row Not Used",Measures!AM61="Decommissioning",ISBLANK(Measures!R61)),"",Measures!R61)</f>
        <v/>
      </c>
      <c r="M61" s="431" t="str">
        <f>IF(OR(Measures!AM61="Row Not Used",Measures!AM61="Fixtures Only",Measures!AM61="Decommissioning"),"",Measures!S61)</f>
        <v/>
      </c>
      <c r="N61" s="432" t="str">
        <f>IF(Measures!AM61="Row Not Used","",Measures!AF61)</f>
        <v/>
      </c>
      <c r="O61" s="426" t="str">
        <f>IF(Measures!AM61="Row Not Used","",Measures!C61)</f>
        <v/>
      </c>
      <c r="P61" s="133" t="str">
        <f t="shared" si="0"/>
        <v>No</v>
      </c>
    </row>
    <row r="62" spans="1:16" ht="75.599999999999994" customHeight="1" x14ac:dyDescent="0.3">
      <c r="A62" s="454">
        <f>Measures!A62</f>
        <v>55</v>
      </c>
      <c r="B62" s="425" t="str">
        <f>IF(Measures!AM62="Row Not Used","",IF(ISBLANK(Measures!V62),Measures!B62,_xlfn.CONCAT(Measures!B62," - ",Measures!V62)))</f>
        <v/>
      </c>
      <c r="C62" s="426" t="str">
        <f>IF(Measures!AM62="Row Not Used","",_xlfn.CONCAT(Measures!D62," - ",Measures!E62," - ",Measures!F62))</f>
        <v/>
      </c>
      <c r="D62" s="442" t="str">
        <f>IF(Measures!AM62="Row Not Used","",Measures!G62)</f>
        <v/>
      </c>
      <c r="E62" s="443" t="str">
        <f>IF(Measures!AM62="Row Not Used","",Measures!H62)</f>
        <v/>
      </c>
      <c r="F62" s="450" t="str">
        <f>IF(Measures!AM62="Row Not Used","",Measures!I62)</f>
        <v/>
      </c>
      <c r="G62" s="426" t="str">
        <f>IF(OR(Measures!AM62="Row Not Used",Measures!C62="Controls Only",Measures!C62="Decommissioning"),"",_xlfn.CONCAT(Measures!K62," - ",Measures!L62))</f>
        <v/>
      </c>
      <c r="H62" s="442" t="str">
        <f>IF(OR(Measures!AM62="Row Not Used",Measures!C62="Controls Only",Measures!C62="Decommissioning"),"",Measures!M62)</f>
        <v/>
      </c>
      <c r="I62" s="443" t="str">
        <f>IF(OR(Measures!AM62="Row Not Used",Measures!C62="Controls Only",Measures!C62="Decommissioning"),"",Measures!N62)</f>
        <v/>
      </c>
      <c r="J62" s="444" t="str">
        <f>IF(OR(Measures!AM62="Row Not Used",Measures!C62="Controls Only",Measures!C62="Decommissioning"),"",Measures!O62)</f>
        <v/>
      </c>
      <c r="K62" s="425" t="str">
        <f>IF(OR(Measures!AM62="Row Not Used",Measures!C62="Controls Only",Measures!C62="Decommissioning"),"",Measures!AS62)</f>
        <v/>
      </c>
      <c r="L62" s="426" t="str">
        <f>IF(OR(Measures!AM62="Row Not Used",Measures!AM62="Decommissioning",ISBLANK(Measures!R62)),"",Measures!R62)</f>
        <v/>
      </c>
      <c r="M62" s="431" t="str">
        <f>IF(OR(Measures!AM62="Row Not Used",Measures!AM62="Fixtures Only",Measures!AM62="Decommissioning"),"",Measures!S62)</f>
        <v/>
      </c>
      <c r="N62" s="432" t="str">
        <f>IF(Measures!AM62="Row Not Used","",Measures!AF62)</f>
        <v/>
      </c>
      <c r="O62" s="426" t="str">
        <f>IF(Measures!AM62="Row Not Used","",Measures!C62)</f>
        <v/>
      </c>
      <c r="P62" s="133" t="str">
        <f t="shared" si="0"/>
        <v>No</v>
      </c>
    </row>
    <row r="63" spans="1:16" ht="75.599999999999994" customHeight="1" x14ac:dyDescent="0.3">
      <c r="A63" s="454">
        <f>Measures!A63</f>
        <v>56</v>
      </c>
      <c r="B63" s="425" t="str">
        <f>IF(Measures!AM63="Row Not Used","",IF(ISBLANK(Measures!V63),Measures!B63,_xlfn.CONCAT(Measures!B63," - ",Measures!V63)))</f>
        <v/>
      </c>
      <c r="C63" s="426" t="str">
        <f>IF(Measures!AM63="Row Not Used","",_xlfn.CONCAT(Measures!D63," - ",Measures!E63," - ",Measures!F63))</f>
        <v/>
      </c>
      <c r="D63" s="442" t="str">
        <f>IF(Measures!AM63="Row Not Used","",Measures!G63)</f>
        <v/>
      </c>
      <c r="E63" s="443" t="str">
        <f>IF(Measures!AM63="Row Not Used","",Measures!H63)</f>
        <v/>
      </c>
      <c r="F63" s="450" t="str">
        <f>IF(Measures!AM63="Row Not Used","",Measures!I63)</f>
        <v/>
      </c>
      <c r="G63" s="426" t="str">
        <f>IF(OR(Measures!AM63="Row Not Used",Measures!C63="Controls Only",Measures!C63="Decommissioning"),"",_xlfn.CONCAT(Measures!K63," - ",Measures!L63))</f>
        <v/>
      </c>
      <c r="H63" s="442" t="str">
        <f>IF(OR(Measures!AM63="Row Not Used",Measures!C63="Controls Only",Measures!C63="Decommissioning"),"",Measures!M63)</f>
        <v/>
      </c>
      <c r="I63" s="443" t="str">
        <f>IF(OR(Measures!AM63="Row Not Used",Measures!C63="Controls Only",Measures!C63="Decommissioning"),"",Measures!N63)</f>
        <v/>
      </c>
      <c r="J63" s="444" t="str">
        <f>IF(OR(Measures!AM63="Row Not Used",Measures!C63="Controls Only",Measures!C63="Decommissioning"),"",Measures!O63)</f>
        <v/>
      </c>
      <c r="K63" s="425" t="str">
        <f>IF(OR(Measures!AM63="Row Not Used",Measures!C63="Controls Only",Measures!C63="Decommissioning"),"",Measures!AS63)</f>
        <v/>
      </c>
      <c r="L63" s="426" t="str">
        <f>IF(OR(Measures!AM63="Row Not Used",Measures!AM63="Decommissioning",ISBLANK(Measures!R63)),"",Measures!R63)</f>
        <v/>
      </c>
      <c r="M63" s="431" t="str">
        <f>IF(OR(Measures!AM63="Row Not Used",Measures!AM63="Fixtures Only",Measures!AM63="Decommissioning"),"",Measures!S63)</f>
        <v/>
      </c>
      <c r="N63" s="432" t="str">
        <f>IF(Measures!AM63="Row Not Used","",Measures!AF63)</f>
        <v/>
      </c>
      <c r="O63" s="426" t="str">
        <f>IF(Measures!AM63="Row Not Used","",Measures!C63)</f>
        <v/>
      </c>
      <c r="P63" s="133" t="str">
        <f t="shared" si="0"/>
        <v>No</v>
      </c>
    </row>
    <row r="64" spans="1:16" ht="75.599999999999994" customHeight="1" x14ac:dyDescent="0.3">
      <c r="A64" s="454">
        <f>Measures!A64</f>
        <v>57</v>
      </c>
      <c r="B64" s="425" t="str">
        <f>IF(Measures!AM64="Row Not Used","",IF(ISBLANK(Measures!V64),Measures!B64,_xlfn.CONCAT(Measures!B64," - ",Measures!V64)))</f>
        <v/>
      </c>
      <c r="C64" s="426" t="str">
        <f>IF(Measures!AM64="Row Not Used","",_xlfn.CONCAT(Measures!D64," - ",Measures!E64," - ",Measures!F64))</f>
        <v/>
      </c>
      <c r="D64" s="442" t="str">
        <f>IF(Measures!AM64="Row Not Used","",Measures!G64)</f>
        <v/>
      </c>
      <c r="E64" s="443" t="str">
        <f>IF(Measures!AM64="Row Not Used","",Measures!H64)</f>
        <v/>
      </c>
      <c r="F64" s="450" t="str">
        <f>IF(Measures!AM64="Row Not Used","",Measures!I64)</f>
        <v/>
      </c>
      <c r="G64" s="426" t="str">
        <f>IF(OR(Measures!AM64="Row Not Used",Measures!C64="Controls Only",Measures!C64="Decommissioning"),"",_xlfn.CONCAT(Measures!K64," - ",Measures!L64))</f>
        <v/>
      </c>
      <c r="H64" s="442" t="str">
        <f>IF(OR(Measures!AM64="Row Not Used",Measures!C64="Controls Only",Measures!C64="Decommissioning"),"",Measures!M64)</f>
        <v/>
      </c>
      <c r="I64" s="443" t="str">
        <f>IF(OR(Measures!AM64="Row Not Used",Measures!C64="Controls Only",Measures!C64="Decommissioning"),"",Measures!N64)</f>
        <v/>
      </c>
      <c r="J64" s="444" t="str">
        <f>IF(OR(Measures!AM64="Row Not Used",Measures!C64="Controls Only",Measures!C64="Decommissioning"),"",Measures!O64)</f>
        <v/>
      </c>
      <c r="K64" s="425" t="str">
        <f>IF(OR(Measures!AM64="Row Not Used",Measures!C64="Controls Only",Measures!C64="Decommissioning"),"",Measures!AS64)</f>
        <v/>
      </c>
      <c r="L64" s="426" t="str">
        <f>IF(OR(Measures!AM64="Row Not Used",Measures!AM64="Decommissioning",ISBLANK(Measures!R64)),"",Measures!R64)</f>
        <v/>
      </c>
      <c r="M64" s="431" t="str">
        <f>IF(OR(Measures!AM64="Row Not Used",Measures!AM64="Fixtures Only",Measures!AM64="Decommissioning"),"",Measures!S64)</f>
        <v/>
      </c>
      <c r="N64" s="432" t="str">
        <f>IF(Measures!AM64="Row Not Used","",Measures!AF64)</f>
        <v/>
      </c>
      <c r="O64" s="426" t="str">
        <f>IF(Measures!AM64="Row Not Used","",Measures!C64)</f>
        <v/>
      </c>
      <c r="P64" s="133" t="str">
        <f t="shared" si="0"/>
        <v>No</v>
      </c>
    </row>
    <row r="65" spans="1:16" ht="75.599999999999994" customHeight="1" x14ac:dyDescent="0.3">
      <c r="A65" s="454">
        <f>Measures!A65</f>
        <v>58</v>
      </c>
      <c r="B65" s="425" t="str">
        <f>IF(Measures!AM65="Row Not Used","",IF(ISBLANK(Measures!V65),Measures!B65,_xlfn.CONCAT(Measures!B65," - ",Measures!V65)))</f>
        <v/>
      </c>
      <c r="C65" s="426" t="str">
        <f>IF(Measures!AM65="Row Not Used","",_xlfn.CONCAT(Measures!D65," - ",Measures!E65," - ",Measures!F65))</f>
        <v/>
      </c>
      <c r="D65" s="442" t="str">
        <f>IF(Measures!AM65="Row Not Used","",Measures!G65)</f>
        <v/>
      </c>
      <c r="E65" s="443" t="str">
        <f>IF(Measures!AM65="Row Not Used","",Measures!H65)</f>
        <v/>
      </c>
      <c r="F65" s="450" t="str">
        <f>IF(Measures!AM65="Row Not Used","",Measures!I65)</f>
        <v/>
      </c>
      <c r="G65" s="426" t="str">
        <f>IF(OR(Measures!AM65="Row Not Used",Measures!C65="Controls Only",Measures!C65="Decommissioning"),"",_xlfn.CONCAT(Measures!K65," - ",Measures!L65))</f>
        <v/>
      </c>
      <c r="H65" s="442" t="str">
        <f>IF(OR(Measures!AM65="Row Not Used",Measures!C65="Controls Only",Measures!C65="Decommissioning"),"",Measures!M65)</f>
        <v/>
      </c>
      <c r="I65" s="443" t="str">
        <f>IF(OR(Measures!AM65="Row Not Used",Measures!C65="Controls Only",Measures!C65="Decommissioning"),"",Measures!N65)</f>
        <v/>
      </c>
      <c r="J65" s="444" t="str">
        <f>IF(OR(Measures!AM65="Row Not Used",Measures!C65="Controls Only",Measures!C65="Decommissioning"),"",Measures!O65)</f>
        <v/>
      </c>
      <c r="K65" s="425" t="str">
        <f>IF(OR(Measures!AM65="Row Not Used",Measures!C65="Controls Only",Measures!C65="Decommissioning"),"",Measures!AS65)</f>
        <v/>
      </c>
      <c r="L65" s="426" t="str">
        <f>IF(OR(Measures!AM65="Row Not Used",Measures!AM65="Decommissioning",ISBLANK(Measures!R65)),"",Measures!R65)</f>
        <v/>
      </c>
      <c r="M65" s="431" t="str">
        <f>IF(OR(Measures!AM65="Row Not Used",Measures!AM65="Fixtures Only",Measures!AM65="Decommissioning"),"",Measures!S65)</f>
        <v/>
      </c>
      <c r="N65" s="432" t="str">
        <f>IF(Measures!AM65="Row Not Used","",Measures!AF65)</f>
        <v/>
      </c>
      <c r="O65" s="426" t="str">
        <f>IF(Measures!AM65="Row Not Used","",Measures!C65)</f>
        <v/>
      </c>
      <c r="P65" s="133" t="str">
        <f t="shared" si="0"/>
        <v>No</v>
      </c>
    </row>
    <row r="66" spans="1:16" ht="75.599999999999994" customHeight="1" x14ac:dyDescent="0.3">
      <c r="A66" s="454">
        <f>Measures!A66</f>
        <v>59</v>
      </c>
      <c r="B66" s="425" t="str">
        <f>IF(Measures!AM66="Row Not Used","",IF(ISBLANK(Measures!V66),Measures!B66,_xlfn.CONCAT(Measures!B66," - ",Measures!V66)))</f>
        <v/>
      </c>
      <c r="C66" s="426" t="str">
        <f>IF(Measures!AM66="Row Not Used","",_xlfn.CONCAT(Measures!D66," - ",Measures!E66," - ",Measures!F66))</f>
        <v/>
      </c>
      <c r="D66" s="442" t="str">
        <f>IF(Measures!AM66="Row Not Used","",Measures!G66)</f>
        <v/>
      </c>
      <c r="E66" s="443" t="str">
        <f>IF(Measures!AM66="Row Not Used","",Measures!H66)</f>
        <v/>
      </c>
      <c r="F66" s="450" t="str">
        <f>IF(Measures!AM66="Row Not Used","",Measures!I66)</f>
        <v/>
      </c>
      <c r="G66" s="426" t="str">
        <f>IF(OR(Measures!AM66="Row Not Used",Measures!C66="Controls Only",Measures!C66="Decommissioning"),"",_xlfn.CONCAT(Measures!K66," - ",Measures!L66))</f>
        <v/>
      </c>
      <c r="H66" s="442" t="str">
        <f>IF(OR(Measures!AM66="Row Not Used",Measures!C66="Controls Only",Measures!C66="Decommissioning"),"",Measures!M66)</f>
        <v/>
      </c>
      <c r="I66" s="443" t="str">
        <f>IF(OR(Measures!AM66="Row Not Used",Measures!C66="Controls Only",Measures!C66="Decommissioning"),"",Measures!N66)</f>
        <v/>
      </c>
      <c r="J66" s="444" t="str">
        <f>IF(OR(Measures!AM66="Row Not Used",Measures!C66="Controls Only",Measures!C66="Decommissioning"),"",Measures!O66)</f>
        <v/>
      </c>
      <c r="K66" s="425" t="str">
        <f>IF(OR(Measures!AM66="Row Not Used",Measures!C66="Controls Only",Measures!C66="Decommissioning"),"",Measures!AS66)</f>
        <v/>
      </c>
      <c r="L66" s="426" t="str">
        <f>IF(OR(Measures!AM66="Row Not Used",Measures!AM66="Decommissioning",ISBLANK(Measures!R66)),"",Measures!R66)</f>
        <v/>
      </c>
      <c r="M66" s="431" t="str">
        <f>IF(OR(Measures!AM66="Row Not Used",Measures!AM66="Fixtures Only",Measures!AM66="Decommissioning"),"",Measures!S66)</f>
        <v/>
      </c>
      <c r="N66" s="432" t="str">
        <f>IF(Measures!AM66="Row Not Used","",Measures!AF66)</f>
        <v/>
      </c>
      <c r="O66" s="426" t="str">
        <f>IF(Measures!AM66="Row Not Used","",Measures!C66)</f>
        <v/>
      </c>
      <c r="P66" s="133" t="str">
        <f t="shared" si="0"/>
        <v>No</v>
      </c>
    </row>
    <row r="67" spans="1:16" ht="75.599999999999994" customHeight="1" x14ac:dyDescent="0.3">
      <c r="A67" s="454">
        <f>Measures!A67</f>
        <v>60</v>
      </c>
      <c r="B67" s="425" t="str">
        <f>IF(Measures!AM67="Row Not Used","",IF(ISBLANK(Measures!V67),Measures!B67,_xlfn.CONCAT(Measures!B67," - ",Measures!V67)))</f>
        <v/>
      </c>
      <c r="C67" s="426" t="str">
        <f>IF(Measures!AM67="Row Not Used","",_xlfn.CONCAT(Measures!D67," - ",Measures!E67," - ",Measures!F67))</f>
        <v/>
      </c>
      <c r="D67" s="442" t="str">
        <f>IF(Measures!AM67="Row Not Used","",Measures!G67)</f>
        <v/>
      </c>
      <c r="E67" s="443" t="str">
        <f>IF(Measures!AM67="Row Not Used","",Measures!H67)</f>
        <v/>
      </c>
      <c r="F67" s="450" t="str">
        <f>IF(Measures!AM67="Row Not Used","",Measures!I67)</f>
        <v/>
      </c>
      <c r="G67" s="426" t="str">
        <f>IF(OR(Measures!AM67="Row Not Used",Measures!C67="Controls Only",Measures!C67="Decommissioning"),"",_xlfn.CONCAT(Measures!K67," - ",Measures!L67))</f>
        <v/>
      </c>
      <c r="H67" s="442" t="str">
        <f>IF(OR(Measures!AM67="Row Not Used",Measures!C67="Controls Only",Measures!C67="Decommissioning"),"",Measures!M67)</f>
        <v/>
      </c>
      <c r="I67" s="443" t="str">
        <f>IF(OR(Measures!AM67="Row Not Used",Measures!C67="Controls Only",Measures!C67="Decommissioning"),"",Measures!N67)</f>
        <v/>
      </c>
      <c r="J67" s="444" t="str">
        <f>IF(OR(Measures!AM67="Row Not Used",Measures!C67="Controls Only",Measures!C67="Decommissioning"),"",Measures!O67)</f>
        <v/>
      </c>
      <c r="K67" s="425" t="str">
        <f>IF(OR(Measures!AM67="Row Not Used",Measures!C67="Controls Only",Measures!C67="Decommissioning"),"",Measures!AS67)</f>
        <v/>
      </c>
      <c r="L67" s="426" t="str">
        <f>IF(OR(Measures!AM67="Row Not Used",Measures!AM67="Decommissioning",ISBLANK(Measures!R67)),"",Measures!R67)</f>
        <v/>
      </c>
      <c r="M67" s="431" t="str">
        <f>IF(OR(Measures!AM67="Row Not Used",Measures!AM67="Fixtures Only",Measures!AM67="Decommissioning"),"",Measures!S67)</f>
        <v/>
      </c>
      <c r="N67" s="432" t="str">
        <f>IF(Measures!AM67="Row Not Used","",Measures!AF67)</f>
        <v/>
      </c>
      <c r="O67" s="426" t="str">
        <f>IF(Measures!AM67="Row Not Used","",Measures!C67)</f>
        <v/>
      </c>
      <c r="P67" s="133" t="str">
        <f t="shared" si="0"/>
        <v>No</v>
      </c>
    </row>
    <row r="68" spans="1:16" ht="75.599999999999994" customHeight="1" x14ac:dyDescent="0.3">
      <c r="A68" s="454">
        <f>Measures!A68</f>
        <v>61</v>
      </c>
      <c r="B68" s="425" t="str">
        <f>IF(Measures!AM68="Row Not Used","",IF(ISBLANK(Measures!V68),Measures!B68,_xlfn.CONCAT(Measures!B68," - ",Measures!V68)))</f>
        <v/>
      </c>
      <c r="C68" s="426" t="str">
        <f>IF(Measures!AM68="Row Not Used","",_xlfn.CONCAT(Measures!D68," - ",Measures!E68," - ",Measures!F68))</f>
        <v/>
      </c>
      <c r="D68" s="442" t="str">
        <f>IF(Measures!AM68="Row Not Used","",Measures!G68)</f>
        <v/>
      </c>
      <c r="E68" s="443" t="str">
        <f>IF(Measures!AM68="Row Not Used","",Measures!H68)</f>
        <v/>
      </c>
      <c r="F68" s="450" t="str">
        <f>IF(Measures!AM68="Row Not Used","",Measures!I68)</f>
        <v/>
      </c>
      <c r="G68" s="426" t="str">
        <f>IF(OR(Measures!AM68="Row Not Used",Measures!C68="Controls Only",Measures!C68="Decommissioning"),"",_xlfn.CONCAT(Measures!K68," - ",Measures!L68))</f>
        <v/>
      </c>
      <c r="H68" s="442" t="str">
        <f>IF(OR(Measures!AM68="Row Not Used",Measures!C68="Controls Only",Measures!C68="Decommissioning"),"",Measures!M68)</f>
        <v/>
      </c>
      <c r="I68" s="443" t="str">
        <f>IF(OR(Measures!AM68="Row Not Used",Measures!C68="Controls Only",Measures!C68="Decommissioning"),"",Measures!N68)</f>
        <v/>
      </c>
      <c r="J68" s="444" t="str">
        <f>IF(OR(Measures!AM68="Row Not Used",Measures!C68="Controls Only",Measures!C68="Decommissioning"),"",Measures!O68)</f>
        <v/>
      </c>
      <c r="K68" s="425" t="str">
        <f>IF(OR(Measures!AM68="Row Not Used",Measures!C68="Controls Only",Measures!C68="Decommissioning"),"",Measures!AS68)</f>
        <v/>
      </c>
      <c r="L68" s="426" t="str">
        <f>IF(OR(Measures!AM68="Row Not Used",Measures!AM68="Decommissioning",ISBLANK(Measures!R68)),"",Measures!R68)</f>
        <v/>
      </c>
      <c r="M68" s="431" t="str">
        <f>IF(OR(Measures!AM68="Row Not Used",Measures!AM68="Fixtures Only",Measures!AM68="Decommissioning"),"",Measures!S68)</f>
        <v/>
      </c>
      <c r="N68" s="432" t="str">
        <f>IF(Measures!AM68="Row Not Used","",Measures!AF68)</f>
        <v/>
      </c>
      <c r="O68" s="426" t="str">
        <f>IF(Measures!AM68="Row Not Used","",Measures!C68)</f>
        <v/>
      </c>
      <c r="P68" s="133" t="str">
        <f t="shared" si="0"/>
        <v>No</v>
      </c>
    </row>
    <row r="69" spans="1:16" ht="75.599999999999994" customHeight="1" x14ac:dyDescent="0.3">
      <c r="A69" s="454">
        <f>Measures!A69</f>
        <v>62</v>
      </c>
      <c r="B69" s="425" t="str">
        <f>IF(Measures!AM69="Row Not Used","",IF(ISBLANK(Measures!V69),Measures!B69,_xlfn.CONCAT(Measures!B69," - ",Measures!V69)))</f>
        <v/>
      </c>
      <c r="C69" s="426" t="str">
        <f>IF(Measures!AM69="Row Not Used","",_xlfn.CONCAT(Measures!D69," - ",Measures!E69," - ",Measures!F69))</f>
        <v/>
      </c>
      <c r="D69" s="442" t="str">
        <f>IF(Measures!AM69="Row Not Used","",Measures!G69)</f>
        <v/>
      </c>
      <c r="E69" s="443" t="str">
        <f>IF(Measures!AM69="Row Not Used","",Measures!H69)</f>
        <v/>
      </c>
      <c r="F69" s="450" t="str">
        <f>IF(Measures!AM69="Row Not Used","",Measures!I69)</f>
        <v/>
      </c>
      <c r="G69" s="426" t="str">
        <f>IF(OR(Measures!AM69="Row Not Used",Measures!C69="Controls Only",Measures!C69="Decommissioning"),"",_xlfn.CONCAT(Measures!K69," - ",Measures!L69))</f>
        <v/>
      </c>
      <c r="H69" s="442" t="str">
        <f>IF(OR(Measures!AM69="Row Not Used",Measures!C69="Controls Only",Measures!C69="Decommissioning"),"",Measures!M69)</f>
        <v/>
      </c>
      <c r="I69" s="443" t="str">
        <f>IF(OR(Measures!AM69="Row Not Used",Measures!C69="Controls Only",Measures!C69="Decommissioning"),"",Measures!N69)</f>
        <v/>
      </c>
      <c r="J69" s="444" t="str">
        <f>IF(OR(Measures!AM69="Row Not Used",Measures!C69="Controls Only",Measures!C69="Decommissioning"),"",Measures!O69)</f>
        <v/>
      </c>
      <c r="K69" s="425" t="str">
        <f>IF(OR(Measures!AM69="Row Not Used",Measures!C69="Controls Only",Measures!C69="Decommissioning"),"",Measures!AS69)</f>
        <v/>
      </c>
      <c r="L69" s="426" t="str">
        <f>IF(OR(Measures!AM69="Row Not Used",Measures!AM69="Decommissioning",ISBLANK(Measures!R69)),"",Measures!R69)</f>
        <v/>
      </c>
      <c r="M69" s="431" t="str">
        <f>IF(OR(Measures!AM69="Row Not Used",Measures!AM69="Fixtures Only",Measures!AM69="Decommissioning"),"",Measures!S69)</f>
        <v/>
      </c>
      <c r="N69" s="432" t="str">
        <f>IF(Measures!AM69="Row Not Used","",Measures!AF69)</f>
        <v/>
      </c>
      <c r="O69" s="426" t="str">
        <f>IF(Measures!AM69="Row Not Used","",Measures!C69)</f>
        <v/>
      </c>
      <c r="P69" s="133" t="str">
        <f t="shared" si="0"/>
        <v>No</v>
      </c>
    </row>
    <row r="70" spans="1:16" ht="75.599999999999994" customHeight="1" x14ac:dyDescent="0.3">
      <c r="A70" s="454">
        <f>Measures!A70</f>
        <v>63</v>
      </c>
      <c r="B70" s="425" t="str">
        <f>IF(Measures!AM70="Row Not Used","",IF(ISBLANK(Measures!V70),Measures!B70,_xlfn.CONCAT(Measures!B70," - ",Measures!V70)))</f>
        <v/>
      </c>
      <c r="C70" s="426" t="str">
        <f>IF(Measures!AM70="Row Not Used","",_xlfn.CONCAT(Measures!D70," - ",Measures!E70," - ",Measures!F70))</f>
        <v/>
      </c>
      <c r="D70" s="442" t="str">
        <f>IF(Measures!AM70="Row Not Used","",Measures!G70)</f>
        <v/>
      </c>
      <c r="E70" s="443" t="str">
        <f>IF(Measures!AM70="Row Not Used","",Measures!H70)</f>
        <v/>
      </c>
      <c r="F70" s="450" t="str">
        <f>IF(Measures!AM70="Row Not Used","",Measures!I70)</f>
        <v/>
      </c>
      <c r="G70" s="426" t="str">
        <f>IF(OR(Measures!AM70="Row Not Used",Measures!C70="Controls Only",Measures!C70="Decommissioning"),"",_xlfn.CONCAT(Measures!K70," - ",Measures!L70))</f>
        <v/>
      </c>
      <c r="H70" s="442" t="str">
        <f>IF(OR(Measures!AM70="Row Not Used",Measures!C70="Controls Only",Measures!C70="Decommissioning"),"",Measures!M70)</f>
        <v/>
      </c>
      <c r="I70" s="443" t="str">
        <f>IF(OR(Measures!AM70="Row Not Used",Measures!C70="Controls Only",Measures!C70="Decommissioning"),"",Measures!N70)</f>
        <v/>
      </c>
      <c r="J70" s="444" t="str">
        <f>IF(OR(Measures!AM70="Row Not Used",Measures!C70="Controls Only",Measures!C70="Decommissioning"),"",Measures!O70)</f>
        <v/>
      </c>
      <c r="K70" s="425" t="str">
        <f>IF(OR(Measures!AM70="Row Not Used",Measures!C70="Controls Only",Measures!C70="Decommissioning"),"",Measures!AS70)</f>
        <v/>
      </c>
      <c r="L70" s="426" t="str">
        <f>IF(OR(Measures!AM70="Row Not Used",Measures!AM70="Decommissioning",ISBLANK(Measures!R70)),"",Measures!R70)</f>
        <v/>
      </c>
      <c r="M70" s="431" t="str">
        <f>IF(OR(Measures!AM70="Row Not Used",Measures!AM70="Fixtures Only",Measures!AM70="Decommissioning"),"",Measures!S70)</f>
        <v/>
      </c>
      <c r="N70" s="432" t="str">
        <f>IF(Measures!AM70="Row Not Used","",Measures!AF70)</f>
        <v/>
      </c>
      <c r="O70" s="426" t="str">
        <f>IF(Measures!AM70="Row Not Used","",Measures!C70)</f>
        <v/>
      </c>
      <c r="P70" s="133" t="str">
        <f t="shared" si="0"/>
        <v>No</v>
      </c>
    </row>
    <row r="71" spans="1:16" ht="75.599999999999994" customHeight="1" x14ac:dyDescent="0.3">
      <c r="A71" s="454">
        <f>Measures!A71</f>
        <v>64</v>
      </c>
      <c r="B71" s="425" t="str">
        <f>IF(Measures!AM71="Row Not Used","",IF(ISBLANK(Measures!V71),Measures!B71,_xlfn.CONCAT(Measures!B71," - ",Measures!V71)))</f>
        <v/>
      </c>
      <c r="C71" s="426" t="str">
        <f>IF(Measures!AM71="Row Not Used","",_xlfn.CONCAT(Measures!D71," - ",Measures!E71," - ",Measures!F71))</f>
        <v/>
      </c>
      <c r="D71" s="442" t="str">
        <f>IF(Measures!AM71="Row Not Used","",Measures!G71)</f>
        <v/>
      </c>
      <c r="E71" s="443" t="str">
        <f>IF(Measures!AM71="Row Not Used","",Measures!H71)</f>
        <v/>
      </c>
      <c r="F71" s="450" t="str">
        <f>IF(Measures!AM71="Row Not Used","",Measures!I71)</f>
        <v/>
      </c>
      <c r="G71" s="426" t="str">
        <f>IF(OR(Measures!AM71="Row Not Used",Measures!C71="Controls Only",Measures!C71="Decommissioning"),"",_xlfn.CONCAT(Measures!K71," - ",Measures!L71))</f>
        <v/>
      </c>
      <c r="H71" s="442" t="str">
        <f>IF(OR(Measures!AM71="Row Not Used",Measures!C71="Controls Only",Measures!C71="Decommissioning"),"",Measures!M71)</f>
        <v/>
      </c>
      <c r="I71" s="443" t="str">
        <f>IF(OR(Measures!AM71="Row Not Used",Measures!C71="Controls Only",Measures!C71="Decommissioning"),"",Measures!N71)</f>
        <v/>
      </c>
      <c r="J71" s="444" t="str">
        <f>IF(OR(Measures!AM71="Row Not Used",Measures!C71="Controls Only",Measures!C71="Decommissioning"),"",Measures!O71)</f>
        <v/>
      </c>
      <c r="K71" s="425" t="str">
        <f>IF(OR(Measures!AM71="Row Not Used",Measures!C71="Controls Only",Measures!C71="Decommissioning"),"",Measures!AS71)</f>
        <v/>
      </c>
      <c r="L71" s="426" t="str">
        <f>IF(OR(Measures!AM71="Row Not Used",Measures!AM71="Decommissioning",ISBLANK(Measures!R71)),"",Measures!R71)</f>
        <v/>
      </c>
      <c r="M71" s="431" t="str">
        <f>IF(OR(Measures!AM71="Row Not Used",Measures!AM71="Fixtures Only",Measures!AM71="Decommissioning"),"",Measures!S71)</f>
        <v/>
      </c>
      <c r="N71" s="432" t="str">
        <f>IF(Measures!AM71="Row Not Used","",Measures!AF71)</f>
        <v/>
      </c>
      <c r="O71" s="426" t="str">
        <f>IF(Measures!AM71="Row Not Used","",Measures!C71)</f>
        <v/>
      </c>
      <c r="P71" s="133" t="str">
        <f t="shared" si="0"/>
        <v>No</v>
      </c>
    </row>
    <row r="72" spans="1:16" ht="75.599999999999994" customHeight="1" x14ac:dyDescent="0.3">
      <c r="A72" s="454">
        <f>Measures!A72</f>
        <v>65</v>
      </c>
      <c r="B72" s="425" t="str">
        <f>IF(Measures!AM72="Row Not Used","",IF(ISBLANK(Measures!V72),Measures!B72,_xlfn.CONCAT(Measures!B72," - ",Measures!V72)))</f>
        <v/>
      </c>
      <c r="C72" s="426" t="str">
        <f>IF(Measures!AM72="Row Not Used","",_xlfn.CONCAT(Measures!D72," - ",Measures!E72," - ",Measures!F72))</f>
        <v/>
      </c>
      <c r="D72" s="442" t="str">
        <f>IF(Measures!AM72="Row Not Used","",Measures!G72)</f>
        <v/>
      </c>
      <c r="E72" s="443" t="str">
        <f>IF(Measures!AM72="Row Not Used","",Measures!H72)</f>
        <v/>
      </c>
      <c r="F72" s="450" t="str">
        <f>IF(Measures!AM72="Row Not Used","",Measures!I72)</f>
        <v/>
      </c>
      <c r="G72" s="426" t="str">
        <f>IF(OR(Measures!AM72="Row Not Used",Measures!C72="Controls Only",Measures!C72="Decommissioning"),"",_xlfn.CONCAT(Measures!K72," - ",Measures!L72))</f>
        <v/>
      </c>
      <c r="H72" s="442" t="str">
        <f>IF(OR(Measures!AM72="Row Not Used",Measures!C72="Controls Only",Measures!C72="Decommissioning"),"",Measures!M72)</f>
        <v/>
      </c>
      <c r="I72" s="443" t="str">
        <f>IF(OR(Measures!AM72="Row Not Used",Measures!C72="Controls Only",Measures!C72="Decommissioning"),"",Measures!N72)</f>
        <v/>
      </c>
      <c r="J72" s="444" t="str">
        <f>IF(OR(Measures!AM72="Row Not Used",Measures!C72="Controls Only",Measures!C72="Decommissioning"),"",Measures!O72)</f>
        <v/>
      </c>
      <c r="K72" s="425" t="str">
        <f>IF(OR(Measures!AM72="Row Not Used",Measures!C72="Controls Only",Measures!C72="Decommissioning"),"",Measures!AS72)</f>
        <v/>
      </c>
      <c r="L72" s="426" t="str">
        <f>IF(OR(Measures!AM72="Row Not Used",Measures!AM72="Decommissioning",ISBLANK(Measures!R72)),"",Measures!R72)</f>
        <v/>
      </c>
      <c r="M72" s="431" t="str">
        <f>IF(OR(Measures!AM72="Row Not Used",Measures!AM72="Fixtures Only",Measures!AM72="Decommissioning"),"",Measures!S72)</f>
        <v/>
      </c>
      <c r="N72" s="432" t="str">
        <f>IF(Measures!AM72="Row Not Used","",Measures!AF72)</f>
        <v/>
      </c>
      <c r="O72" s="426" t="str">
        <f>IF(Measures!AM72="Row Not Used","",Measures!C72)</f>
        <v/>
      </c>
      <c r="P72" s="133" t="str">
        <f t="shared" si="0"/>
        <v>No</v>
      </c>
    </row>
    <row r="73" spans="1:16" ht="75.599999999999994" customHeight="1" x14ac:dyDescent="0.3">
      <c r="A73" s="454">
        <f>Measures!A73</f>
        <v>66</v>
      </c>
      <c r="B73" s="425" t="str">
        <f>IF(Measures!AM73="Row Not Used","",IF(ISBLANK(Measures!V73),Measures!B73,_xlfn.CONCAT(Measures!B73," - ",Measures!V73)))</f>
        <v/>
      </c>
      <c r="C73" s="426" t="str">
        <f>IF(Measures!AM73="Row Not Used","",_xlfn.CONCAT(Measures!D73," - ",Measures!E73," - ",Measures!F73))</f>
        <v/>
      </c>
      <c r="D73" s="442" t="str">
        <f>IF(Measures!AM73="Row Not Used","",Measures!G73)</f>
        <v/>
      </c>
      <c r="E73" s="443" t="str">
        <f>IF(Measures!AM73="Row Not Used","",Measures!H73)</f>
        <v/>
      </c>
      <c r="F73" s="450" t="str">
        <f>IF(Measures!AM73="Row Not Used","",Measures!I73)</f>
        <v/>
      </c>
      <c r="G73" s="426" t="str">
        <f>IF(OR(Measures!AM73="Row Not Used",Measures!C73="Controls Only",Measures!C73="Decommissioning"),"",_xlfn.CONCAT(Measures!K73," - ",Measures!L73))</f>
        <v/>
      </c>
      <c r="H73" s="442" t="str">
        <f>IF(OR(Measures!AM73="Row Not Used",Measures!C73="Controls Only",Measures!C73="Decommissioning"),"",Measures!M73)</f>
        <v/>
      </c>
      <c r="I73" s="443" t="str">
        <f>IF(OR(Measures!AM73="Row Not Used",Measures!C73="Controls Only",Measures!C73="Decommissioning"),"",Measures!N73)</f>
        <v/>
      </c>
      <c r="J73" s="444" t="str">
        <f>IF(OR(Measures!AM73="Row Not Used",Measures!C73="Controls Only",Measures!C73="Decommissioning"),"",Measures!O73)</f>
        <v/>
      </c>
      <c r="K73" s="425" t="str">
        <f>IF(OR(Measures!AM73="Row Not Used",Measures!C73="Controls Only",Measures!C73="Decommissioning"),"",Measures!AS73)</f>
        <v/>
      </c>
      <c r="L73" s="426" t="str">
        <f>IF(OR(Measures!AM73="Row Not Used",Measures!AM73="Decommissioning",ISBLANK(Measures!R73)),"",Measures!R73)</f>
        <v/>
      </c>
      <c r="M73" s="431" t="str">
        <f>IF(OR(Measures!AM73="Row Not Used",Measures!AM73="Fixtures Only",Measures!AM73="Decommissioning"),"",Measures!S73)</f>
        <v/>
      </c>
      <c r="N73" s="432" t="str">
        <f>IF(Measures!AM73="Row Not Used","",Measures!AF73)</f>
        <v/>
      </c>
      <c r="O73" s="426" t="str">
        <f>IF(Measures!AM73="Row Not Used","",Measures!C73)</f>
        <v/>
      </c>
      <c r="P73" s="133" t="str">
        <f t="shared" ref="P73:P136" si="1">IF(LEN(B73)&gt;0,"Yes","No")</f>
        <v>No</v>
      </c>
    </row>
    <row r="74" spans="1:16" ht="75.599999999999994" customHeight="1" x14ac:dyDescent="0.3">
      <c r="A74" s="454">
        <f>Measures!A74</f>
        <v>67</v>
      </c>
      <c r="B74" s="425" t="str">
        <f>IF(Measures!AM74="Row Not Used","",IF(ISBLANK(Measures!V74),Measures!B74,_xlfn.CONCAT(Measures!B74," - ",Measures!V74)))</f>
        <v/>
      </c>
      <c r="C74" s="426" t="str">
        <f>IF(Measures!AM74="Row Not Used","",_xlfn.CONCAT(Measures!D74," - ",Measures!E74," - ",Measures!F74))</f>
        <v/>
      </c>
      <c r="D74" s="442" t="str">
        <f>IF(Measures!AM74="Row Not Used","",Measures!G74)</f>
        <v/>
      </c>
      <c r="E74" s="443" t="str">
        <f>IF(Measures!AM74="Row Not Used","",Measures!H74)</f>
        <v/>
      </c>
      <c r="F74" s="450" t="str">
        <f>IF(Measures!AM74="Row Not Used","",Measures!I74)</f>
        <v/>
      </c>
      <c r="G74" s="426" t="str">
        <f>IF(OR(Measures!AM74="Row Not Used",Measures!C74="Controls Only",Measures!C74="Decommissioning"),"",_xlfn.CONCAT(Measures!K74," - ",Measures!L74))</f>
        <v/>
      </c>
      <c r="H74" s="442" t="str">
        <f>IF(OR(Measures!AM74="Row Not Used",Measures!C74="Controls Only",Measures!C74="Decommissioning"),"",Measures!M74)</f>
        <v/>
      </c>
      <c r="I74" s="443" t="str">
        <f>IF(OR(Measures!AM74="Row Not Used",Measures!C74="Controls Only",Measures!C74="Decommissioning"),"",Measures!N74)</f>
        <v/>
      </c>
      <c r="J74" s="444" t="str">
        <f>IF(OR(Measures!AM74="Row Not Used",Measures!C74="Controls Only",Measures!C74="Decommissioning"),"",Measures!O74)</f>
        <v/>
      </c>
      <c r="K74" s="425" t="str">
        <f>IF(OR(Measures!AM74="Row Not Used",Measures!C74="Controls Only",Measures!C74="Decommissioning"),"",Measures!AS74)</f>
        <v/>
      </c>
      <c r="L74" s="426" t="str">
        <f>IF(OR(Measures!AM74="Row Not Used",Measures!AM74="Decommissioning",ISBLANK(Measures!R74)),"",Measures!R74)</f>
        <v/>
      </c>
      <c r="M74" s="431" t="str">
        <f>IF(OR(Measures!AM74="Row Not Used",Measures!AM74="Fixtures Only",Measures!AM74="Decommissioning"),"",Measures!S74)</f>
        <v/>
      </c>
      <c r="N74" s="432" t="str">
        <f>IF(Measures!AM74="Row Not Used","",Measures!AF74)</f>
        <v/>
      </c>
      <c r="O74" s="426" t="str">
        <f>IF(Measures!AM74="Row Not Used","",Measures!C74)</f>
        <v/>
      </c>
      <c r="P74" s="133" t="str">
        <f t="shared" si="1"/>
        <v>No</v>
      </c>
    </row>
    <row r="75" spans="1:16" ht="75.599999999999994" customHeight="1" x14ac:dyDescent="0.3">
      <c r="A75" s="454">
        <f>Measures!A75</f>
        <v>68</v>
      </c>
      <c r="B75" s="425" t="str">
        <f>IF(Measures!AM75="Row Not Used","",IF(ISBLANK(Measures!V75),Measures!B75,_xlfn.CONCAT(Measures!B75," - ",Measures!V75)))</f>
        <v/>
      </c>
      <c r="C75" s="426" t="str">
        <f>IF(Measures!AM75="Row Not Used","",_xlfn.CONCAT(Measures!D75," - ",Measures!E75," - ",Measures!F75))</f>
        <v/>
      </c>
      <c r="D75" s="442" t="str">
        <f>IF(Measures!AM75="Row Not Used","",Measures!G75)</f>
        <v/>
      </c>
      <c r="E75" s="443" t="str">
        <f>IF(Measures!AM75="Row Not Used","",Measures!H75)</f>
        <v/>
      </c>
      <c r="F75" s="450" t="str">
        <f>IF(Measures!AM75="Row Not Used","",Measures!I75)</f>
        <v/>
      </c>
      <c r="G75" s="426" t="str">
        <f>IF(OR(Measures!AM75="Row Not Used",Measures!C75="Controls Only",Measures!C75="Decommissioning"),"",_xlfn.CONCAT(Measures!K75," - ",Measures!L75))</f>
        <v/>
      </c>
      <c r="H75" s="442" t="str">
        <f>IF(OR(Measures!AM75="Row Not Used",Measures!C75="Controls Only",Measures!C75="Decommissioning"),"",Measures!M75)</f>
        <v/>
      </c>
      <c r="I75" s="443" t="str">
        <f>IF(OR(Measures!AM75="Row Not Used",Measures!C75="Controls Only",Measures!C75="Decommissioning"),"",Measures!N75)</f>
        <v/>
      </c>
      <c r="J75" s="444" t="str">
        <f>IF(OR(Measures!AM75="Row Not Used",Measures!C75="Controls Only",Measures!C75="Decommissioning"),"",Measures!O75)</f>
        <v/>
      </c>
      <c r="K75" s="425" t="str">
        <f>IF(OR(Measures!AM75="Row Not Used",Measures!C75="Controls Only",Measures!C75="Decommissioning"),"",Measures!AS75)</f>
        <v/>
      </c>
      <c r="L75" s="426" t="str">
        <f>IF(OR(Measures!AM75="Row Not Used",Measures!AM75="Decommissioning",ISBLANK(Measures!R75)),"",Measures!R75)</f>
        <v/>
      </c>
      <c r="M75" s="431" t="str">
        <f>IF(OR(Measures!AM75="Row Not Used",Measures!AM75="Fixtures Only",Measures!AM75="Decommissioning"),"",Measures!S75)</f>
        <v/>
      </c>
      <c r="N75" s="432" t="str">
        <f>IF(Measures!AM75="Row Not Used","",Measures!AF75)</f>
        <v/>
      </c>
      <c r="O75" s="426" t="str">
        <f>IF(Measures!AM75="Row Not Used","",Measures!C75)</f>
        <v/>
      </c>
      <c r="P75" s="133" t="str">
        <f t="shared" si="1"/>
        <v>No</v>
      </c>
    </row>
    <row r="76" spans="1:16" ht="75.599999999999994" customHeight="1" x14ac:dyDescent="0.3">
      <c r="A76" s="454">
        <f>Measures!A76</f>
        <v>69</v>
      </c>
      <c r="B76" s="425" t="str">
        <f>IF(Measures!AM76="Row Not Used","",IF(ISBLANK(Measures!V76),Measures!B76,_xlfn.CONCAT(Measures!B76," - ",Measures!V76)))</f>
        <v/>
      </c>
      <c r="C76" s="426" t="str">
        <f>IF(Measures!AM76="Row Not Used","",_xlfn.CONCAT(Measures!D76," - ",Measures!E76," - ",Measures!F76))</f>
        <v/>
      </c>
      <c r="D76" s="442" t="str">
        <f>IF(Measures!AM76="Row Not Used","",Measures!G76)</f>
        <v/>
      </c>
      <c r="E76" s="443" t="str">
        <f>IF(Measures!AM76="Row Not Used","",Measures!H76)</f>
        <v/>
      </c>
      <c r="F76" s="450" t="str">
        <f>IF(Measures!AM76="Row Not Used","",Measures!I76)</f>
        <v/>
      </c>
      <c r="G76" s="426" t="str">
        <f>IF(OR(Measures!AM76="Row Not Used",Measures!C76="Controls Only",Measures!C76="Decommissioning"),"",_xlfn.CONCAT(Measures!K76," - ",Measures!L76))</f>
        <v/>
      </c>
      <c r="H76" s="442" t="str">
        <f>IF(OR(Measures!AM76="Row Not Used",Measures!C76="Controls Only",Measures!C76="Decommissioning"),"",Measures!M76)</f>
        <v/>
      </c>
      <c r="I76" s="443" t="str">
        <f>IF(OR(Measures!AM76="Row Not Used",Measures!C76="Controls Only",Measures!C76="Decommissioning"),"",Measures!N76)</f>
        <v/>
      </c>
      <c r="J76" s="444" t="str">
        <f>IF(OR(Measures!AM76="Row Not Used",Measures!C76="Controls Only",Measures!C76="Decommissioning"),"",Measures!O76)</f>
        <v/>
      </c>
      <c r="K76" s="425" t="str">
        <f>IF(OR(Measures!AM76="Row Not Used",Measures!C76="Controls Only",Measures!C76="Decommissioning"),"",Measures!AS76)</f>
        <v/>
      </c>
      <c r="L76" s="426" t="str">
        <f>IF(OR(Measures!AM76="Row Not Used",Measures!AM76="Decommissioning",ISBLANK(Measures!R76)),"",Measures!R76)</f>
        <v/>
      </c>
      <c r="M76" s="431" t="str">
        <f>IF(OR(Measures!AM76="Row Not Used",Measures!AM76="Fixtures Only",Measures!AM76="Decommissioning"),"",Measures!S76)</f>
        <v/>
      </c>
      <c r="N76" s="432" t="str">
        <f>IF(Measures!AM76="Row Not Used","",Measures!AF76)</f>
        <v/>
      </c>
      <c r="O76" s="426" t="str">
        <f>IF(Measures!AM76="Row Not Used","",Measures!C76)</f>
        <v/>
      </c>
      <c r="P76" s="133" t="str">
        <f t="shared" si="1"/>
        <v>No</v>
      </c>
    </row>
    <row r="77" spans="1:16" ht="75.599999999999994" customHeight="1" x14ac:dyDescent="0.3">
      <c r="A77" s="454">
        <f>Measures!A77</f>
        <v>70</v>
      </c>
      <c r="B77" s="425" t="str">
        <f>IF(Measures!AM77="Row Not Used","",IF(ISBLANK(Measures!V77),Measures!B77,_xlfn.CONCAT(Measures!B77," - ",Measures!V77)))</f>
        <v/>
      </c>
      <c r="C77" s="426" t="str">
        <f>IF(Measures!AM77="Row Not Used","",_xlfn.CONCAT(Measures!D77," - ",Measures!E77," - ",Measures!F77))</f>
        <v/>
      </c>
      <c r="D77" s="442" t="str">
        <f>IF(Measures!AM77="Row Not Used","",Measures!G77)</f>
        <v/>
      </c>
      <c r="E77" s="443" t="str">
        <f>IF(Measures!AM77="Row Not Used","",Measures!H77)</f>
        <v/>
      </c>
      <c r="F77" s="450" t="str">
        <f>IF(Measures!AM77="Row Not Used","",Measures!I77)</f>
        <v/>
      </c>
      <c r="G77" s="426" t="str">
        <f>IF(OR(Measures!AM77="Row Not Used",Measures!C77="Controls Only",Measures!C77="Decommissioning"),"",_xlfn.CONCAT(Measures!K77," - ",Measures!L77))</f>
        <v/>
      </c>
      <c r="H77" s="442" t="str">
        <f>IF(OR(Measures!AM77="Row Not Used",Measures!C77="Controls Only",Measures!C77="Decommissioning"),"",Measures!M77)</f>
        <v/>
      </c>
      <c r="I77" s="443" t="str">
        <f>IF(OR(Measures!AM77="Row Not Used",Measures!C77="Controls Only",Measures!C77="Decommissioning"),"",Measures!N77)</f>
        <v/>
      </c>
      <c r="J77" s="444" t="str">
        <f>IF(OR(Measures!AM77="Row Not Used",Measures!C77="Controls Only",Measures!C77="Decommissioning"),"",Measures!O77)</f>
        <v/>
      </c>
      <c r="K77" s="425" t="str">
        <f>IF(OR(Measures!AM77="Row Not Used",Measures!C77="Controls Only",Measures!C77="Decommissioning"),"",Measures!AS77)</f>
        <v/>
      </c>
      <c r="L77" s="426" t="str">
        <f>IF(OR(Measures!AM77="Row Not Used",Measures!AM77="Decommissioning",ISBLANK(Measures!R77)),"",Measures!R77)</f>
        <v/>
      </c>
      <c r="M77" s="431" t="str">
        <f>IF(OR(Measures!AM77="Row Not Used",Measures!AM77="Fixtures Only",Measures!AM77="Decommissioning"),"",Measures!S77)</f>
        <v/>
      </c>
      <c r="N77" s="432" t="str">
        <f>IF(Measures!AM77="Row Not Used","",Measures!AF77)</f>
        <v/>
      </c>
      <c r="O77" s="426" t="str">
        <f>IF(Measures!AM77="Row Not Used","",Measures!C77)</f>
        <v/>
      </c>
      <c r="P77" s="133" t="str">
        <f t="shared" si="1"/>
        <v>No</v>
      </c>
    </row>
    <row r="78" spans="1:16" ht="75.599999999999994" customHeight="1" x14ac:dyDescent="0.3">
      <c r="A78" s="454">
        <f>Measures!A78</f>
        <v>71</v>
      </c>
      <c r="B78" s="425" t="str">
        <f>IF(Measures!AM78="Row Not Used","",IF(ISBLANK(Measures!V78),Measures!B78,_xlfn.CONCAT(Measures!B78," - ",Measures!V78)))</f>
        <v/>
      </c>
      <c r="C78" s="426" t="str">
        <f>IF(Measures!AM78="Row Not Used","",_xlfn.CONCAT(Measures!D78," - ",Measures!E78," - ",Measures!F78))</f>
        <v/>
      </c>
      <c r="D78" s="442" t="str">
        <f>IF(Measures!AM78="Row Not Used","",Measures!G78)</f>
        <v/>
      </c>
      <c r="E78" s="443" t="str">
        <f>IF(Measures!AM78="Row Not Used","",Measures!H78)</f>
        <v/>
      </c>
      <c r="F78" s="450" t="str">
        <f>IF(Measures!AM78="Row Not Used","",Measures!I78)</f>
        <v/>
      </c>
      <c r="G78" s="426" t="str">
        <f>IF(OR(Measures!AM78="Row Not Used",Measures!C78="Controls Only",Measures!C78="Decommissioning"),"",_xlfn.CONCAT(Measures!K78," - ",Measures!L78))</f>
        <v/>
      </c>
      <c r="H78" s="442" t="str">
        <f>IF(OR(Measures!AM78="Row Not Used",Measures!C78="Controls Only",Measures!C78="Decommissioning"),"",Measures!M78)</f>
        <v/>
      </c>
      <c r="I78" s="443" t="str">
        <f>IF(OR(Measures!AM78="Row Not Used",Measures!C78="Controls Only",Measures!C78="Decommissioning"),"",Measures!N78)</f>
        <v/>
      </c>
      <c r="J78" s="444" t="str">
        <f>IF(OR(Measures!AM78="Row Not Used",Measures!C78="Controls Only",Measures!C78="Decommissioning"),"",Measures!O78)</f>
        <v/>
      </c>
      <c r="K78" s="425" t="str">
        <f>IF(OR(Measures!AM78="Row Not Used",Measures!C78="Controls Only",Measures!C78="Decommissioning"),"",Measures!AS78)</f>
        <v/>
      </c>
      <c r="L78" s="426" t="str">
        <f>IF(OR(Measures!AM78="Row Not Used",Measures!AM78="Decommissioning",ISBLANK(Measures!R78)),"",Measures!R78)</f>
        <v/>
      </c>
      <c r="M78" s="431" t="str">
        <f>IF(OR(Measures!AM78="Row Not Used",Measures!AM78="Fixtures Only",Measures!AM78="Decommissioning"),"",Measures!S78)</f>
        <v/>
      </c>
      <c r="N78" s="432" t="str">
        <f>IF(Measures!AM78="Row Not Used","",Measures!AF78)</f>
        <v/>
      </c>
      <c r="O78" s="426" t="str">
        <f>IF(Measures!AM78="Row Not Used","",Measures!C78)</f>
        <v/>
      </c>
      <c r="P78" s="133" t="str">
        <f t="shared" si="1"/>
        <v>No</v>
      </c>
    </row>
    <row r="79" spans="1:16" ht="75.599999999999994" customHeight="1" x14ac:dyDescent="0.3">
      <c r="A79" s="454">
        <f>Measures!A79</f>
        <v>72</v>
      </c>
      <c r="B79" s="425" t="str">
        <f>IF(Measures!AM79="Row Not Used","",IF(ISBLANK(Measures!V79),Measures!B79,_xlfn.CONCAT(Measures!B79," - ",Measures!V79)))</f>
        <v/>
      </c>
      <c r="C79" s="426" t="str">
        <f>IF(Measures!AM79="Row Not Used","",_xlfn.CONCAT(Measures!D79," - ",Measures!E79," - ",Measures!F79))</f>
        <v/>
      </c>
      <c r="D79" s="442" t="str">
        <f>IF(Measures!AM79="Row Not Used","",Measures!G79)</f>
        <v/>
      </c>
      <c r="E79" s="443" t="str">
        <f>IF(Measures!AM79="Row Not Used","",Measures!H79)</f>
        <v/>
      </c>
      <c r="F79" s="450" t="str">
        <f>IF(Measures!AM79="Row Not Used","",Measures!I79)</f>
        <v/>
      </c>
      <c r="G79" s="426" t="str">
        <f>IF(OR(Measures!AM79="Row Not Used",Measures!C79="Controls Only",Measures!C79="Decommissioning"),"",_xlfn.CONCAT(Measures!K79," - ",Measures!L79))</f>
        <v/>
      </c>
      <c r="H79" s="442" t="str">
        <f>IF(OR(Measures!AM79="Row Not Used",Measures!C79="Controls Only",Measures!C79="Decommissioning"),"",Measures!M79)</f>
        <v/>
      </c>
      <c r="I79" s="443" t="str">
        <f>IF(OR(Measures!AM79="Row Not Used",Measures!C79="Controls Only",Measures!C79="Decommissioning"),"",Measures!N79)</f>
        <v/>
      </c>
      <c r="J79" s="444" t="str">
        <f>IF(OR(Measures!AM79="Row Not Used",Measures!C79="Controls Only",Measures!C79="Decommissioning"),"",Measures!O79)</f>
        <v/>
      </c>
      <c r="K79" s="425" t="str">
        <f>IF(OR(Measures!AM79="Row Not Used",Measures!C79="Controls Only",Measures!C79="Decommissioning"),"",Measures!AS79)</f>
        <v/>
      </c>
      <c r="L79" s="426" t="str">
        <f>IF(OR(Measures!AM79="Row Not Used",Measures!AM79="Decommissioning",ISBLANK(Measures!R79)),"",Measures!R79)</f>
        <v/>
      </c>
      <c r="M79" s="431" t="str">
        <f>IF(OR(Measures!AM79="Row Not Used",Measures!AM79="Fixtures Only",Measures!AM79="Decommissioning"),"",Measures!S79)</f>
        <v/>
      </c>
      <c r="N79" s="432" t="str">
        <f>IF(Measures!AM79="Row Not Used","",Measures!AF79)</f>
        <v/>
      </c>
      <c r="O79" s="426" t="str">
        <f>IF(Measures!AM79="Row Not Used","",Measures!C79)</f>
        <v/>
      </c>
      <c r="P79" s="133" t="str">
        <f t="shared" si="1"/>
        <v>No</v>
      </c>
    </row>
    <row r="80" spans="1:16" ht="75.599999999999994" customHeight="1" x14ac:dyDescent="0.3">
      <c r="A80" s="454">
        <f>Measures!A80</f>
        <v>73</v>
      </c>
      <c r="B80" s="425" t="str">
        <f>IF(Measures!AM80="Row Not Used","",IF(ISBLANK(Measures!V80),Measures!B80,_xlfn.CONCAT(Measures!B80," - ",Measures!V80)))</f>
        <v/>
      </c>
      <c r="C80" s="426" t="str">
        <f>IF(Measures!AM80="Row Not Used","",_xlfn.CONCAT(Measures!D80," - ",Measures!E80," - ",Measures!F80))</f>
        <v/>
      </c>
      <c r="D80" s="442" t="str">
        <f>IF(Measures!AM80="Row Not Used","",Measures!G80)</f>
        <v/>
      </c>
      <c r="E80" s="443" t="str">
        <f>IF(Measures!AM80="Row Not Used","",Measures!H80)</f>
        <v/>
      </c>
      <c r="F80" s="450" t="str">
        <f>IF(Measures!AM80="Row Not Used","",Measures!I80)</f>
        <v/>
      </c>
      <c r="G80" s="426" t="str">
        <f>IF(OR(Measures!AM80="Row Not Used",Measures!C80="Controls Only",Measures!C80="Decommissioning"),"",_xlfn.CONCAT(Measures!K80," - ",Measures!L80))</f>
        <v/>
      </c>
      <c r="H80" s="442" t="str">
        <f>IF(OR(Measures!AM80="Row Not Used",Measures!C80="Controls Only",Measures!C80="Decommissioning"),"",Measures!M80)</f>
        <v/>
      </c>
      <c r="I80" s="443" t="str">
        <f>IF(OR(Measures!AM80="Row Not Used",Measures!C80="Controls Only",Measures!C80="Decommissioning"),"",Measures!N80)</f>
        <v/>
      </c>
      <c r="J80" s="444" t="str">
        <f>IF(OR(Measures!AM80="Row Not Used",Measures!C80="Controls Only",Measures!C80="Decommissioning"),"",Measures!O80)</f>
        <v/>
      </c>
      <c r="K80" s="425" t="str">
        <f>IF(OR(Measures!AM80="Row Not Used",Measures!C80="Controls Only",Measures!C80="Decommissioning"),"",Measures!AS80)</f>
        <v/>
      </c>
      <c r="L80" s="426" t="str">
        <f>IF(OR(Measures!AM80="Row Not Used",Measures!AM80="Decommissioning",ISBLANK(Measures!R80)),"",Measures!R80)</f>
        <v/>
      </c>
      <c r="M80" s="431" t="str">
        <f>IF(OR(Measures!AM80="Row Not Used",Measures!AM80="Fixtures Only",Measures!AM80="Decommissioning"),"",Measures!S80)</f>
        <v/>
      </c>
      <c r="N80" s="432" t="str">
        <f>IF(Measures!AM80="Row Not Used","",Measures!AF80)</f>
        <v/>
      </c>
      <c r="O80" s="426" t="str">
        <f>IF(Measures!AM80="Row Not Used","",Measures!C80)</f>
        <v/>
      </c>
      <c r="P80" s="133" t="str">
        <f t="shared" si="1"/>
        <v>No</v>
      </c>
    </row>
    <row r="81" spans="1:16" ht="75.599999999999994" customHeight="1" x14ac:dyDescent="0.3">
      <c r="A81" s="454">
        <f>Measures!A81</f>
        <v>74</v>
      </c>
      <c r="B81" s="425" t="str">
        <f>IF(Measures!AM81="Row Not Used","",IF(ISBLANK(Measures!V81),Measures!B81,_xlfn.CONCAT(Measures!B81," - ",Measures!V81)))</f>
        <v/>
      </c>
      <c r="C81" s="426" t="str">
        <f>IF(Measures!AM81="Row Not Used","",_xlfn.CONCAT(Measures!D81," - ",Measures!E81," - ",Measures!F81))</f>
        <v/>
      </c>
      <c r="D81" s="442" t="str">
        <f>IF(Measures!AM81="Row Not Used","",Measures!G81)</f>
        <v/>
      </c>
      <c r="E81" s="443" t="str">
        <f>IF(Measures!AM81="Row Not Used","",Measures!H81)</f>
        <v/>
      </c>
      <c r="F81" s="450" t="str">
        <f>IF(Measures!AM81="Row Not Used","",Measures!I81)</f>
        <v/>
      </c>
      <c r="G81" s="426" t="str">
        <f>IF(OR(Measures!AM81="Row Not Used",Measures!C81="Controls Only",Measures!C81="Decommissioning"),"",_xlfn.CONCAT(Measures!K81," - ",Measures!L81))</f>
        <v/>
      </c>
      <c r="H81" s="442" t="str">
        <f>IF(OR(Measures!AM81="Row Not Used",Measures!C81="Controls Only",Measures!C81="Decommissioning"),"",Measures!M81)</f>
        <v/>
      </c>
      <c r="I81" s="443" t="str">
        <f>IF(OR(Measures!AM81="Row Not Used",Measures!C81="Controls Only",Measures!C81="Decommissioning"),"",Measures!N81)</f>
        <v/>
      </c>
      <c r="J81" s="444" t="str">
        <f>IF(OR(Measures!AM81="Row Not Used",Measures!C81="Controls Only",Measures!C81="Decommissioning"),"",Measures!O81)</f>
        <v/>
      </c>
      <c r="K81" s="425" t="str">
        <f>IF(OR(Measures!AM81="Row Not Used",Measures!C81="Controls Only",Measures!C81="Decommissioning"),"",Measures!AS81)</f>
        <v/>
      </c>
      <c r="L81" s="426" t="str">
        <f>IF(OR(Measures!AM81="Row Not Used",Measures!AM81="Decommissioning",ISBLANK(Measures!R81)),"",Measures!R81)</f>
        <v/>
      </c>
      <c r="M81" s="431" t="str">
        <f>IF(OR(Measures!AM81="Row Not Used",Measures!AM81="Fixtures Only",Measures!AM81="Decommissioning"),"",Measures!S81)</f>
        <v/>
      </c>
      <c r="N81" s="432" t="str">
        <f>IF(Measures!AM81="Row Not Used","",Measures!AF81)</f>
        <v/>
      </c>
      <c r="O81" s="426" t="str">
        <f>IF(Measures!AM81="Row Not Used","",Measures!C81)</f>
        <v/>
      </c>
      <c r="P81" s="133" t="str">
        <f t="shared" si="1"/>
        <v>No</v>
      </c>
    </row>
    <row r="82" spans="1:16" ht="75.599999999999994" customHeight="1" x14ac:dyDescent="0.3">
      <c r="A82" s="454">
        <f>Measures!A82</f>
        <v>75</v>
      </c>
      <c r="B82" s="425" t="str">
        <f>IF(Measures!AM82="Row Not Used","",IF(ISBLANK(Measures!V82),Measures!B82,_xlfn.CONCAT(Measures!B82," - ",Measures!V82)))</f>
        <v/>
      </c>
      <c r="C82" s="426" t="str">
        <f>IF(Measures!AM82="Row Not Used","",_xlfn.CONCAT(Measures!D82," - ",Measures!E82," - ",Measures!F82))</f>
        <v/>
      </c>
      <c r="D82" s="442" t="str">
        <f>IF(Measures!AM82="Row Not Used","",Measures!G82)</f>
        <v/>
      </c>
      <c r="E82" s="443" t="str">
        <f>IF(Measures!AM82="Row Not Used","",Measures!H82)</f>
        <v/>
      </c>
      <c r="F82" s="450" t="str">
        <f>IF(Measures!AM82="Row Not Used","",Measures!I82)</f>
        <v/>
      </c>
      <c r="G82" s="426" t="str">
        <f>IF(OR(Measures!AM82="Row Not Used",Measures!C82="Controls Only",Measures!C82="Decommissioning"),"",_xlfn.CONCAT(Measures!K82," - ",Measures!L82))</f>
        <v/>
      </c>
      <c r="H82" s="442" t="str">
        <f>IF(OR(Measures!AM82="Row Not Used",Measures!C82="Controls Only",Measures!C82="Decommissioning"),"",Measures!M82)</f>
        <v/>
      </c>
      <c r="I82" s="443" t="str">
        <f>IF(OR(Measures!AM82="Row Not Used",Measures!C82="Controls Only",Measures!C82="Decommissioning"),"",Measures!N82)</f>
        <v/>
      </c>
      <c r="J82" s="444" t="str">
        <f>IF(OR(Measures!AM82="Row Not Used",Measures!C82="Controls Only",Measures!C82="Decommissioning"),"",Measures!O82)</f>
        <v/>
      </c>
      <c r="K82" s="425" t="str">
        <f>IF(OR(Measures!AM82="Row Not Used",Measures!C82="Controls Only",Measures!C82="Decommissioning"),"",Measures!AS82)</f>
        <v/>
      </c>
      <c r="L82" s="426" t="str">
        <f>IF(OR(Measures!AM82="Row Not Used",Measures!AM82="Decommissioning",ISBLANK(Measures!R82)),"",Measures!R82)</f>
        <v/>
      </c>
      <c r="M82" s="431" t="str">
        <f>IF(OR(Measures!AM82="Row Not Used",Measures!AM82="Fixtures Only",Measures!AM82="Decommissioning"),"",Measures!S82)</f>
        <v/>
      </c>
      <c r="N82" s="432" t="str">
        <f>IF(Measures!AM82="Row Not Used","",Measures!AF82)</f>
        <v/>
      </c>
      <c r="O82" s="426" t="str">
        <f>IF(Measures!AM82="Row Not Used","",Measures!C82)</f>
        <v/>
      </c>
      <c r="P82" s="133" t="str">
        <f t="shared" si="1"/>
        <v>No</v>
      </c>
    </row>
    <row r="83" spans="1:16" ht="75.599999999999994" customHeight="1" x14ac:dyDescent="0.3">
      <c r="A83" s="454">
        <f>Measures!A83</f>
        <v>76</v>
      </c>
      <c r="B83" s="425" t="str">
        <f>IF(Measures!AM83="Row Not Used","",IF(ISBLANK(Measures!V83),Measures!B83,_xlfn.CONCAT(Measures!B83," - ",Measures!V83)))</f>
        <v/>
      </c>
      <c r="C83" s="426" t="str">
        <f>IF(Measures!AM83="Row Not Used","",_xlfn.CONCAT(Measures!D83," - ",Measures!E83," - ",Measures!F83))</f>
        <v/>
      </c>
      <c r="D83" s="442" t="str">
        <f>IF(Measures!AM83="Row Not Used","",Measures!G83)</f>
        <v/>
      </c>
      <c r="E83" s="443" t="str">
        <f>IF(Measures!AM83="Row Not Used","",Measures!H83)</f>
        <v/>
      </c>
      <c r="F83" s="450" t="str">
        <f>IF(Measures!AM83="Row Not Used","",Measures!I83)</f>
        <v/>
      </c>
      <c r="G83" s="426" t="str">
        <f>IF(OR(Measures!AM83="Row Not Used",Measures!C83="Controls Only",Measures!C83="Decommissioning"),"",_xlfn.CONCAT(Measures!K83," - ",Measures!L83))</f>
        <v/>
      </c>
      <c r="H83" s="442" t="str">
        <f>IF(OR(Measures!AM83="Row Not Used",Measures!C83="Controls Only",Measures!C83="Decommissioning"),"",Measures!M83)</f>
        <v/>
      </c>
      <c r="I83" s="443" t="str">
        <f>IF(OR(Measures!AM83="Row Not Used",Measures!C83="Controls Only",Measures!C83="Decommissioning"),"",Measures!N83)</f>
        <v/>
      </c>
      <c r="J83" s="444" t="str">
        <f>IF(OR(Measures!AM83="Row Not Used",Measures!C83="Controls Only",Measures!C83="Decommissioning"),"",Measures!O83)</f>
        <v/>
      </c>
      <c r="K83" s="425" t="str">
        <f>IF(OR(Measures!AM83="Row Not Used",Measures!C83="Controls Only",Measures!C83="Decommissioning"),"",Measures!AS83)</f>
        <v/>
      </c>
      <c r="L83" s="426" t="str">
        <f>IF(OR(Measures!AM83="Row Not Used",Measures!AM83="Decommissioning",ISBLANK(Measures!R83)),"",Measures!R83)</f>
        <v/>
      </c>
      <c r="M83" s="431" t="str">
        <f>IF(OR(Measures!AM83="Row Not Used",Measures!AM83="Fixtures Only",Measures!AM83="Decommissioning"),"",Measures!S83)</f>
        <v/>
      </c>
      <c r="N83" s="432" t="str">
        <f>IF(Measures!AM83="Row Not Used","",Measures!AF83)</f>
        <v/>
      </c>
      <c r="O83" s="426" t="str">
        <f>IF(Measures!AM83="Row Not Used","",Measures!C83)</f>
        <v/>
      </c>
      <c r="P83" s="133" t="str">
        <f t="shared" si="1"/>
        <v>No</v>
      </c>
    </row>
    <row r="84" spans="1:16" ht="75.599999999999994" customHeight="1" x14ac:dyDescent="0.3">
      <c r="A84" s="454">
        <f>Measures!A84</f>
        <v>77</v>
      </c>
      <c r="B84" s="425" t="str">
        <f>IF(Measures!AM84="Row Not Used","",IF(ISBLANK(Measures!V84),Measures!B84,_xlfn.CONCAT(Measures!B84," - ",Measures!V84)))</f>
        <v/>
      </c>
      <c r="C84" s="426" t="str">
        <f>IF(Measures!AM84="Row Not Used","",_xlfn.CONCAT(Measures!D84," - ",Measures!E84," - ",Measures!F84))</f>
        <v/>
      </c>
      <c r="D84" s="442" t="str">
        <f>IF(Measures!AM84="Row Not Used","",Measures!G84)</f>
        <v/>
      </c>
      <c r="E84" s="443" t="str">
        <f>IF(Measures!AM84="Row Not Used","",Measures!H84)</f>
        <v/>
      </c>
      <c r="F84" s="450" t="str">
        <f>IF(Measures!AM84="Row Not Used","",Measures!I84)</f>
        <v/>
      </c>
      <c r="G84" s="426" t="str">
        <f>IF(OR(Measures!AM84="Row Not Used",Measures!C84="Controls Only",Measures!C84="Decommissioning"),"",_xlfn.CONCAT(Measures!K84," - ",Measures!L84))</f>
        <v/>
      </c>
      <c r="H84" s="442" t="str">
        <f>IF(OR(Measures!AM84="Row Not Used",Measures!C84="Controls Only",Measures!C84="Decommissioning"),"",Measures!M84)</f>
        <v/>
      </c>
      <c r="I84" s="443" t="str">
        <f>IF(OR(Measures!AM84="Row Not Used",Measures!C84="Controls Only",Measures!C84="Decommissioning"),"",Measures!N84)</f>
        <v/>
      </c>
      <c r="J84" s="444" t="str">
        <f>IF(OR(Measures!AM84="Row Not Used",Measures!C84="Controls Only",Measures!C84="Decommissioning"),"",Measures!O84)</f>
        <v/>
      </c>
      <c r="K84" s="425" t="str">
        <f>IF(OR(Measures!AM84="Row Not Used",Measures!C84="Controls Only",Measures!C84="Decommissioning"),"",Measures!AS84)</f>
        <v/>
      </c>
      <c r="L84" s="426" t="str">
        <f>IF(OR(Measures!AM84="Row Not Used",Measures!AM84="Decommissioning",ISBLANK(Measures!R84)),"",Measures!R84)</f>
        <v/>
      </c>
      <c r="M84" s="431" t="str">
        <f>IF(OR(Measures!AM84="Row Not Used",Measures!AM84="Fixtures Only",Measures!AM84="Decommissioning"),"",Measures!S84)</f>
        <v/>
      </c>
      <c r="N84" s="432" t="str">
        <f>IF(Measures!AM84="Row Not Used","",Measures!AF84)</f>
        <v/>
      </c>
      <c r="O84" s="426" t="str">
        <f>IF(Measures!AM84="Row Not Used","",Measures!C84)</f>
        <v/>
      </c>
      <c r="P84" s="133" t="str">
        <f t="shared" si="1"/>
        <v>No</v>
      </c>
    </row>
    <row r="85" spans="1:16" ht="75.599999999999994" customHeight="1" x14ac:dyDescent="0.3">
      <c r="A85" s="454">
        <f>Measures!A85</f>
        <v>78</v>
      </c>
      <c r="B85" s="425" t="str">
        <f>IF(Measures!AM85="Row Not Used","",IF(ISBLANK(Measures!V85),Measures!B85,_xlfn.CONCAT(Measures!B85," - ",Measures!V85)))</f>
        <v/>
      </c>
      <c r="C85" s="426" t="str">
        <f>IF(Measures!AM85="Row Not Used","",_xlfn.CONCAT(Measures!D85," - ",Measures!E85," - ",Measures!F85))</f>
        <v/>
      </c>
      <c r="D85" s="442" t="str">
        <f>IF(Measures!AM85="Row Not Used","",Measures!G85)</f>
        <v/>
      </c>
      <c r="E85" s="443" t="str">
        <f>IF(Measures!AM85="Row Not Used","",Measures!H85)</f>
        <v/>
      </c>
      <c r="F85" s="450" t="str">
        <f>IF(Measures!AM85="Row Not Used","",Measures!I85)</f>
        <v/>
      </c>
      <c r="G85" s="426" t="str">
        <f>IF(OR(Measures!AM85="Row Not Used",Measures!C85="Controls Only",Measures!C85="Decommissioning"),"",_xlfn.CONCAT(Measures!K85," - ",Measures!L85))</f>
        <v/>
      </c>
      <c r="H85" s="442" t="str">
        <f>IF(OR(Measures!AM85="Row Not Used",Measures!C85="Controls Only",Measures!C85="Decommissioning"),"",Measures!M85)</f>
        <v/>
      </c>
      <c r="I85" s="443" t="str">
        <f>IF(OR(Measures!AM85="Row Not Used",Measures!C85="Controls Only",Measures!C85="Decommissioning"),"",Measures!N85)</f>
        <v/>
      </c>
      <c r="J85" s="444" t="str">
        <f>IF(OR(Measures!AM85="Row Not Used",Measures!C85="Controls Only",Measures!C85="Decommissioning"),"",Measures!O85)</f>
        <v/>
      </c>
      <c r="K85" s="425" t="str">
        <f>IF(OR(Measures!AM85="Row Not Used",Measures!C85="Controls Only",Measures!C85="Decommissioning"),"",Measures!AS85)</f>
        <v/>
      </c>
      <c r="L85" s="426" t="str">
        <f>IF(OR(Measures!AM85="Row Not Used",Measures!AM85="Decommissioning",ISBLANK(Measures!R85)),"",Measures!R85)</f>
        <v/>
      </c>
      <c r="M85" s="431" t="str">
        <f>IF(OR(Measures!AM85="Row Not Used",Measures!AM85="Fixtures Only",Measures!AM85="Decommissioning"),"",Measures!S85)</f>
        <v/>
      </c>
      <c r="N85" s="432" t="str">
        <f>IF(Measures!AM85="Row Not Used","",Measures!AF85)</f>
        <v/>
      </c>
      <c r="O85" s="426" t="str">
        <f>IF(Measures!AM85="Row Not Used","",Measures!C85)</f>
        <v/>
      </c>
      <c r="P85" s="133" t="str">
        <f t="shared" si="1"/>
        <v>No</v>
      </c>
    </row>
    <row r="86" spans="1:16" ht="75.599999999999994" customHeight="1" x14ac:dyDescent="0.3">
      <c r="A86" s="454">
        <f>Measures!A86</f>
        <v>79</v>
      </c>
      <c r="B86" s="425" t="str">
        <f>IF(Measures!AM86="Row Not Used","",IF(ISBLANK(Measures!V86),Measures!B86,_xlfn.CONCAT(Measures!B86," - ",Measures!V86)))</f>
        <v/>
      </c>
      <c r="C86" s="426" t="str">
        <f>IF(Measures!AM86="Row Not Used","",_xlfn.CONCAT(Measures!D86," - ",Measures!E86," - ",Measures!F86))</f>
        <v/>
      </c>
      <c r="D86" s="442" t="str">
        <f>IF(Measures!AM86="Row Not Used","",Measures!G86)</f>
        <v/>
      </c>
      <c r="E86" s="443" t="str">
        <f>IF(Measures!AM86="Row Not Used","",Measures!H86)</f>
        <v/>
      </c>
      <c r="F86" s="450" t="str">
        <f>IF(Measures!AM86="Row Not Used","",Measures!I86)</f>
        <v/>
      </c>
      <c r="G86" s="426" t="str">
        <f>IF(OR(Measures!AM86="Row Not Used",Measures!C86="Controls Only",Measures!C86="Decommissioning"),"",_xlfn.CONCAT(Measures!K86," - ",Measures!L86))</f>
        <v/>
      </c>
      <c r="H86" s="442" t="str">
        <f>IF(OR(Measures!AM86="Row Not Used",Measures!C86="Controls Only",Measures!C86="Decommissioning"),"",Measures!M86)</f>
        <v/>
      </c>
      <c r="I86" s="443" t="str">
        <f>IF(OR(Measures!AM86="Row Not Used",Measures!C86="Controls Only",Measures!C86="Decommissioning"),"",Measures!N86)</f>
        <v/>
      </c>
      <c r="J86" s="444" t="str">
        <f>IF(OR(Measures!AM86="Row Not Used",Measures!C86="Controls Only",Measures!C86="Decommissioning"),"",Measures!O86)</f>
        <v/>
      </c>
      <c r="K86" s="425" t="str">
        <f>IF(OR(Measures!AM86="Row Not Used",Measures!C86="Controls Only",Measures!C86="Decommissioning"),"",Measures!AS86)</f>
        <v/>
      </c>
      <c r="L86" s="426" t="str">
        <f>IF(OR(Measures!AM86="Row Not Used",Measures!AM86="Decommissioning",ISBLANK(Measures!R86)),"",Measures!R86)</f>
        <v/>
      </c>
      <c r="M86" s="431" t="str">
        <f>IF(OR(Measures!AM86="Row Not Used",Measures!AM86="Fixtures Only",Measures!AM86="Decommissioning"),"",Measures!S86)</f>
        <v/>
      </c>
      <c r="N86" s="432" t="str">
        <f>IF(Measures!AM86="Row Not Used","",Measures!AF86)</f>
        <v/>
      </c>
      <c r="O86" s="426" t="str">
        <f>IF(Measures!AM86="Row Not Used","",Measures!C86)</f>
        <v/>
      </c>
      <c r="P86" s="133" t="str">
        <f t="shared" si="1"/>
        <v>No</v>
      </c>
    </row>
    <row r="87" spans="1:16" ht="75.599999999999994" customHeight="1" x14ac:dyDescent="0.3">
      <c r="A87" s="454">
        <f>Measures!A87</f>
        <v>80</v>
      </c>
      <c r="B87" s="425" t="str">
        <f>IF(Measures!AM87="Row Not Used","",IF(ISBLANK(Measures!V87),Measures!B87,_xlfn.CONCAT(Measures!B87," - ",Measures!V87)))</f>
        <v/>
      </c>
      <c r="C87" s="426" t="str">
        <f>IF(Measures!AM87="Row Not Used","",_xlfn.CONCAT(Measures!D87," - ",Measures!E87," - ",Measures!F87))</f>
        <v/>
      </c>
      <c r="D87" s="442" t="str">
        <f>IF(Measures!AM87="Row Not Used","",Measures!G87)</f>
        <v/>
      </c>
      <c r="E87" s="443" t="str">
        <f>IF(Measures!AM87="Row Not Used","",Measures!H87)</f>
        <v/>
      </c>
      <c r="F87" s="450" t="str">
        <f>IF(Measures!AM87="Row Not Used","",Measures!I87)</f>
        <v/>
      </c>
      <c r="G87" s="426" t="str">
        <f>IF(OR(Measures!AM87="Row Not Used",Measures!C87="Controls Only",Measures!C87="Decommissioning"),"",_xlfn.CONCAT(Measures!K87," - ",Measures!L87))</f>
        <v/>
      </c>
      <c r="H87" s="442" t="str">
        <f>IF(OR(Measures!AM87="Row Not Used",Measures!C87="Controls Only",Measures!C87="Decommissioning"),"",Measures!M87)</f>
        <v/>
      </c>
      <c r="I87" s="443" t="str">
        <f>IF(OR(Measures!AM87="Row Not Used",Measures!C87="Controls Only",Measures!C87="Decommissioning"),"",Measures!N87)</f>
        <v/>
      </c>
      <c r="J87" s="444" t="str">
        <f>IF(OR(Measures!AM87="Row Not Used",Measures!C87="Controls Only",Measures!C87="Decommissioning"),"",Measures!O87)</f>
        <v/>
      </c>
      <c r="K87" s="425" t="str">
        <f>IF(OR(Measures!AM87="Row Not Used",Measures!C87="Controls Only",Measures!C87="Decommissioning"),"",Measures!AS87)</f>
        <v/>
      </c>
      <c r="L87" s="426" t="str">
        <f>IF(OR(Measures!AM87="Row Not Used",Measures!AM87="Decommissioning",ISBLANK(Measures!R87)),"",Measures!R87)</f>
        <v/>
      </c>
      <c r="M87" s="431" t="str">
        <f>IF(OR(Measures!AM87="Row Not Used",Measures!AM87="Fixtures Only",Measures!AM87="Decommissioning"),"",Measures!S87)</f>
        <v/>
      </c>
      <c r="N87" s="432" t="str">
        <f>IF(Measures!AM87="Row Not Used","",Measures!AF87)</f>
        <v/>
      </c>
      <c r="O87" s="426" t="str">
        <f>IF(Measures!AM87="Row Not Used","",Measures!C87)</f>
        <v/>
      </c>
      <c r="P87" s="133" t="str">
        <f t="shared" si="1"/>
        <v>No</v>
      </c>
    </row>
    <row r="88" spans="1:16" ht="75.599999999999994" customHeight="1" x14ac:dyDescent="0.3">
      <c r="A88" s="454">
        <f>Measures!A88</f>
        <v>81</v>
      </c>
      <c r="B88" s="425" t="str">
        <f>IF(Measures!AM88="Row Not Used","",IF(ISBLANK(Measures!V88),Measures!B88,_xlfn.CONCAT(Measures!B88," - ",Measures!V88)))</f>
        <v/>
      </c>
      <c r="C88" s="426" t="str">
        <f>IF(Measures!AM88="Row Not Used","",_xlfn.CONCAT(Measures!D88," - ",Measures!E88," - ",Measures!F88))</f>
        <v/>
      </c>
      <c r="D88" s="442" t="str">
        <f>IF(Measures!AM88="Row Not Used","",Measures!G88)</f>
        <v/>
      </c>
      <c r="E88" s="443" t="str">
        <f>IF(Measures!AM88="Row Not Used","",Measures!H88)</f>
        <v/>
      </c>
      <c r="F88" s="450" t="str">
        <f>IF(Measures!AM88="Row Not Used","",Measures!I88)</f>
        <v/>
      </c>
      <c r="G88" s="426" t="str">
        <f>IF(OR(Measures!AM88="Row Not Used",Measures!C88="Controls Only",Measures!C88="Decommissioning"),"",_xlfn.CONCAT(Measures!K88," - ",Measures!L88))</f>
        <v/>
      </c>
      <c r="H88" s="442" t="str">
        <f>IF(OR(Measures!AM88="Row Not Used",Measures!C88="Controls Only",Measures!C88="Decommissioning"),"",Measures!M88)</f>
        <v/>
      </c>
      <c r="I88" s="443" t="str">
        <f>IF(OR(Measures!AM88="Row Not Used",Measures!C88="Controls Only",Measures!C88="Decommissioning"),"",Measures!N88)</f>
        <v/>
      </c>
      <c r="J88" s="444" t="str">
        <f>IF(OR(Measures!AM88="Row Not Used",Measures!C88="Controls Only",Measures!C88="Decommissioning"),"",Measures!O88)</f>
        <v/>
      </c>
      <c r="K88" s="425" t="str">
        <f>IF(OR(Measures!AM88="Row Not Used",Measures!C88="Controls Only",Measures!C88="Decommissioning"),"",Measures!AS88)</f>
        <v/>
      </c>
      <c r="L88" s="426" t="str">
        <f>IF(OR(Measures!AM88="Row Not Used",Measures!AM88="Decommissioning",ISBLANK(Measures!R88)),"",Measures!R88)</f>
        <v/>
      </c>
      <c r="M88" s="431" t="str">
        <f>IF(OR(Measures!AM88="Row Not Used",Measures!AM88="Fixtures Only",Measures!AM88="Decommissioning"),"",Measures!S88)</f>
        <v/>
      </c>
      <c r="N88" s="432" t="str">
        <f>IF(Measures!AM88="Row Not Used","",Measures!AF88)</f>
        <v/>
      </c>
      <c r="O88" s="426" t="str">
        <f>IF(Measures!AM88="Row Not Used","",Measures!C88)</f>
        <v/>
      </c>
      <c r="P88" s="133" t="str">
        <f t="shared" si="1"/>
        <v>No</v>
      </c>
    </row>
    <row r="89" spans="1:16" ht="75.599999999999994" customHeight="1" x14ac:dyDescent="0.3">
      <c r="A89" s="454">
        <f>Measures!A89</f>
        <v>82</v>
      </c>
      <c r="B89" s="425" t="str">
        <f>IF(Measures!AM89="Row Not Used","",IF(ISBLANK(Measures!V89),Measures!B89,_xlfn.CONCAT(Measures!B89," - ",Measures!V89)))</f>
        <v/>
      </c>
      <c r="C89" s="426" t="str">
        <f>IF(Measures!AM89="Row Not Used","",_xlfn.CONCAT(Measures!D89," - ",Measures!E89," - ",Measures!F89))</f>
        <v/>
      </c>
      <c r="D89" s="442" t="str">
        <f>IF(Measures!AM89="Row Not Used","",Measures!G89)</f>
        <v/>
      </c>
      <c r="E89" s="443" t="str">
        <f>IF(Measures!AM89="Row Not Used","",Measures!H89)</f>
        <v/>
      </c>
      <c r="F89" s="450" t="str">
        <f>IF(Measures!AM89="Row Not Used","",Measures!I89)</f>
        <v/>
      </c>
      <c r="G89" s="426" t="str">
        <f>IF(OR(Measures!AM89="Row Not Used",Measures!C89="Controls Only",Measures!C89="Decommissioning"),"",_xlfn.CONCAT(Measures!K89," - ",Measures!L89))</f>
        <v/>
      </c>
      <c r="H89" s="442" t="str">
        <f>IF(OR(Measures!AM89="Row Not Used",Measures!C89="Controls Only",Measures!C89="Decommissioning"),"",Measures!M89)</f>
        <v/>
      </c>
      <c r="I89" s="443" t="str">
        <f>IF(OR(Measures!AM89="Row Not Used",Measures!C89="Controls Only",Measures!C89="Decommissioning"),"",Measures!N89)</f>
        <v/>
      </c>
      <c r="J89" s="444" t="str">
        <f>IF(OR(Measures!AM89="Row Not Used",Measures!C89="Controls Only",Measures!C89="Decommissioning"),"",Measures!O89)</f>
        <v/>
      </c>
      <c r="K89" s="425" t="str">
        <f>IF(OR(Measures!AM89="Row Not Used",Measures!C89="Controls Only",Measures!C89="Decommissioning"),"",Measures!AS89)</f>
        <v/>
      </c>
      <c r="L89" s="426" t="str">
        <f>IF(OR(Measures!AM89="Row Not Used",Measures!AM89="Decommissioning",ISBLANK(Measures!R89)),"",Measures!R89)</f>
        <v/>
      </c>
      <c r="M89" s="431" t="str">
        <f>IF(OR(Measures!AM89="Row Not Used",Measures!AM89="Fixtures Only",Measures!AM89="Decommissioning"),"",Measures!S89)</f>
        <v/>
      </c>
      <c r="N89" s="432" t="str">
        <f>IF(Measures!AM89="Row Not Used","",Measures!AF89)</f>
        <v/>
      </c>
      <c r="O89" s="426" t="str">
        <f>IF(Measures!AM89="Row Not Used","",Measures!C89)</f>
        <v/>
      </c>
      <c r="P89" s="133" t="str">
        <f t="shared" si="1"/>
        <v>No</v>
      </c>
    </row>
    <row r="90" spans="1:16" ht="75.599999999999994" customHeight="1" x14ac:dyDescent="0.3">
      <c r="A90" s="454">
        <f>Measures!A90</f>
        <v>83</v>
      </c>
      <c r="B90" s="425" t="str">
        <f>IF(Measures!AM90="Row Not Used","",IF(ISBLANK(Measures!V90),Measures!B90,_xlfn.CONCAT(Measures!B90," - ",Measures!V90)))</f>
        <v/>
      </c>
      <c r="C90" s="426" t="str">
        <f>IF(Measures!AM90="Row Not Used","",_xlfn.CONCAT(Measures!D90," - ",Measures!E90," - ",Measures!F90))</f>
        <v/>
      </c>
      <c r="D90" s="442" t="str">
        <f>IF(Measures!AM90="Row Not Used","",Measures!G90)</f>
        <v/>
      </c>
      <c r="E90" s="443" t="str">
        <f>IF(Measures!AM90="Row Not Used","",Measures!H90)</f>
        <v/>
      </c>
      <c r="F90" s="450" t="str">
        <f>IF(Measures!AM90="Row Not Used","",Measures!I90)</f>
        <v/>
      </c>
      <c r="G90" s="426" t="str">
        <f>IF(OR(Measures!AM90="Row Not Used",Measures!C90="Controls Only",Measures!C90="Decommissioning"),"",_xlfn.CONCAT(Measures!K90," - ",Measures!L90))</f>
        <v/>
      </c>
      <c r="H90" s="442" t="str">
        <f>IF(OR(Measures!AM90="Row Not Used",Measures!C90="Controls Only",Measures!C90="Decommissioning"),"",Measures!M90)</f>
        <v/>
      </c>
      <c r="I90" s="443" t="str">
        <f>IF(OR(Measures!AM90="Row Not Used",Measures!C90="Controls Only",Measures!C90="Decommissioning"),"",Measures!N90)</f>
        <v/>
      </c>
      <c r="J90" s="444" t="str">
        <f>IF(OR(Measures!AM90="Row Not Used",Measures!C90="Controls Only",Measures!C90="Decommissioning"),"",Measures!O90)</f>
        <v/>
      </c>
      <c r="K90" s="425" t="str">
        <f>IF(OR(Measures!AM90="Row Not Used",Measures!C90="Controls Only",Measures!C90="Decommissioning"),"",Measures!AS90)</f>
        <v/>
      </c>
      <c r="L90" s="426" t="str">
        <f>IF(OR(Measures!AM90="Row Not Used",Measures!AM90="Decommissioning",ISBLANK(Measures!R90)),"",Measures!R90)</f>
        <v/>
      </c>
      <c r="M90" s="431" t="str">
        <f>IF(OR(Measures!AM90="Row Not Used",Measures!AM90="Fixtures Only",Measures!AM90="Decommissioning"),"",Measures!S90)</f>
        <v/>
      </c>
      <c r="N90" s="432" t="str">
        <f>IF(Measures!AM90="Row Not Used","",Measures!AF90)</f>
        <v/>
      </c>
      <c r="O90" s="426" t="str">
        <f>IF(Measures!AM90="Row Not Used","",Measures!C90)</f>
        <v/>
      </c>
      <c r="P90" s="133" t="str">
        <f t="shared" si="1"/>
        <v>No</v>
      </c>
    </row>
    <row r="91" spans="1:16" ht="75.599999999999994" customHeight="1" x14ac:dyDescent="0.3">
      <c r="A91" s="454">
        <f>Measures!A91</f>
        <v>84</v>
      </c>
      <c r="B91" s="425" t="str">
        <f>IF(Measures!AM91="Row Not Used","",IF(ISBLANK(Measures!V91),Measures!B91,_xlfn.CONCAT(Measures!B91," - ",Measures!V91)))</f>
        <v/>
      </c>
      <c r="C91" s="426" t="str">
        <f>IF(Measures!AM91="Row Not Used","",_xlfn.CONCAT(Measures!D91," - ",Measures!E91," - ",Measures!F91))</f>
        <v/>
      </c>
      <c r="D91" s="442" t="str">
        <f>IF(Measures!AM91="Row Not Used","",Measures!G91)</f>
        <v/>
      </c>
      <c r="E91" s="443" t="str">
        <f>IF(Measures!AM91="Row Not Used","",Measures!H91)</f>
        <v/>
      </c>
      <c r="F91" s="450" t="str">
        <f>IF(Measures!AM91="Row Not Used","",Measures!I91)</f>
        <v/>
      </c>
      <c r="G91" s="426" t="str">
        <f>IF(OR(Measures!AM91="Row Not Used",Measures!C91="Controls Only",Measures!C91="Decommissioning"),"",_xlfn.CONCAT(Measures!K91," - ",Measures!L91))</f>
        <v/>
      </c>
      <c r="H91" s="442" t="str">
        <f>IF(OR(Measures!AM91="Row Not Used",Measures!C91="Controls Only",Measures!C91="Decommissioning"),"",Measures!M91)</f>
        <v/>
      </c>
      <c r="I91" s="443" t="str">
        <f>IF(OR(Measures!AM91="Row Not Used",Measures!C91="Controls Only",Measures!C91="Decommissioning"),"",Measures!N91)</f>
        <v/>
      </c>
      <c r="J91" s="444" t="str">
        <f>IF(OR(Measures!AM91="Row Not Used",Measures!C91="Controls Only",Measures!C91="Decommissioning"),"",Measures!O91)</f>
        <v/>
      </c>
      <c r="K91" s="425" t="str">
        <f>IF(OR(Measures!AM91="Row Not Used",Measures!C91="Controls Only",Measures!C91="Decommissioning"),"",Measures!AS91)</f>
        <v/>
      </c>
      <c r="L91" s="426" t="str">
        <f>IF(OR(Measures!AM91="Row Not Used",Measures!AM91="Decommissioning",ISBLANK(Measures!R91)),"",Measures!R91)</f>
        <v/>
      </c>
      <c r="M91" s="431" t="str">
        <f>IF(OR(Measures!AM91="Row Not Used",Measures!AM91="Fixtures Only",Measures!AM91="Decommissioning"),"",Measures!S91)</f>
        <v/>
      </c>
      <c r="N91" s="432" t="str">
        <f>IF(Measures!AM91="Row Not Used","",Measures!AF91)</f>
        <v/>
      </c>
      <c r="O91" s="426" t="str">
        <f>IF(Measures!AM91="Row Not Used","",Measures!C91)</f>
        <v/>
      </c>
      <c r="P91" s="133" t="str">
        <f t="shared" si="1"/>
        <v>No</v>
      </c>
    </row>
    <row r="92" spans="1:16" ht="75.599999999999994" customHeight="1" x14ac:dyDescent="0.3">
      <c r="A92" s="454">
        <f>Measures!A92</f>
        <v>85</v>
      </c>
      <c r="B92" s="425" t="str">
        <f>IF(Measures!AM92="Row Not Used","",IF(ISBLANK(Measures!V92),Measures!B92,_xlfn.CONCAT(Measures!B92," - ",Measures!V92)))</f>
        <v/>
      </c>
      <c r="C92" s="426" t="str">
        <f>IF(Measures!AM92="Row Not Used","",_xlfn.CONCAT(Measures!D92," - ",Measures!E92," - ",Measures!F92))</f>
        <v/>
      </c>
      <c r="D92" s="442" t="str">
        <f>IF(Measures!AM92="Row Not Used","",Measures!G92)</f>
        <v/>
      </c>
      <c r="E92" s="443" t="str">
        <f>IF(Measures!AM92="Row Not Used","",Measures!H92)</f>
        <v/>
      </c>
      <c r="F92" s="450" t="str">
        <f>IF(Measures!AM92="Row Not Used","",Measures!I92)</f>
        <v/>
      </c>
      <c r="G92" s="426" t="str">
        <f>IF(OR(Measures!AM92="Row Not Used",Measures!C92="Controls Only",Measures!C92="Decommissioning"),"",_xlfn.CONCAT(Measures!K92," - ",Measures!L92))</f>
        <v/>
      </c>
      <c r="H92" s="442" t="str">
        <f>IF(OR(Measures!AM92="Row Not Used",Measures!C92="Controls Only",Measures!C92="Decommissioning"),"",Measures!M92)</f>
        <v/>
      </c>
      <c r="I92" s="443" t="str">
        <f>IF(OR(Measures!AM92="Row Not Used",Measures!C92="Controls Only",Measures!C92="Decommissioning"),"",Measures!N92)</f>
        <v/>
      </c>
      <c r="J92" s="444" t="str">
        <f>IF(OR(Measures!AM92="Row Not Used",Measures!C92="Controls Only",Measures!C92="Decommissioning"),"",Measures!O92)</f>
        <v/>
      </c>
      <c r="K92" s="425" t="str">
        <f>IF(OR(Measures!AM92="Row Not Used",Measures!C92="Controls Only",Measures!C92="Decommissioning"),"",Measures!AS92)</f>
        <v/>
      </c>
      <c r="L92" s="426" t="str">
        <f>IF(OR(Measures!AM92="Row Not Used",Measures!AM92="Decommissioning",ISBLANK(Measures!R92)),"",Measures!R92)</f>
        <v/>
      </c>
      <c r="M92" s="431" t="str">
        <f>IF(OR(Measures!AM92="Row Not Used",Measures!AM92="Fixtures Only",Measures!AM92="Decommissioning"),"",Measures!S92)</f>
        <v/>
      </c>
      <c r="N92" s="432" t="str">
        <f>IF(Measures!AM92="Row Not Used","",Measures!AF92)</f>
        <v/>
      </c>
      <c r="O92" s="426" t="str">
        <f>IF(Measures!AM92="Row Not Used","",Measures!C92)</f>
        <v/>
      </c>
      <c r="P92" s="133" t="str">
        <f t="shared" si="1"/>
        <v>No</v>
      </c>
    </row>
    <row r="93" spans="1:16" ht="75.599999999999994" customHeight="1" x14ac:dyDescent="0.3">
      <c r="A93" s="454">
        <f>Measures!A93</f>
        <v>86</v>
      </c>
      <c r="B93" s="425" t="str">
        <f>IF(Measures!AM93="Row Not Used","",IF(ISBLANK(Measures!V93),Measures!B93,_xlfn.CONCAT(Measures!B93," - ",Measures!V93)))</f>
        <v/>
      </c>
      <c r="C93" s="426" t="str">
        <f>IF(Measures!AM93="Row Not Used","",_xlfn.CONCAT(Measures!D93," - ",Measures!E93," - ",Measures!F93))</f>
        <v/>
      </c>
      <c r="D93" s="442" t="str">
        <f>IF(Measures!AM93="Row Not Used","",Measures!G93)</f>
        <v/>
      </c>
      <c r="E93" s="443" t="str">
        <f>IF(Measures!AM93="Row Not Used","",Measures!H93)</f>
        <v/>
      </c>
      <c r="F93" s="450" t="str">
        <f>IF(Measures!AM93="Row Not Used","",Measures!I93)</f>
        <v/>
      </c>
      <c r="G93" s="426" t="str">
        <f>IF(OR(Measures!AM93="Row Not Used",Measures!C93="Controls Only",Measures!C93="Decommissioning"),"",_xlfn.CONCAT(Measures!K93," - ",Measures!L93))</f>
        <v/>
      </c>
      <c r="H93" s="442" t="str">
        <f>IF(OR(Measures!AM93="Row Not Used",Measures!C93="Controls Only",Measures!C93="Decommissioning"),"",Measures!M93)</f>
        <v/>
      </c>
      <c r="I93" s="443" t="str">
        <f>IF(OR(Measures!AM93="Row Not Used",Measures!C93="Controls Only",Measures!C93="Decommissioning"),"",Measures!N93)</f>
        <v/>
      </c>
      <c r="J93" s="444" t="str">
        <f>IF(OR(Measures!AM93="Row Not Used",Measures!C93="Controls Only",Measures!C93="Decommissioning"),"",Measures!O93)</f>
        <v/>
      </c>
      <c r="K93" s="425" t="str">
        <f>IF(OR(Measures!AM93="Row Not Used",Measures!C93="Controls Only",Measures!C93="Decommissioning"),"",Measures!AS93)</f>
        <v/>
      </c>
      <c r="L93" s="426" t="str">
        <f>IF(OR(Measures!AM93="Row Not Used",Measures!AM93="Decommissioning",ISBLANK(Measures!R93)),"",Measures!R93)</f>
        <v/>
      </c>
      <c r="M93" s="431" t="str">
        <f>IF(OR(Measures!AM93="Row Not Used",Measures!AM93="Fixtures Only",Measures!AM93="Decommissioning"),"",Measures!S93)</f>
        <v/>
      </c>
      <c r="N93" s="432" t="str">
        <f>IF(Measures!AM93="Row Not Used","",Measures!AF93)</f>
        <v/>
      </c>
      <c r="O93" s="426" t="str">
        <f>IF(Measures!AM93="Row Not Used","",Measures!C93)</f>
        <v/>
      </c>
      <c r="P93" s="133" t="str">
        <f t="shared" si="1"/>
        <v>No</v>
      </c>
    </row>
    <row r="94" spans="1:16" ht="75.599999999999994" customHeight="1" x14ac:dyDescent="0.3">
      <c r="A94" s="454">
        <f>Measures!A94</f>
        <v>87</v>
      </c>
      <c r="B94" s="425" t="str">
        <f>IF(Measures!AM94="Row Not Used","",IF(ISBLANK(Measures!V94),Measures!B94,_xlfn.CONCAT(Measures!B94," - ",Measures!V94)))</f>
        <v/>
      </c>
      <c r="C94" s="426" t="str">
        <f>IF(Measures!AM94="Row Not Used","",_xlfn.CONCAT(Measures!D94," - ",Measures!E94," - ",Measures!F94))</f>
        <v/>
      </c>
      <c r="D94" s="442" t="str">
        <f>IF(Measures!AM94="Row Not Used","",Measures!G94)</f>
        <v/>
      </c>
      <c r="E94" s="443" t="str">
        <f>IF(Measures!AM94="Row Not Used","",Measures!H94)</f>
        <v/>
      </c>
      <c r="F94" s="450" t="str">
        <f>IF(Measures!AM94="Row Not Used","",Measures!I94)</f>
        <v/>
      </c>
      <c r="G94" s="426" t="str">
        <f>IF(OR(Measures!AM94="Row Not Used",Measures!C94="Controls Only",Measures!C94="Decommissioning"),"",_xlfn.CONCAT(Measures!K94," - ",Measures!L94))</f>
        <v/>
      </c>
      <c r="H94" s="442" t="str">
        <f>IF(OR(Measures!AM94="Row Not Used",Measures!C94="Controls Only",Measures!C94="Decommissioning"),"",Measures!M94)</f>
        <v/>
      </c>
      <c r="I94" s="443" t="str">
        <f>IF(OR(Measures!AM94="Row Not Used",Measures!C94="Controls Only",Measures!C94="Decommissioning"),"",Measures!N94)</f>
        <v/>
      </c>
      <c r="J94" s="444" t="str">
        <f>IF(OR(Measures!AM94="Row Not Used",Measures!C94="Controls Only",Measures!C94="Decommissioning"),"",Measures!O94)</f>
        <v/>
      </c>
      <c r="K94" s="425" t="str">
        <f>IF(OR(Measures!AM94="Row Not Used",Measures!C94="Controls Only",Measures!C94="Decommissioning"),"",Measures!AS94)</f>
        <v/>
      </c>
      <c r="L94" s="426" t="str">
        <f>IF(OR(Measures!AM94="Row Not Used",Measures!AM94="Decommissioning",ISBLANK(Measures!R94)),"",Measures!R94)</f>
        <v/>
      </c>
      <c r="M94" s="431" t="str">
        <f>IF(OR(Measures!AM94="Row Not Used",Measures!AM94="Fixtures Only",Measures!AM94="Decommissioning"),"",Measures!S94)</f>
        <v/>
      </c>
      <c r="N94" s="432" t="str">
        <f>IF(Measures!AM94="Row Not Used","",Measures!AF94)</f>
        <v/>
      </c>
      <c r="O94" s="426" t="str">
        <f>IF(Measures!AM94="Row Not Used","",Measures!C94)</f>
        <v/>
      </c>
      <c r="P94" s="133" t="str">
        <f t="shared" si="1"/>
        <v>No</v>
      </c>
    </row>
    <row r="95" spans="1:16" ht="75.599999999999994" customHeight="1" x14ac:dyDescent="0.3">
      <c r="A95" s="454">
        <f>Measures!A95</f>
        <v>88</v>
      </c>
      <c r="B95" s="425" t="str">
        <f>IF(Measures!AM95="Row Not Used","",IF(ISBLANK(Measures!V95),Measures!B95,_xlfn.CONCAT(Measures!B95," - ",Measures!V95)))</f>
        <v/>
      </c>
      <c r="C95" s="426" t="str">
        <f>IF(Measures!AM95="Row Not Used","",_xlfn.CONCAT(Measures!D95," - ",Measures!E95," - ",Measures!F95))</f>
        <v/>
      </c>
      <c r="D95" s="442" t="str">
        <f>IF(Measures!AM95="Row Not Used","",Measures!G95)</f>
        <v/>
      </c>
      <c r="E95" s="443" t="str">
        <f>IF(Measures!AM95="Row Not Used","",Measures!H95)</f>
        <v/>
      </c>
      <c r="F95" s="450" t="str">
        <f>IF(Measures!AM95="Row Not Used","",Measures!I95)</f>
        <v/>
      </c>
      <c r="G95" s="426" t="str">
        <f>IF(OR(Measures!AM95="Row Not Used",Measures!C95="Controls Only",Measures!C95="Decommissioning"),"",_xlfn.CONCAT(Measures!K95," - ",Measures!L95))</f>
        <v/>
      </c>
      <c r="H95" s="442" t="str">
        <f>IF(OR(Measures!AM95="Row Not Used",Measures!C95="Controls Only",Measures!C95="Decommissioning"),"",Measures!M95)</f>
        <v/>
      </c>
      <c r="I95" s="443" t="str">
        <f>IF(OR(Measures!AM95="Row Not Used",Measures!C95="Controls Only",Measures!C95="Decommissioning"),"",Measures!N95)</f>
        <v/>
      </c>
      <c r="J95" s="444" t="str">
        <f>IF(OR(Measures!AM95="Row Not Used",Measures!C95="Controls Only",Measures!C95="Decommissioning"),"",Measures!O95)</f>
        <v/>
      </c>
      <c r="K95" s="425" t="str">
        <f>IF(OR(Measures!AM95="Row Not Used",Measures!C95="Controls Only",Measures!C95="Decommissioning"),"",Measures!AS95)</f>
        <v/>
      </c>
      <c r="L95" s="426" t="str">
        <f>IF(OR(Measures!AM95="Row Not Used",Measures!AM95="Decommissioning",ISBLANK(Measures!R95)),"",Measures!R95)</f>
        <v/>
      </c>
      <c r="M95" s="431" t="str">
        <f>IF(OR(Measures!AM95="Row Not Used",Measures!AM95="Fixtures Only",Measures!AM95="Decommissioning"),"",Measures!S95)</f>
        <v/>
      </c>
      <c r="N95" s="432" t="str">
        <f>IF(Measures!AM95="Row Not Used","",Measures!AF95)</f>
        <v/>
      </c>
      <c r="O95" s="426" t="str">
        <f>IF(Measures!AM95="Row Not Used","",Measures!C95)</f>
        <v/>
      </c>
      <c r="P95" s="133" t="str">
        <f t="shared" si="1"/>
        <v>No</v>
      </c>
    </row>
    <row r="96" spans="1:16" ht="75.599999999999994" customHeight="1" x14ac:dyDescent="0.3">
      <c r="A96" s="454">
        <f>Measures!A96</f>
        <v>89</v>
      </c>
      <c r="B96" s="425" t="str">
        <f>IF(Measures!AM96="Row Not Used","",IF(ISBLANK(Measures!V96),Measures!B96,_xlfn.CONCAT(Measures!B96," - ",Measures!V96)))</f>
        <v/>
      </c>
      <c r="C96" s="426" t="str">
        <f>IF(Measures!AM96="Row Not Used","",_xlfn.CONCAT(Measures!D96," - ",Measures!E96," - ",Measures!F96))</f>
        <v/>
      </c>
      <c r="D96" s="442" t="str">
        <f>IF(Measures!AM96="Row Not Used","",Measures!G96)</f>
        <v/>
      </c>
      <c r="E96" s="443" t="str">
        <f>IF(Measures!AM96="Row Not Used","",Measures!H96)</f>
        <v/>
      </c>
      <c r="F96" s="450" t="str">
        <f>IF(Measures!AM96="Row Not Used","",Measures!I96)</f>
        <v/>
      </c>
      <c r="G96" s="426" t="str">
        <f>IF(OR(Measures!AM96="Row Not Used",Measures!C96="Controls Only",Measures!C96="Decommissioning"),"",_xlfn.CONCAT(Measures!K96," - ",Measures!L96))</f>
        <v/>
      </c>
      <c r="H96" s="442" t="str">
        <f>IF(OR(Measures!AM96="Row Not Used",Measures!C96="Controls Only",Measures!C96="Decommissioning"),"",Measures!M96)</f>
        <v/>
      </c>
      <c r="I96" s="443" t="str">
        <f>IF(OR(Measures!AM96="Row Not Used",Measures!C96="Controls Only",Measures!C96="Decommissioning"),"",Measures!N96)</f>
        <v/>
      </c>
      <c r="J96" s="444" t="str">
        <f>IF(OR(Measures!AM96="Row Not Used",Measures!C96="Controls Only",Measures!C96="Decommissioning"),"",Measures!O96)</f>
        <v/>
      </c>
      <c r="K96" s="425" t="str">
        <f>IF(OR(Measures!AM96="Row Not Used",Measures!C96="Controls Only",Measures!C96="Decommissioning"),"",Measures!AS96)</f>
        <v/>
      </c>
      <c r="L96" s="426" t="str">
        <f>IF(OR(Measures!AM96="Row Not Used",Measures!AM96="Decommissioning",ISBLANK(Measures!R96)),"",Measures!R96)</f>
        <v/>
      </c>
      <c r="M96" s="431" t="str">
        <f>IF(OR(Measures!AM96="Row Not Used",Measures!AM96="Fixtures Only",Measures!AM96="Decommissioning"),"",Measures!S96)</f>
        <v/>
      </c>
      <c r="N96" s="432" t="str">
        <f>IF(Measures!AM96="Row Not Used","",Measures!AF96)</f>
        <v/>
      </c>
      <c r="O96" s="426" t="str">
        <f>IF(Measures!AM96="Row Not Used","",Measures!C96)</f>
        <v/>
      </c>
      <c r="P96" s="133" t="str">
        <f t="shared" si="1"/>
        <v>No</v>
      </c>
    </row>
    <row r="97" spans="1:16" ht="75.599999999999994" customHeight="1" x14ac:dyDescent="0.3">
      <c r="A97" s="454">
        <f>Measures!A97</f>
        <v>90</v>
      </c>
      <c r="B97" s="425" t="str">
        <f>IF(Measures!AM97="Row Not Used","",IF(ISBLANK(Measures!V97),Measures!B97,_xlfn.CONCAT(Measures!B97," - ",Measures!V97)))</f>
        <v/>
      </c>
      <c r="C97" s="426" t="str">
        <f>IF(Measures!AM97="Row Not Used","",_xlfn.CONCAT(Measures!D97," - ",Measures!E97," - ",Measures!F97))</f>
        <v/>
      </c>
      <c r="D97" s="442" t="str">
        <f>IF(Measures!AM97="Row Not Used","",Measures!G97)</f>
        <v/>
      </c>
      <c r="E97" s="443" t="str">
        <f>IF(Measures!AM97="Row Not Used","",Measures!H97)</f>
        <v/>
      </c>
      <c r="F97" s="450" t="str">
        <f>IF(Measures!AM97="Row Not Used","",Measures!I97)</f>
        <v/>
      </c>
      <c r="G97" s="426" t="str">
        <f>IF(OR(Measures!AM97="Row Not Used",Measures!C97="Controls Only",Measures!C97="Decommissioning"),"",_xlfn.CONCAT(Measures!K97," - ",Measures!L97))</f>
        <v/>
      </c>
      <c r="H97" s="442" t="str">
        <f>IF(OR(Measures!AM97="Row Not Used",Measures!C97="Controls Only",Measures!C97="Decommissioning"),"",Measures!M97)</f>
        <v/>
      </c>
      <c r="I97" s="443" t="str">
        <f>IF(OR(Measures!AM97="Row Not Used",Measures!C97="Controls Only",Measures!C97="Decommissioning"),"",Measures!N97)</f>
        <v/>
      </c>
      <c r="J97" s="444" t="str">
        <f>IF(OR(Measures!AM97="Row Not Used",Measures!C97="Controls Only",Measures!C97="Decommissioning"),"",Measures!O97)</f>
        <v/>
      </c>
      <c r="K97" s="425" t="str">
        <f>IF(OR(Measures!AM97="Row Not Used",Measures!C97="Controls Only",Measures!C97="Decommissioning"),"",Measures!AS97)</f>
        <v/>
      </c>
      <c r="L97" s="426" t="str">
        <f>IF(OR(Measures!AM97="Row Not Used",Measures!AM97="Decommissioning",ISBLANK(Measures!R97)),"",Measures!R97)</f>
        <v/>
      </c>
      <c r="M97" s="431" t="str">
        <f>IF(OR(Measures!AM97="Row Not Used",Measures!AM97="Fixtures Only",Measures!AM97="Decommissioning"),"",Measures!S97)</f>
        <v/>
      </c>
      <c r="N97" s="432" t="str">
        <f>IF(Measures!AM97="Row Not Used","",Measures!AF97)</f>
        <v/>
      </c>
      <c r="O97" s="426" t="str">
        <f>IF(Measures!AM97="Row Not Used","",Measures!C97)</f>
        <v/>
      </c>
      <c r="P97" s="133" t="str">
        <f t="shared" si="1"/>
        <v>No</v>
      </c>
    </row>
    <row r="98" spans="1:16" ht="75.599999999999994" customHeight="1" x14ac:dyDescent="0.3">
      <c r="A98" s="454">
        <f>Measures!A98</f>
        <v>91</v>
      </c>
      <c r="B98" s="425" t="str">
        <f>IF(Measures!AM98="Row Not Used","",IF(ISBLANK(Measures!V98),Measures!B98,_xlfn.CONCAT(Measures!B98," - ",Measures!V98)))</f>
        <v/>
      </c>
      <c r="C98" s="426" t="str">
        <f>IF(Measures!AM98="Row Not Used","",_xlfn.CONCAT(Measures!D98," - ",Measures!E98," - ",Measures!F98))</f>
        <v/>
      </c>
      <c r="D98" s="442" t="str">
        <f>IF(Measures!AM98="Row Not Used","",Measures!G98)</f>
        <v/>
      </c>
      <c r="E98" s="443" t="str">
        <f>IF(Measures!AM98="Row Not Used","",Measures!H98)</f>
        <v/>
      </c>
      <c r="F98" s="450" t="str">
        <f>IF(Measures!AM98="Row Not Used","",Measures!I98)</f>
        <v/>
      </c>
      <c r="G98" s="426" t="str">
        <f>IF(OR(Measures!AM98="Row Not Used",Measures!C98="Controls Only",Measures!C98="Decommissioning"),"",_xlfn.CONCAT(Measures!K98," - ",Measures!L98))</f>
        <v/>
      </c>
      <c r="H98" s="442" t="str">
        <f>IF(OR(Measures!AM98="Row Not Used",Measures!C98="Controls Only",Measures!C98="Decommissioning"),"",Measures!M98)</f>
        <v/>
      </c>
      <c r="I98" s="443" t="str">
        <f>IF(OR(Measures!AM98="Row Not Used",Measures!C98="Controls Only",Measures!C98="Decommissioning"),"",Measures!N98)</f>
        <v/>
      </c>
      <c r="J98" s="444" t="str">
        <f>IF(OR(Measures!AM98="Row Not Used",Measures!C98="Controls Only",Measures!C98="Decommissioning"),"",Measures!O98)</f>
        <v/>
      </c>
      <c r="K98" s="425" t="str">
        <f>IF(OR(Measures!AM98="Row Not Used",Measures!C98="Controls Only",Measures!C98="Decommissioning"),"",Measures!AS98)</f>
        <v/>
      </c>
      <c r="L98" s="426" t="str">
        <f>IF(OR(Measures!AM98="Row Not Used",Measures!AM98="Decommissioning",ISBLANK(Measures!R98)),"",Measures!R98)</f>
        <v/>
      </c>
      <c r="M98" s="431" t="str">
        <f>IF(OR(Measures!AM98="Row Not Used",Measures!AM98="Fixtures Only",Measures!AM98="Decommissioning"),"",Measures!S98)</f>
        <v/>
      </c>
      <c r="N98" s="432" t="str">
        <f>IF(Measures!AM98="Row Not Used","",Measures!AF98)</f>
        <v/>
      </c>
      <c r="O98" s="426" t="str">
        <f>IF(Measures!AM98="Row Not Used","",Measures!C98)</f>
        <v/>
      </c>
      <c r="P98" s="133" t="str">
        <f t="shared" si="1"/>
        <v>No</v>
      </c>
    </row>
    <row r="99" spans="1:16" ht="75.599999999999994" customHeight="1" x14ac:dyDescent="0.3">
      <c r="A99" s="454">
        <f>Measures!A99</f>
        <v>92</v>
      </c>
      <c r="B99" s="425" t="str">
        <f>IF(Measures!AM99="Row Not Used","",IF(ISBLANK(Measures!V99),Measures!B99,_xlfn.CONCAT(Measures!B99," - ",Measures!V99)))</f>
        <v/>
      </c>
      <c r="C99" s="426" t="str">
        <f>IF(Measures!AM99="Row Not Used","",_xlfn.CONCAT(Measures!D99," - ",Measures!E99," - ",Measures!F99))</f>
        <v/>
      </c>
      <c r="D99" s="442" t="str">
        <f>IF(Measures!AM99="Row Not Used","",Measures!G99)</f>
        <v/>
      </c>
      <c r="E99" s="443" t="str">
        <f>IF(Measures!AM99="Row Not Used","",Measures!H99)</f>
        <v/>
      </c>
      <c r="F99" s="450" t="str">
        <f>IF(Measures!AM99="Row Not Used","",Measures!I99)</f>
        <v/>
      </c>
      <c r="G99" s="426" t="str">
        <f>IF(OR(Measures!AM99="Row Not Used",Measures!C99="Controls Only",Measures!C99="Decommissioning"),"",_xlfn.CONCAT(Measures!K99," - ",Measures!L99))</f>
        <v/>
      </c>
      <c r="H99" s="442" t="str">
        <f>IF(OR(Measures!AM99="Row Not Used",Measures!C99="Controls Only",Measures!C99="Decommissioning"),"",Measures!M99)</f>
        <v/>
      </c>
      <c r="I99" s="443" t="str">
        <f>IF(OR(Measures!AM99="Row Not Used",Measures!C99="Controls Only",Measures!C99="Decommissioning"),"",Measures!N99)</f>
        <v/>
      </c>
      <c r="J99" s="444" t="str">
        <f>IF(OR(Measures!AM99="Row Not Used",Measures!C99="Controls Only",Measures!C99="Decommissioning"),"",Measures!O99)</f>
        <v/>
      </c>
      <c r="K99" s="425" t="str">
        <f>IF(OR(Measures!AM99="Row Not Used",Measures!C99="Controls Only",Measures!C99="Decommissioning"),"",Measures!AS99)</f>
        <v/>
      </c>
      <c r="L99" s="426" t="str">
        <f>IF(OR(Measures!AM99="Row Not Used",Measures!AM99="Decommissioning",ISBLANK(Measures!R99)),"",Measures!R99)</f>
        <v/>
      </c>
      <c r="M99" s="431" t="str">
        <f>IF(OR(Measures!AM99="Row Not Used",Measures!AM99="Fixtures Only",Measures!AM99="Decommissioning"),"",Measures!S99)</f>
        <v/>
      </c>
      <c r="N99" s="432" t="str">
        <f>IF(Measures!AM99="Row Not Used","",Measures!AF99)</f>
        <v/>
      </c>
      <c r="O99" s="426" t="str">
        <f>IF(Measures!AM99="Row Not Used","",Measures!C99)</f>
        <v/>
      </c>
      <c r="P99" s="133" t="str">
        <f t="shared" si="1"/>
        <v>No</v>
      </c>
    </row>
    <row r="100" spans="1:16" ht="75.599999999999994" customHeight="1" x14ac:dyDescent="0.3">
      <c r="A100" s="454">
        <f>Measures!A100</f>
        <v>93</v>
      </c>
      <c r="B100" s="425" t="str">
        <f>IF(Measures!AM100="Row Not Used","",IF(ISBLANK(Measures!V100),Measures!B100,_xlfn.CONCAT(Measures!B100," - ",Measures!V100)))</f>
        <v/>
      </c>
      <c r="C100" s="426" t="str">
        <f>IF(Measures!AM100="Row Not Used","",_xlfn.CONCAT(Measures!D100," - ",Measures!E100," - ",Measures!F100))</f>
        <v/>
      </c>
      <c r="D100" s="442" t="str">
        <f>IF(Measures!AM100="Row Not Used","",Measures!G100)</f>
        <v/>
      </c>
      <c r="E100" s="443" t="str">
        <f>IF(Measures!AM100="Row Not Used","",Measures!H100)</f>
        <v/>
      </c>
      <c r="F100" s="450" t="str">
        <f>IF(Measures!AM100="Row Not Used","",Measures!I100)</f>
        <v/>
      </c>
      <c r="G100" s="426" t="str">
        <f>IF(OR(Measures!AM100="Row Not Used",Measures!C100="Controls Only",Measures!C100="Decommissioning"),"",_xlfn.CONCAT(Measures!K100," - ",Measures!L100))</f>
        <v/>
      </c>
      <c r="H100" s="442" t="str">
        <f>IF(OR(Measures!AM100="Row Not Used",Measures!C100="Controls Only",Measures!C100="Decommissioning"),"",Measures!M100)</f>
        <v/>
      </c>
      <c r="I100" s="443" t="str">
        <f>IF(OR(Measures!AM100="Row Not Used",Measures!C100="Controls Only",Measures!C100="Decommissioning"),"",Measures!N100)</f>
        <v/>
      </c>
      <c r="J100" s="444" t="str">
        <f>IF(OR(Measures!AM100="Row Not Used",Measures!C100="Controls Only",Measures!C100="Decommissioning"),"",Measures!O100)</f>
        <v/>
      </c>
      <c r="K100" s="425" t="str">
        <f>IF(OR(Measures!AM100="Row Not Used",Measures!C100="Controls Only",Measures!C100="Decommissioning"),"",Measures!AS100)</f>
        <v/>
      </c>
      <c r="L100" s="426" t="str">
        <f>IF(OR(Measures!AM100="Row Not Used",Measures!AM100="Decommissioning",ISBLANK(Measures!R100)),"",Measures!R100)</f>
        <v/>
      </c>
      <c r="M100" s="431" t="str">
        <f>IF(OR(Measures!AM100="Row Not Used",Measures!AM100="Fixtures Only",Measures!AM100="Decommissioning"),"",Measures!S100)</f>
        <v/>
      </c>
      <c r="N100" s="432" t="str">
        <f>IF(Measures!AM100="Row Not Used","",Measures!AF100)</f>
        <v/>
      </c>
      <c r="O100" s="426" t="str">
        <f>IF(Measures!AM100="Row Not Used","",Measures!C100)</f>
        <v/>
      </c>
      <c r="P100" s="133" t="str">
        <f t="shared" si="1"/>
        <v>No</v>
      </c>
    </row>
    <row r="101" spans="1:16" ht="75.599999999999994" customHeight="1" x14ac:dyDescent="0.3">
      <c r="A101" s="454">
        <f>Measures!A101</f>
        <v>94</v>
      </c>
      <c r="B101" s="425" t="str">
        <f>IF(Measures!AM101="Row Not Used","",IF(ISBLANK(Measures!V101),Measures!B101,_xlfn.CONCAT(Measures!B101," - ",Measures!V101)))</f>
        <v/>
      </c>
      <c r="C101" s="426" t="str">
        <f>IF(Measures!AM101="Row Not Used","",_xlfn.CONCAT(Measures!D101," - ",Measures!E101," - ",Measures!F101))</f>
        <v/>
      </c>
      <c r="D101" s="442" t="str">
        <f>IF(Measures!AM101="Row Not Used","",Measures!G101)</f>
        <v/>
      </c>
      <c r="E101" s="443" t="str">
        <f>IF(Measures!AM101="Row Not Used","",Measures!H101)</f>
        <v/>
      </c>
      <c r="F101" s="450" t="str">
        <f>IF(Measures!AM101="Row Not Used","",Measures!I101)</f>
        <v/>
      </c>
      <c r="G101" s="426" t="str">
        <f>IF(OR(Measures!AM101="Row Not Used",Measures!C101="Controls Only",Measures!C101="Decommissioning"),"",_xlfn.CONCAT(Measures!K101," - ",Measures!L101))</f>
        <v/>
      </c>
      <c r="H101" s="442" t="str">
        <f>IF(OR(Measures!AM101="Row Not Used",Measures!C101="Controls Only",Measures!C101="Decommissioning"),"",Measures!M101)</f>
        <v/>
      </c>
      <c r="I101" s="443" t="str">
        <f>IF(OR(Measures!AM101="Row Not Used",Measures!C101="Controls Only",Measures!C101="Decommissioning"),"",Measures!N101)</f>
        <v/>
      </c>
      <c r="J101" s="444" t="str">
        <f>IF(OR(Measures!AM101="Row Not Used",Measures!C101="Controls Only",Measures!C101="Decommissioning"),"",Measures!O101)</f>
        <v/>
      </c>
      <c r="K101" s="425" t="str">
        <f>IF(OR(Measures!AM101="Row Not Used",Measures!C101="Controls Only",Measures!C101="Decommissioning"),"",Measures!AS101)</f>
        <v/>
      </c>
      <c r="L101" s="426" t="str">
        <f>IF(OR(Measures!AM101="Row Not Used",Measures!AM101="Decommissioning",ISBLANK(Measures!R101)),"",Measures!R101)</f>
        <v/>
      </c>
      <c r="M101" s="431" t="str">
        <f>IF(OR(Measures!AM101="Row Not Used",Measures!AM101="Fixtures Only",Measures!AM101="Decommissioning"),"",Measures!S101)</f>
        <v/>
      </c>
      <c r="N101" s="432" t="str">
        <f>IF(Measures!AM101="Row Not Used","",Measures!AF101)</f>
        <v/>
      </c>
      <c r="O101" s="426" t="str">
        <f>IF(Measures!AM101="Row Not Used","",Measures!C101)</f>
        <v/>
      </c>
      <c r="P101" s="133" t="str">
        <f t="shared" si="1"/>
        <v>No</v>
      </c>
    </row>
    <row r="102" spans="1:16" ht="75.599999999999994" customHeight="1" x14ac:dyDescent="0.3">
      <c r="A102" s="454">
        <f>Measures!A102</f>
        <v>95</v>
      </c>
      <c r="B102" s="425" t="str">
        <f>IF(Measures!AM102="Row Not Used","",IF(ISBLANK(Measures!V102),Measures!B102,_xlfn.CONCAT(Measures!B102," - ",Measures!V102)))</f>
        <v/>
      </c>
      <c r="C102" s="426" t="str">
        <f>IF(Measures!AM102="Row Not Used","",_xlfn.CONCAT(Measures!D102," - ",Measures!E102," - ",Measures!F102))</f>
        <v/>
      </c>
      <c r="D102" s="442" t="str">
        <f>IF(Measures!AM102="Row Not Used","",Measures!G102)</f>
        <v/>
      </c>
      <c r="E102" s="443" t="str">
        <f>IF(Measures!AM102="Row Not Used","",Measures!H102)</f>
        <v/>
      </c>
      <c r="F102" s="450" t="str">
        <f>IF(Measures!AM102="Row Not Used","",Measures!I102)</f>
        <v/>
      </c>
      <c r="G102" s="426" t="str">
        <f>IF(OR(Measures!AM102="Row Not Used",Measures!C102="Controls Only",Measures!C102="Decommissioning"),"",_xlfn.CONCAT(Measures!K102," - ",Measures!L102))</f>
        <v/>
      </c>
      <c r="H102" s="442" t="str">
        <f>IF(OR(Measures!AM102="Row Not Used",Measures!C102="Controls Only",Measures!C102="Decommissioning"),"",Measures!M102)</f>
        <v/>
      </c>
      <c r="I102" s="443" t="str">
        <f>IF(OR(Measures!AM102="Row Not Used",Measures!C102="Controls Only",Measures!C102="Decommissioning"),"",Measures!N102)</f>
        <v/>
      </c>
      <c r="J102" s="444" t="str">
        <f>IF(OR(Measures!AM102="Row Not Used",Measures!C102="Controls Only",Measures!C102="Decommissioning"),"",Measures!O102)</f>
        <v/>
      </c>
      <c r="K102" s="425" t="str">
        <f>IF(OR(Measures!AM102="Row Not Used",Measures!C102="Controls Only",Measures!C102="Decommissioning"),"",Measures!AS102)</f>
        <v/>
      </c>
      <c r="L102" s="426" t="str">
        <f>IF(OR(Measures!AM102="Row Not Used",Measures!AM102="Decommissioning",ISBLANK(Measures!R102)),"",Measures!R102)</f>
        <v/>
      </c>
      <c r="M102" s="431" t="str">
        <f>IF(OR(Measures!AM102="Row Not Used",Measures!AM102="Fixtures Only",Measures!AM102="Decommissioning"),"",Measures!S102)</f>
        <v/>
      </c>
      <c r="N102" s="432" t="str">
        <f>IF(Measures!AM102="Row Not Used","",Measures!AF102)</f>
        <v/>
      </c>
      <c r="O102" s="426" t="str">
        <f>IF(Measures!AM102="Row Not Used","",Measures!C102)</f>
        <v/>
      </c>
      <c r="P102" s="133" t="str">
        <f t="shared" si="1"/>
        <v>No</v>
      </c>
    </row>
    <row r="103" spans="1:16" ht="75.599999999999994" customHeight="1" x14ac:dyDescent="0.3">
      <c r="A103" s="454">
        <f>Measures!A103</f>
        <v>96</v>
      </c>
      <c r="B103" s="425" t="str">
        <f>IF(Measures!AM103="Row Not Used","",IF(ISBLANK(Measures!V103),Measures!B103,_xlfn.CONCAT(Measures!B103," - ",Measures!V103)))</f>
        <v/>
      </c>
      <c r="C103" s="426" t="str">
        <f>IF(Measures!AM103="Row Not Used","",_xlfn.CONCAT(Measures!D103," - ",Measures!E103," - ",Measures!F103))</f>
        <v/>
      </c>
      <c r="D103" s="442" t="str">
        <f>IF(Measures!AM103="Row Not Used","",Measures!G103)</f>
        <v/>
      </c>
      <c r="E103" s="443" t="str">
        <f>IF(Measures!AM103="Row Not Used","",Measures!H103)</f>
        <v/>
      </c>
      <c r="F103" s="450" t="str">
        <f>IF(Measures!AM103="Row Not Used","",Measures!I103)</f>
        <v/>
      </c>
      <c r="G103" s="426" t="str">
        <f>IF(OR(Measures!AM103="Row Not Used",Measures!C103="Controls Only",Measures!C103="Decommissioning"),"",_xlfn.CONCAT(Measures!K103," - ",Measures!L103))</f>
        <v/>
      </c>
      <c r="H103" s="442" t="str">
        <f>IF(OR(Measures!AM103="Row Not Used",Measures!C103="Controls Only",Measures!C103="Decommissioning"),"",Measures!M103)</f>
        <v/>
      </c>
      <c r="I103" s="443" t="str">
        <f>IF(OR(Measures!AM103="Row Not Used",Measures!C103="Controls Only",Measures!C103="Decommissioning"),"",Measures!N103)</f>
        <v/>
      </c>
      <c r="J103" s="444" t="str">
        <f>IF(OR(Measures!AM103="Row Not Used",Measures!C103="Controls Only",Measures!C103="Decommissioning"),"",Measures!O103)</f>
        <v/>
      </c>
      <c r="K103" s="425" t="str">
        <f>IF(OR(Measures!AM103="Row Not Used",Measures!C103="Controls Only",Measures!C103="Decommissioning"),"",Measures!AS103)</f>
        <v/>
      </c>
      <c r="L103" s="426" t="str">
        <f>IF(OR(Measures!AM103="Row Not Used",Measures!AM103="Decommissioning",ISBLANK(Measures!R103)),"",Measures!R103)</f>
        <v/>
      </c>
      <c r="M103" s="431" t="str">
        <f>IF(OR(Measures!AM103="Row Not Used",Measures!AM103="Fixtures Only",Measures!AM103="Decommissioning"),"",Measures!S103)</f>
        <v/>
      </c>
      <c r="N103" s="432" t="str">
        <f>IF(Measures!AM103="Row Not Used","",Measures!AF103)</f>
        <v/>
      </c>
      <c r="O103" s="426" t="str">
        <f>IF(Measures!AM103="Row Not Used","",Measures!C103)</f>
        <v/>
      </c>
      <c r="P103" s="133" t="str">
        <f t="shared" si="1"/>
        <v>No</v>
      </c>
    </row>
    <row r="104" spans="1:16" ht="75.599999999999994" customHeight="1" x14ac:dyDescent="0.3">
      <c r="A104" s="454">
        <f>Measures!A104</f>
        <v>97</v>
      </c>
      <c r="B104" s="425" t="str">
        <f>IF(Measures!AM104="Row Not Used","",IF(ISBLANK(Measures!V104),Measures!B104,_xlfn.CONCAT(Measures!B104," - ",Measures!V104)))</f>
        <v/>
      </c>
      <c r="C104" s="426" t="str">
        <f>IF(Measures!AM104="Row Not Used","",_xlfn.CONCAT(Measures!D104," - ",Measures!E104," - ",Measures!F104))</f>
        <v/>
      </c>
      <c r="D104" s="442" t="str">
        <f>IF(Measures!AM104="Row Not Used","",Measures!G104)</f>
        <v/>
      </c>
      <c r="E104" s="443" t="str">
        <f>IF(Measures!AM104="Row Not Used","",Measures!H104)</f>
        <v/>
      </c>
      <c r="F104" s="450" t="str">
        <f>IF(Measures!AM104="Row Not Used","",Measures!I104)</f>
        <v/>
      </c>
      <c r="G104" s="426" t="str">
        <f>IF(OR(Measures!AM104="Row Not Used",Measures!C104="Controls Only",Measures!C104="Decommissioning"),"",_xlfn.CONCAT(Measures!K104," - ",Measures!L104))</f>
        <v/>
      </c>
      <c r="H104" s="442" t="str">
        <f>IF(OR(Measures!AM104="Row Not Used",Measures!C104="Controls Only",Measures!C104="Decommissioning"),"",Measures!M104)</f>
        <v/>
      </c>
      <c r="I104" s="443" t="str">
        <f>IF(OR(Measures!AM104="Row Not Used",Measures!C104="Controls Only",Measures!C104="Decommissioning"),"",Measures!N104)</f>
        <v/>
      </c>
      <c r="J104" s="444" t="str">
        <f>IF(OR(Measures!AM104="Row Not Used",Measures!C104="Controls Only",Measures!C104="Decommissioning"),"",Measures!O104)</f>
        <v/>
      </c>
      <c r="K104" s="425" t="str">
        <f>IF(OR(Measures!AM104="Row Not Used",Measures!C104="Controls Only",Measures!C104="Decommissioning"),"",Measures!AS104)</f>
        <v/>
      </c>
      <c r="L104" s="426" t="str">
        <f>IF(OR(Measures!AM104="Row Not Used",Measures!AM104="Decommissioning",ISBLANK(Measures!R104)),"",Measures!R104)</f>
        <v/>
      </c>
      <c r="M104" s="431" t="str">
        <f>IF(OR(Measures!AM104="Row Not Used",Measures!AM104="Fixtures Only",Measures!AM104="Decommissioning"),"",Measures!S104)</f>
        <v/>
      </c>
      <c r="N104" s="432" t="str">
        <f>IF(Measures!AM104="Row Not Used","",Measures!AF104)</f>
        <v/>
      </c>
      <c r="O104" s="426" t="str">
        <f>IF(Measures!AM104="Row Not Used","",Measures!C104)</f>
        <v/>
      </c>
      <c r="P104" s="133" t="str">
        <f t="shared" si="1"/>
        <v>No</v>
      </c>
    </row>
    <row r="105" spans="1:16" ht="75.599999999999994" customHeight="1" x14ac:dyDescent="0.3">
      <c r="A105" s="454">
        <f>Measures!A105</f>
        <v>98</v>
      </c>
      <c r="B105" s="425" t="str">
        <f>IF(Measures!AM105="Row Not Used","",IF(ISBLANK(Measures!V105),Measures!B105,_xlfn.CONCAT(Measures!B105," - ",Measures!V105)))</f>
        <v/>
      </c>
      <c r="C105" s="426" t="str">
        <f>IF(Measures!AM105="Row Not Used","",_xlfn.CONCAT(Measures!D105," - ",Measures!E105," - ",Measures!F105))</f>
        <v/>
      </c>
      <c r="D105" s="442" t="str">
        <f>IF(Measures!AM105="Row Not Used","",Measures!G105)</f>
        <v/>
      </c>
      <c r="E105" s="443" t="str">
        <f>IF(Measures!AM105="Row Not Used","",Measures!H105)</f>
        <v/>
      </c>
      <c r="F105" s="450" t="str">
        <f>IF(Measures!AM105="Row Not Used","",Measures!I105)</f>
        <v/>
      </c>
      <c r="G105" s="426" t="str">
        <f>IF(OR(Measures!AM105="Row Not Used",Measures!C105="Controls Only",Measures!C105="Decommissioning"),"",_xlfn.CONCAT(Measures!K105," - ",Measures!L105))</f>
        <v/>
      </c>
      <c r="H105" s="442" t="str">
        <f>IF(OR(Measures!AM105="Row Not Used",Measures!C105="Controls Only",Measures!C105="Decommissioning"),"",Measures!M105)</f>
        <v/>
      </c>
      <c r="I105" s="443" t="str">
        <f>IF(OR(Measures!AM105="Row Not Used",Measures!C105="Controls Only",Measures!C105="Decommissioning"),"",Measures!N105)</f>
        <v/>
      </c>
      <c r="J105" s="444" t="str">
        <f>IF(OR(Measures!AM105="Row Not Used",Measures!C105="Controls Only",Measures!C105="Decommissioning"),"",Measures!O105)</f>
        <v/>
      </c>
      <c r="K105" s="425" t="str">
        <f>IF(OR(Measures!AM105="Row Not Used",Measures!C105="Controls Only",Measures!C105="Decommissioning"),"",Measures!AS105)</f>
        <v/>
      </c>
      <c r="L105" s="426" t="str">
        <f>IF(OR(Measures!AM105="Row Not Used",Measures!AM105="Decommissioning",ISBLANK(Measures!R105)),"",Measures!R105)</f>
        <v/>
      </c>
      <c r="M105" s="431" t="str">
        <f>IF(OR(Measures!AM105="Row Not Used",Measures!AM105="Fixtures Only",Measures!AM105="Decommissioning"),"",Measures!S105)</f>
        <v/>
      </c>
      <c r="N105" s="432" t="str">
        <f>IF(Measures!AM105="Row Not Used","",Measures!AF105)</f>
        <v/>
      </c>
      <c r="O105" s="426" t="str">
        <f>IF(Measures!AM105="Row Not Used","",Measures!C105)</f>
        <v/>
      </c>
      <c r="P105" s="133" t="str">
        <f t="shared" si="1"/>
        <v>No</v>
      </c>
    </row>
    <row r="106" spans="1:16" ht="75.599999999999994" customHeight="1" x14ac:dyDescent="0.3">
      <c r="A106" s="454">
        <f>Measures!A106</f>
        <v>99</v>
      </c>
      <c r="B106" s="425" t="str">
        <f>IF(Measures!AM106="Row Not Used","",IF(ISBLANK(Measures!V106),Measures!B106,_xlfn.CONCAT(Measures!B106," - ",Measures!V106)))</f>
        <v/>
      </c>
      <c r="C106" s="426" t="str">
        <f>IF(Measures!AM106="Row Not Used","",_xlfn.CONCAT(Measures!D106," - ",Measures!E106," - ",Measures!F106))</f>
        <v/>
      </c>
      <c r="D106" s="442" t="str">
        <f>IF(Measures!AM106="Row Not Used","",Measures!G106)</f>
        <v/>
      </c>
      <c r="E106" s="443" t="str">
        <f>IF(Measures!AM106="Row Not Used","",Measures!H106)</f>
        <v/>
      </c>
      <c r="F106" s="450" t="str">
        <f>IF(Measures!AM106="Row Not Used","",Measures!I106)</f>
        <v/>
      </c>
      <c r="G106" s="426" t="str">
        <f>IF(OR(Measures!AM106="Row Not Used",Measures!C106="Controls Only",Measures!C106="Decommissioning"),"",_xlfn.CONCAT(Measures!K106," - ",Measures!L106))</f>
        <v/>
      </c>
      <c r="H106" s="442" t="str">
        <f>IF(OR(Measures!AM106="Row Not Used",Measures!C106="Controls Only",Measures!C106="Decommissioning"),"",Measures!M106)</f>
        <v/>
      </c>
      <c r="I106" s="443" t="str">
        <f>IF(OR(Measures!AM106="Row Not Used",Measures!C106="Controls Only",Measures!C106="Decommissioning"),"",Measures!N106)</f>
        <v/>
      </c>
      <c r="J106" s="444" t="str">
        <f>IF(OR(Measures!AM106="Row Not Used",Measures!C106="Controls Only",Measures!C106="Decommissioning"),"",Measures!O106)</f>
        <v/>
      </c>
      <c r="K106" s="425" t="str">
        <f>IF(OR(Measures!AM106="Row Not Used",Measures!C106="Controls Only",Measures!C106="Decommissioning"),"",Measures!AS106)</f>
        <v/>
      </c>
      <c r="L106" s="426" t="str">
        <f>IF(OR(Measures!AM106="Row Not Used",Measures!AM106="Decommissioning",ISBLANK(Measures!R106)),"",Measures!R106)</f>
        <v/>
      </c>
      <c r="M106" s="431" t="str">
        <f>IF(OR(Measures!AM106="Row Not Used",Measures!AM106="Fixtures Only",Measures!AM106="Decommissioning"),"",Measures!S106)</f>
        <v/>
      </c>
      <c r="N106" s="432" t="str">
        <f>IF(Measures!AM106="Row Not Used","",Measures!AF106)</f>
        <v/>
      </c>
      <c r="O106" s="426" t="str">
        <f>IF(Measures!AM106="Row Not Used","",Measures!C106)</f>
        <v/>
      </c>
      <c r="P106" s="133" t="str">
        <f t="shared" si="1"/>
        <v>No</v>
      </c>
    </row>
    <row r="107" spans="1:16" ht="75.599999999999994" customHeight="1" x14ac:dyDescent="0.3">
      <c r="A107" s="454">
        <f>Measures!A107</f>
        <v>100</v>
      </c>
      <c r="B107" s="425" t="str">
        <f>IF(Measures!AM107="Row Not Used","",IF(ISBLANK(Measures!V107),Measures!B107,_xlfn.CONCAT(Measures!B107," - ",Measures!V107)))</f>
        <v/>
      </c>
      <c r="C107" s="426" t="str">
        <f>IF(Measures!AM107="Row Not Used","",_xlfn.CONCAT(Measures!D107," - ",Measures!E107," - ",Measures!F107))</f>
        <v/>
      </c>
      <c r="D107" s="442" t="str">
        <f>IF(Measures!AM107="Row Not Used","",Measures!G107)</f>
        <v/>
      </c>
      <c r="E107" s="443" t="str">
        <f>IF(Measures!AM107="Row Not Used","",Measures!H107)</f>
        <v/>
      </c>
      <c r="F107" s="450" t="str">
        <f>IF(Measures!AM107="Row Not Used","",Measures!I107)</f>
        <v/>
      </c>
      <c r="G107" s="426" t="str">
        <f>IF(OR(Measures!AM107="Row Not Used",Measures!C107="Controls Only",Measures!C107="Decommissioning"),"",_xlfn.CONCAT(Measures!K107," - ",Measures!L107))</f>
        <v/>
      </c>
      <c r="H107" s="442" t="str">
        <f>IF(OR(Measures!AM107="Row Not Used",Measures!C107="Controls Only",Measures!C107="Decommissioning"),"",Measures!M107)</f>
        <v/>
      </c>
      <c r="I107" s="443" t="str">
        <f>IF(OR(Measures!AM107="Row Not Used",Measures!C107="Controls Only",Measures!C107="Decommissioning"),"",Measures!N107)</f>
        <v/>
      </c>
      <c r="J107" s="444" t="str">
        <f>IF(OR(Measures!AM107="Row Not Used",Measures!C107="Controls Only",Measures!C107="Decommissioning"),"",Measures!O107)</f>
        <v/>
      </c>
      <c r="K107" s="425" t="str">
        <f>IF(OR(Measures!AM107="Row Not Used",Measures!C107="Controls Only",Measures!C107="Decommissioning"),"",Measures!AS107)</f>
        <v/>
      </c>
      <c r="L107" s="426" t="str">
        <f>IF(OR(Measures!AM107="Row Not Used",Measures!AM107="Decommissioning",ISBLANK(Measures!R107)),"",Measures!R107)</f>
        <v/>
      </c>
      <c r="M107" s="431" t="str">
        <f>IF(OR(Measures!AM107="Row Not Used",Measures!AM107="Fixtures Only",Measures!AM107="Decommissioning"),"",Measures!S107)</f>
        <v/>
      </c>
      <c r="N107" s="432" t="str">
        <f>IF(Measures!AM107="Row Not Used","",Measures!AF107)</f>
        <v/>
      </c>
      <c r="O107" s="426" t="str">
        <f>IF(Measures!AM107="Row Not Used","",Measures!C107)</f>
        <v/>
      </c>
      <c r="P107" s="133" t="str">
        <f t="shared" si="1"/>
        <v>No</v>
      </c>
    </row>
    <row r="108" spans="1:16" ht="75.599999999999994" customHeight="1" x14ac:dyDescent="0.3">
      <c r="A108" s="454">
        <f>Measures!A108</f>
        <v>101</v>
      </c>
      <c r="B108" s="425" t="str">
        <f>IF(Measures!AM108="Row Not Used","",IF(ISBLANK(Measures!V108),Measures!B108,_xlfn.CONCAT(Measures!B108," - ",Measures!V108)))</f>
        <v/>
      </c>
      <c r="C108" s="426" t="str">
        <f>IF(Measures!AM108="Row Not Used","",_xlfn.CONCAT(Measures!D108," - ",Measures!E108," - ",Measures!F108))</f>
        <v/>
      </c>
      <c r="D108" s="442" t="str">
        <f>IF(Measures!AM108="Row Not Used","",Measures!G108)</f>
        <v/>
      </c>
      <c r="E108" s="443" t="str">
        <f>IF(Measures!AM108="Row Not Used","",Measures!H108)</f>
        <v/>
      </c>
      <c r="F108" s="450" t="str">
        <f>IF(Measures!AM108="Row Not Used","",Measures!I108)</f>
        <v/>
      </c>
      <c r="G108" s="426" t="str">
        <f>IF(OR(Measures!AM108="Row Not Used",Measures!C108="Controls Only",Measures!C108="Decommissioning"),"",_xlfn.CONCAT(Measures!K108," - ",Measures!L108))</f>
        <v/>
      </c>
      <c r="H108" s="442" t="str">
        <f>IF(OR(Measures!AM108="Row Not Used",Measures!C108="Controls Only",Measures!C108="Decommissioning"),"",Measures!M108)</f>
        <v/>
      </c>
      <c r="I108" s="443" t="str">
        <f>IF(OR(Measures!AM108="Row Not Used",Measures!C108="Controls Only",Measures!C108="Decommissioning"),"",Measures!N108)</f>
        <v/>
      </c>
      <c r="J108" s="444" t="str">
        <f>IF(OR(Measures!AM108="Row Not Used",Measures!C108="Controls Only",Measures!C108="Decommissioning"),"",Measures!O108)</f>
        <v/>
      </c>
      <c r="K108" s="425" t="str">
        <f>IF(OR(Measures!AM108="Row Not Used",Measures!C108="Controls Only",Measures!C108="Decommissioning"),"",Measures!AS108)</f>
        <v/>
      </c>
      <c r="L108" s="426" t="str">
        <f>IF(OR(Measures!AM108="Row Not Used",Measures!AM108="Decommissioning",ISBLANK(Measures!R108)),"",Measures!R108)</f>
        <v/>
      </c>
      <c r="M108" s="431" t="str">
        <f>IF(OR(Measures!AM108="Row Not Used",Measures!AM108="Fixtures Only",Measures!AM108="Decommissioning"),"",Measures!S108)</f>
        <v/>
      </c>
      <c r="N108" s="432" t="str">
        <f>IF(Measures!AM108="Row Not Used","",Measures!AF108)</f>
        <v/>
      </c>
      <c r="O108" s="426" t="str">
        <f>IF(Measures!AM108="Row Not Used","",Measures!C108)</f>
        <v/>
      </c>
      <c r="P108" s="133" t="str">
        <f t="shared" si="1"/>
        <v>No</v>
      </c>
    </row>
    <row r="109" spans="1:16" ht="75.599999999999994" customHeight="1" x14ac:dyDescent="0.3">
      <c r="A109" s="454">
        <f>Measures!A109</f>
        <v>102</v>
      </c>
      <c r="B109" s="425" t="str">
        <f>IF(Measures!AM109="Row Not Used","",IF(ISBLANK(Measures!V109),Measures!B109,_xlfn.CONCAT(Measures!B109," - ",Measures!V109)))</f>
        <v/>
      </c>
      <c r="C109" s="426" t="str">
        <f>IF(Measures!AM109="Row Not Used","",_xlfn.CONCAT(Measures!D109," - ",Measures!E109," - ",Measures!F109))</f>
        <v/>
      </c>
      <c r="D109" s="442" t="str">
        <f>IF(Measures!AM109="Row Not Used","",Measures!G109)</f>
        <v/>
      </c>
      <c r="E109" s="443" t="str">
        <f>IF(Measures!AM109="Row Not Used","",Measures!H109)</f>
        <v/>
      </c>
      <c r="F109" s="450" t="str">
        <f>IF(Measures!AM109="Row Not Used","",Measures!I109)</f>
        <v/>
      </c>
      <c r="G109" s="426" t="str">
        <f>IF(OR(Measures!AM109="Row Not Used",Measures!C109="Controls Only",Measures!C109="Decommissioning"),"",_xlfn.CONCAT(Measures!K109," - ",Measures!L109))</f>
        <v/>
      </c>
      <c r="H109" s="442" t="str">
        <f>IF(OR(Measures!AM109="Row Not Used",Measures!C109="Controls Only",Measures!C109="Decommissioning"),"",Measures!M109)</f>
        <v/>
      </c>
      <c r="I109" s="443" t="str">
        <f>IF(OR(Measures!AM109="Row Not Used",Measures!C109="Controls Only",Measures!C109="Decommissioning"),"",Measures!N109)</f>
        <v/>
      </c>
      <c r="J109" s="444" t="str">
        <f>IF(OR(Measures!AM109="Row Not Used",Measures!C109="Controls Only",Measures!C109="Decommissioning"),"",Measures!O109)</f>
        <v/>
      </c>
      <c r="K109" s="425" t="str">
        <f>IF(OR(Measures!AM109="Row Not Used",Measures!C109="Controls Only",Measures!C109="Decommissioning"),"",Measures!AS109)</f>
        <v/>
      </c>
      <c r="L109" s="426" t="str">
        <f>IF(OR(Measures!AM109="Row Not Used",Measures!AM109="Decommissioning",ISBLANK(Measures!R109)),"",Measures!R109)</f>
        <v/>
      </c>
      <c r="M109" s="431" t="str">
        <f>IF(OR(Measures!AM109="Row Not Used",Measures!AM109="Fixtures Only",Measures!AM109="Decommissioning"),"",Measures!S109)</f>
        <v/>
      </c>
      <c r="N109" s="432" t="str">
        <f>IF(Measures!AM109="Row Not Used","",Measures!AF109)</f>
        <v/>
      </c>
      <c r="O109" s="426" t="str">
        <f>IF(Measures!AM109="Row Not Used","",Measures!C109)</f>
        <v/>
      </c>
      <c r="P109" s="133" t="str">
        <f t="shared" si="1"/>
        <v>No</v>
      </c>
    </row>
    <row r="110" spans="1:16" ht="75.599999999999994" customHeight="1" x14ac:dyDescent="0.3">
      <c r="A110" s="454">
        <f>Measures!A110</f>
        <v>103</v>
      </c>
      <c r="B110" s="425" t="str">
        <f>IF(Measures!AM110="Row Not Used","",IF(ISBLANK(Measures!V110),Measures!B110,_xlfn.CONCAT(Measures!B110," - ",Measures!V110)))</f>
        <v/>
      </c>
      <c r="C110" s="426" t="str">
        <f>IF(Measures!AM110="Row Not Used","",_xlfn.CONCAT(Measures!D110," - ",Measures!E110," - ",Measures!F110))</f>
        <v/>
      </c>
      <c r="D110" s="442" t="str">
        <f>IF(Measures!AM110="Row Not Used","",Measures!G110)</f>
        <v/>
      </c>
      <c r="E110" s="443" t="str">
        <f>IF(Measures!AM110="Row Not Used","",Measures!H110)</f>
        <v/>
      </c>
      <c r="F110" s="450" t="str">
        <f>IF(Measures!AM110="Row Not Used","",Measures!I110)</f>
        <v/>
      </c>
      <c r="G110" s="426" t="str">
        <f>IF(OR(Measures!AM110="Row Not Used",Measures!C110="Controls Only",Measures!C110="Decommissioning"),"",_xlfn.CONCAT(Measures!K110," - ",Measures!L110))</f>
        <v/>
      </c>
      <c r="H110" s="442" t="str">
        <f>IF(OR(Measures!AM110="Row Not Used",Measures!C110="Controls Only",Measures!C110="Decommissioning"),"",Measures!M110)</f>
        <v/>
      </c>
      <c r="I110" s="443" t="str">
        <f>IF(OR(Measures!AM110="Row Not Used",Measures!C110="Controls Only",Measures!C110="Decommissioning"),"",Measures!N110)</f>
        <v/>
      </c>
      <c r="J110" s="444" t="str">
        <f>IF(OR(Measures!AM110="Row Not Used",Measures!C110="Controls Only",Measures!C110="Decommissioning"),"",Measures!O110)</f>
        <v/>
      </c>
      <c r="K110" s="425" t="str">
        <f>IF(OR(Measures!AM110="Row Not Used",Measures!C110="Controls Only",Measures!C110="Decommissioning"),"",Measures!AS110)</f>
        <v/>
      </c>
      <c r="L110" s="426" t="str">
        <f>IF(OR(Measures!AM110="Row Not Used",Measures!AM110="Decommissioning",ISBLANK(Measures!R110)),"",Measures!R110)</f>
        <v/>
      </c>
      <c r="M110" s="431" t="str">
        <f>IF(OR(Measures!AM110="Row Not Used",Measures!AM110="Fixtures Only",Measures!AM110="Decommissioning"),"",Measures!S110)</f>
        <v/>
      </c>
      <c r="N110" s="432" t="str">
        <f>IF(Measures!AM110="Row Not Used","",Measures!AF110)</f>
        <v/>
      </c>
      <c r="O110" s="426" t="str">
        <f>IF(Measures!AM110="Row Not Used","",Measures!C110)</f>
        <v/>
      </c>
      <c r="P110" s="133" t="str">
        <f t="shared" si="1"/>
        <v>No</v>
      </c>
    </row>
    <row r="111" spans="1:16" ht="75.599999999999994" customHeight="1" x14ac:dyDescent="0.3">
      <c r="A111" s="454">
        <f>Measures!A111</f>
        <v>104</v>
      </c>
      <c r="B111" s="425" t="str">
        <f>IF(Measures!AM111="Row Not Used","",IF(ISBLANK(Measures!V111),Measures!B111,_xlfn.CONCAT(Measures!B111," - ",Measures!V111)))</f>
        <v/>
      </c>
      <c r="C111" s="426" t="str">
        <f>IF(Measures!AM111="Row Not Used","",_xlfn.CONCAT(Measures!D111," - ",Measures!E111," - ",Measures!F111))</f>
        <v/>
      </c>
      <c r="D111" s="442" t="str">
        <f>IF(Measures!AM111="Row Not Used","",Measures!G111)</f>
        <v/>
      </c>
      <c r="E111" s="443" t="str">
        <f>IF(Measures!AM111="Row Not Used","",Measures!H111)</f>
        <v/>
      </c>
      <c r="F111" s="450" t="str">
        <f>IF(Measures!AM111="Row Not Used","",Measures!I111)</f>
        <v/>
      </c>
      <c r="G111" s="426" t="str">
        <f>IF(OR(Measures!AM111="Row Not Used",Measures!C111="Controls Only",Measures!C111="Decommissioning"),"",_xlfn.CONCAT(Measures!K111," - ",Measures!L111))</f>
        <v/>
      </c>
      <c r="H111" s="442" t="str">
        <f>IF(OR(Measures!AM111="Row Not Used",Measures!C111="Controls Only",Measures!C111="Decommissioning"),"",Measures!M111)</f>
        <v/>
      </c>
      <c r="I111" s="443" t="str">
        <f>IF(OR(Measures!AM111="Row Not Used",Measures!C111="Controls Only",Measures!C111="Decommissioning"),"",Measures!N111)</f>
        <v/>
      </c>
      <c r="J111" s="444" t="str">
        <f>IF(OR(Measures!AM111="Row Not Used",Measures!C111="Controls Only",Measures!C111="Decommissioning"),"",Measures!O111)</f>
        <v/>
      </c>
      <c r="K111" s="425" t="str">
        <f>IF(OR(Measures!AM111="Row Not Used",Measures!C111="Controls Only",Measures!C111="Decommissioning"),"",Measures!AS111)</f>
        <v/>
      </c>
      <c r="L111" s="426" t="str">
        <f>IF(OR(Measures!AM111="Row Not Used",Measures!AM111="Decommissioning",ISBLANK(Measures!R111)),"",Measures!R111)</f>
        <v/>
      </c>
      <c r="M111" s="431" t="str">
        <f>IF(OR(Measures!AM111="Row Not Used",Measures!AM111="Fixtures Only",Measures!AM111="Decommissioning"),"",Measures!S111)</f>
        <v/>
      </c>
      <c r="N111" s="432" t="str">
        <f>IF(Measures!AM111="Row Not Used","",Measures!AF111)</f>
        <v/>
      </c>
      <c r="O111" s="426" t="str">
        <f>IF(Measures!AM111="Row Not Used","",Measures!C111)</f>
        <v/>
      </c>
      <c r="P111" s="133" t="str">
        <f t="shared" si="1"/>
        <v>No</v>
      </c>
    </row>
    <row r="112" spans="1:16" ht="75.599999999999994" customHeight="1" x14ac:dyDescent="0.3">
      <c r="A112" s="454">
        <f>Measures!A112</f>
        <v>105</v>
      </c>
      <c r="B112" s="425" t="str">
        <f>IF(Measures!AM112="Row Not Used","",IF(ISBLANK(Measures!V112),Measures!B112,_xlfn.CONCAT(Measures!B112," - ",Measures!V112)))</f>
        <v/>
      </c>
      <c r="C112" s="426" t="str">
        <f>IF(Measures!AM112="Row Not Used","",_xlfn.CONCAT(Measures!D112," - ",Measures!E112," - ",Measures!F112))</f>
        <v/>
      </c>
      <c r="D112" s="442" t="str">
        <f>IF(Measures!AM112="Row Not Used","",Measures!G112)</f>
        <v/>
      </c>
      <c r="E112" s="443" t="str">
        <f>IF(Measures!AM112="Row Not Used","",Measures!H112)</f>
        <v/>
      </c>
      <c r="F112" s="450" t="str">
        <f>IF(Measures!AM112="Row Not Used","",Measures!I112)</f>
        <v/>
      </c>
      <c r="G112" s="426" t="str">
        <f>IF(OR(Measures!AM112="Row Not Used",Measures!C112="Controls Only",Measures!C112="Decommissioning"),"",_xlfn.CONCAT(Measures!K112," - ",Measures!L112))</f>
        <v/>
      </c>
      <c r="H112" s="442" t="str">
        <f>IF(OR(Measures!AM112="Row Not Used",Measures!C112="Controls Only",Measures!C112="Decommissioning"),"",Measures!M112)</f>
        <v/>
      </c>
      <c r="I112" s="443" t="str">
        <f>IF(OR(Measures!AM112="Row Not Used",Measures!C112="Controls Only",Measures!C112="Decommissioning"),"",Measures!N112)</f>
        <v/>
      </c>
      <c r="J112" s="444" t="str">
        <f>IF(OR(Measures!AM112="Row Not Used",Measures!C112="Controls Only",Measures!C112="Decommissioning"),"",Measures!O112)</f>
        <v/>
      </c>
      <c r="K112" s="425" t="str">
        <f>IF(OR(Measures!AM112="Row Not Used",Measures!C112="Controls Only",Measures!C112="Decommissioning"),"",Measures!AS112)</f>
        <v/>
      </c>
      <c r="L112" s="426" t="str">
        <f>IF(OR(Measures!AM112="Row Not Used",Measures!AM112="Decommissioning",ISBLANK(Measures!R112)),"",Measures!R112)</f>
        <v/>
      </c>
      <c r="M112" s="431" t="str">
        <f>IF(OR(Measures!AM112="Row Not Used",Measures!AM112="Fixtures Only",Measures!AM112="Decommissioning"),"",Measures!S112)</f>
        <v/>
      </c>
      <c r="N112" s="432" t="str">
        <f>IF(Measures!AM112="Row Not Used","",Measures!AF112)</f>
        <v/>
      </c>
      <c r="O112" s="426" t="str">
        <f>IF(Measures!AM112="Row Not Used","",Measures!C112)</f>
        <v/>
      </c>
      <c r="P112" s="133" t="str">
        <f t="shared" si="1"/>
        <v>No</v>
      </c>
    </row>
    <row r="113" spans="1:16" ht="75.599999999999994" customHeight="1" x14ac:dyDescent="0.3">
      <c r="A113" s="454">
        <f>Measures!A113</f>
        <v>106</v>
      </c>
      <c r="B113" s="425" t="str">
        <f>IF(Measures!AM113="Row Not Used","",IF(ISBLANK(Measures!V113),Measures!B113,_xlfn.CONCAT(Measures!B113," - ",Measures!V113)))</f>
        <v/>
      </c>
      <c r="C113" s="426" t="str">
        <f>IF(Measures!AM113="Row Not Used","",_xlfn.CONCAT(Measures!D113," - ",Measures!E113," - ",Measures!F113))</f>
        <v/>
      </c>
      <c r="D113" s="442" t="str">
        <f>IF(Measures!AM113="Row Not Used","",Measures!G113)</f>
        <v/>
      </c>
      <c r="E113" s="443" t="str">
        <f>IF(Measures!AM113="Row Not Used","",Measures!H113)</f>
        <v/>
      </c>
      <c r="F113" s="450" t="str">
        <f>IF(Measures!AM113="Row Not Used","",Measures!I113)</f>
        <v/>
      </c>
      <c r="G113" s="426" t="str">
        <f>IF(OR(Measures!AM113="Row Not Used",Measures!C113="Controls Only",Measures!C113="Decommissioning"),"",_xlfn.CONCAT(Measures!K113," - ",Measures!L113))</f>
        <v/>
      </c>
      <c r="H113" s="442" t="str">
        <f>IF(OR(Measures!AM113="Row Not Used",Measures!C113="Controls Only",Measures!C113="Decommissioning"),"",Measures!M113)</f>
        <v/>
      </c>
      <c r="I113" s="443" t="str">
        <f>IF(OR(Measures!AM113="Row Not Used",Measures!C113="Controls Only",Measures!C113="Decommissioning"),"",Measures!N113)</f>
        <v/>
      </c>
      <c r="J113" s="444" t="str">
        <f>IF(OR(Measures!AM113="Row Not Used",Measures!C113="Controls Only",Measures!C113="Decommissioning"),"",Measures!O113)</f>
        <v/>
      </c>
      <c r="K113" s="425" t="str">
        <f>IF(OR(Measures!AM113="Row Not Used",Measures!C113="Controls Only",Measures!C113="Decommissioning"),"",Measures!AS113)</f>
        <v/>
      </c>
      <c r="L113" s="426" t="str">
        <f>IF(OR(Measures!AM113="Row Not Used",Measures!AM113="Decommissioning",ISBLANK(Measures!R113)),"",Measures!R113)</f>
        <v/>
      </c>
      <c r="M113" s="431" t="str">
        <f>IF(OR(Measures!AM113="Row Not Used",Measures!AM113="Fixtures Only",Measures!AM113="Decommissioning"),"",Measures!S113)</f>
        <v/>
      </c>
      <c r="N113" s="432" t="str">
        <f>IF(Measures!AM113="Row Not Used","",Measures!AF113)</f>
        <v/>
      </c>
      <c r="O113" s="426" t="str">
        <f>IF(Measures!AM113="Row Not Used","",Measures!C113)</f>
        <v/>
      </c>
      <c r="P113" s="133" t="str">
        <f t="shared" si="1"/>
        <v>No</v>
      </c>
    </row>
    <row r="114" spans="1:16" ht="75.599999999999994" customHeight="1" x14ac:dyDescent="0.3">
      <c r="A114" s="454">
        <f>Measures!A114</f>
        <v>107</v>
      </c>
      <c r="B114" s="425" t="str">
        <f>IF(Measures!AM114="Row Not Used","",IF(ISBLANK(Measures!V114),Measures!B114,_xlfn.CONCAT(Measures!B114," - ",Measures!V114)))</f>
        <v/>
      </c>
      <c r="C114" s="426" t="str">
        <f>IF(Measures!AM114="Row Not Used","",_xlfn.CONCAT(Measures!D114," - ",Measures!E114," - ",Measures!F114))</f>
        <v/>
      </c>
      <c r="D114" s="442" t="str">
        <f>IF(Measures!AM114="Row Not Used","",Measures!G114)</f>
        <v/>
      </c>
      <c r="E114" s="443" t="str">
        <f>IF(Measures!AM114="Row Not Used","",Measures!H114)</f>
        <v/>
      </c>
      <c r="F114" s="450" t="str">
        <f>IF(Measures!AM114="Row Not Used","",Measures!I114)</f>
        <v/>
      </c>
      <c r="G114" s="426" t="str">
        <f>IF(OR(Measures!AM114="Row Not Used",Measures!C114="Controls Only",Measures!C114="Decommissioning"),"",_xlfn.CONCAT(Measures!K114," - ",Measures!L114))</f>
        <v/>
      </c>
      <c r="H114" s="442" t="str">
        <f>IF(OR(Measures!AM114="Row Not Used",Measures!C114="Controls Only",Measures!C114="Decommissioning"),"",Measures!M114)</f>
        <v/>
      </c>
      <c r="I114" s="443" t="str">
        <f>IF(OR(Measures!AM114="Row Not Used",Measures!C114="Controls Only",Measures!C114="Decommissioning"),"",Measures!N114)</f>
        <v/>
      </c>
      <c r="J114" s="444" t="str">
        <f>IF(OR(Measures!AM114="Row Not Used",Measures!C114="Controls Only",Measures!C114="Decommissioning"),"",Measures!O114)</f>
        <v/>
      </c>
      <c r="K114" s="425" t="str">
        <f>IF(OR(Measures!AM114="Row Not Used",Measures!C114="Controls Only",Measures!C114="Decommissioning"),"",Measures!AS114)</f>
        <v/>
      </c>
      <c r="L114" s="426" t="str">
        <f>IF(OR(Measures!AM114="Row Not Used",Measures!AM114="Decommissioning",ISBLANK(Measures!R114)),"",Measures!R114)</f>
        <v/>
      </c>
      <c r="M114" s="431" t="str">
        <f>IF(OR(Measures!AM114="Row Not Used",Measures!AM114="Fixtures Only",Measures!AM114="Decommissioning"),"",Measures!S114)</f>
        <v/>
      </c>
      <c r="N114" s="432" t="str">
        <f>IF(Measures!AM114="Row Not Used","",Measures!AF114)</f>
        <v/>
      </c>
      <c r="O114" s="426" t="str">
        <f>IF(Measures!AM114="Row Not Used","",Measures!C114)</f>
        <v/>
      </c>
      <c r="P114" s="133" t="str">
        <f t="shared" si="1"/>
        <v>No</v>
      </c>
    </row>
    <row r="115" spans="1:16" ht="75.599999999999994" customHeight="1" x14ac:dyDescent="0.3">
      <c r="A115" s="454">
        <f>Measures!A115</f>
        <v>108</v>
      </c>
      <c r="B115" s="425" t="str">
        <f>IF(Measures!AM115="Row Not Used","",IF(ISBLANK(Measures!V115),Measures!B115,_xlfn.CONCAT(Measures!B115," - ",Measures!V115)))</f>
        <v/>
      </c>
      <c r="C115" s="426" t="str">
        <f>IF(Measures!AM115="Row Not Used","",_xlfn.CONCAT(Measures!D115," - ",Measures!E115," - ",Measures!F115))</f>
        <v/>
      </c>
      <c r="D115" s="442" t="str">
        <f>IF(Measures!AM115="Row Not Used","",Measures!G115)</f>
        <v/>
      </c>
      <c r="E115" s="443" t="str">
        <f>IF(Measures!AM115="Row Not Used","",Measures!H115)</f>
        <v/>
      </c>
      <c r="F115" s="450" t="str">
        <f>IF(Measures!AM115="Row Not Used","",Measures!I115)</f>
        <v/>
      </c>
      <c r="G115" s="426" t="str">
        <f>IF(OR(Measures!AM115="Row Not Used",Measures!C115="Controls Only",Measures!C115="Decommissioning"),"",_xlfn.CONCAT(Measures!K115," - ",Measures!L115))</f>
        <v/>
      </c>
      <c r="H115" s="442" t="str">
        <f>IF(OR(Measures!AM115="Row Not Used",Measures!C115="Controls Only",Measures!C115="Decommissioning"),"",Measures!M115)</f>
        <v/>
      </c>
      <c r="I115" s="443" t="str">
        <f>IF(OR(Measures!AM115="Row Not Used",Measures!C115="Controls Only",Measures!C115="Decommissioning"),"",Measures!N115)</f>
        <v/>
      </c>
      <c r="J115" s="444" t="str">
        <f>IF(OR(Measures!AM115="Row Not Used",Measures!C115="Controls Only",Measures!C115="Decommissioning"),"",Measures!O115)</f>
        <v/>
      </c>
      <c r="K115" s="425" t="str">
        <f>IF(OR(Measures!AM115="Row Not Used",Measures!C115="Controls Only",Measures!C115="Decommissioning"),"",Measures!AS115)</f>
        <v/>
      </c>
      <c r="L115" s="426" t="str">
        <f>IF(OR(Measures!AM115="Row Not Used",Measures!AM115="Decommissioning",ISBLANK(Measures!R115)),"",Measures!R115)</f>
        <v/>
      </c>
      <c r="M115" s="431" t="str">
        <f>IF(OR(Measures!AM115="Row Not Used",Measures!AM115="Fixtures Only",Measures!AM115="Decommissioning"),"",Measures!S115)</f>
        <v/>
      </c>
      <c r="N115" s="432" t="str">
        <f>IF(Measures!AM115="Row Not Used","",Measures!AF115)</f>
        <v/>
      </c>
      <c r="O115" s="426" t="str">
        <f>IF(Measures!AM115="Row Not Used","",Measures!C115)</f>
        <v/>
      </c>
      <c r="P115" s="133" t="str">
        <f t="shared" si="1"/>
        <v>No</v>
      </c>
    </row>
    <row r="116" spans="1:16" ht="75.599999999999994" customHeight="1" x14ac:dyDescent="0.3">
      <c r="A116" s="454">
        <f>Measures!A116</f>
        <v>109</v>
      </c>
      <c r="B116" s="425" t="str">
        <f>IF(Measures!AM116="Row Not Used","",IF(ISBLANK(Measures!V116),Measures!B116,_xlfn.CONCAT(Measures!B116," - ",Measures!V116)))</f>
        <v/>
      </c>
      <c r="C116" s="426" t="str">
        <f>IF(Measures!AM116="Row Not Used","",_xlfn.CONCAT(Measures!D116," - ",Measures!E116," - ",Measures!F116))</f>
        <v/>
      </c>
      <c r="D116" s="442" t="str">
        <f>IF(Measures!AM116="Row Not Used","",Measures!G116)</f>
        <v/>
      </c>
      <c r="E116" s="443" t="str">
        <f>IF(Measures!AM116="Row Not Used","",Measures!H116)</f>
        <v/>
      </c>
      <c r="F116" s="450" t="str">
        <f>IF(Measures!AM116="Row Not Used","",Measures!I116)</f>
        <v/>
      </c>
      <c r="G116" s="426" t="str">
        <f>IF(OR(Measures!AM116="Row Not Used",Measures!C116="Controls Only",Measures!C116="Decommissioning"),"",_xlfn.CONCAT(Measures!K116," - ",Measures!L116))</f>
        <v/>
      </c>
      <c r="H116" s="442" t="str">
        <f>IF(OR(Measures!AM116="Row Not Used",Measures!C116="Controls Only",Measures!C116="Decommissioning"),"",Measures!M116)</f>
        <v/>
      </c>
      <c r="I116" s="443" t="str">
        <f>IF(OR(Measures!AM116="Row Not Used",Measures!C116="Controls Only",Measures!C116="Decommissioning"),"",Measures!N116)</f>
        <v/>
      </c>
      <c r="J116" s="444" t="str">
        <f>IF(OR(Measures!AM116="Row Not Used",Measures!C116="Controls Only",Measures!C116="Decommissioning"),"",Measures!O116)</f>
        <v/>
      </c>
      <c r="K116" s="425" t="str">
        <f>IF(OR(Measures!AM116="Row Not Used",Measures!C116="Controls Only",Measures!C116="Decommissioning"),"",Measures!AS116)</f>
        <v/>
      </c>
      <c r="L116" s="426" t="str">
        <f>IF(OR(Measures!AM116="Row Not Used",Measures!AM116="Decommissioning",ISBLANK(Measures!R116)),"",Measures!R116)</f>
        <v/>
      </c>
      <c r="M116" s="431" t="str">
        <f>IF(OR(Measures!AM116="Row Not Used",Measures!AM116="Fixtures Only",Measures!AM116="Decommissioning"),"",Measures!S116)</f>
        <v/>
      </c>
      <c r="N116" s="432" t="str">
        <f>IF(Measures!AM116="Row Not Used","",Measures!AF116)</f>
        <v/>
      </c>
      <c r="O116" s="426" t="str">
        <f>IF(Measures!AM116="Row Not Used","",Measures!C116)</f>
        <v/>
      </c>
      <c r="P116" s="133" t="str">
        <f t="shared" si="1"/>
        <v>No</v>
      </c>
    </row>
    <row r="117" spans="1:16" ht="75.599999999999994" customHeight="1" x14ac:dyDescent="0.3">
      <c r="A117" s="454">
        <f>Measures!A117</f>
        <v>110</v>
      </c>
      <c r="B117" s="425" t="str">
        <f>IF(Measures!AM117="Row Not Used","",IF(ISBLANK(Measures!V117),Measures!B117,_xlfn.CONCAT(Measures!B117," - ",Measures!V117)))</f>
        <v/>
      </c>
      <c r="C117" s="426" t="str">
        <f>IF(Measures!AM117="Row Not Used","",_xlfn.CONCAT(Measures!D117," - ",Measures!E117," - ",Measures!F117))</f>
        <v/>
      </c>
      <c r="D117" s="442" t="str">
        <f>IF(Measures!AM117="Row Not Used","",Measures!G117)</f>
        <v/>
      </c>
      <c r="E117" s="443" t="str">
        <f>IF(Measures!AM117="Row Not Used","",Measures!H117)</f>
        <v/>
      </c>
      <c r="F117" s="450" t="str">
        <f>IF(Measures!AM117="Row Not Used","",Measures!I117)</f>
        <v/>
      </c>
      <c r="G117" s="426" t="str">
        <f>IF(OR(Measures!AM117="Row Not Used",Measures!C117="Controls Only",Measures!C117="Decommissioning"),"",_xlfn.CONCAT(Measures!K117," - ",Measures!L117))</f>
        <v/>
      </c>
      <c r="H117" s="442" t="str">
        <f>IF(OR(Measures!AM117="Row Not Used",Measures!C117="Controls Only",Measures!C117="Decommissioning"),"",Measures!M117)</f>
        <v/>
      </c>
      <c r="I117" s="443" t="str">
        <f>IF(OR(Measures!AM117="Row Not Used",Measures!C117="Controls Only",Measures!C117="Decommissioning"),"",Measures!N117)</f>
        <v/>
      </c>
      <c r="J117" s="444" t="str">
        <f>IF(OR(Measures!AM117="Row Not Used",Measures!C117="Controls Only",Measures!C117="Decommissioning"),"",Measures!O117)</f>
        <v/>
      </c>
      <c r="K117" s="425" t="str">
        <f>IF(OR(Measures!AM117="Row Not Used",Measures!C117="Controls Only",Measures!C117="Decommissioning"),"",Measures!AS117)</f>
        <v/>
      </c>
      <c r="L117" s="426" t="str">
        <f>IF(OR(Measures!AM117="Row Not Used",Measures!AM117="Decommissioning",ISBLANK(Measures!R117)),"",Measures!R117)</f>
        <v/>
      </c>
      <c r="M117" s="431" t="str">
        <f>IF(OR(Measures!AM117="Row Not Used",Measures!AM117="Fixtures Only",Measures!AM117="Decommissioning"),"",Measures!S117)</f>
        <v/>
      </c>
      <c r="N117" s="432" t="str">
        <f>IF(Measures!AM117="Row Not Used","",Measures!AF117)</f>
        <v/>
      </c>
      <c r="O117" s="426" t="str">
        <f>IF(Measures!AM117="Row Not Used","",Measures!C117)</f>
        <v/>
      </c>
      <c r="P117" s="133" t="str">
        <f t="shared" si="1"/>
        <v>No</v>
      </c>
    </row>
    <row r="118" spans="1:16" ht="75.599999999999994" customHeight="1" x14ac:dyDescent="0.3">
      <c r="A118" s="454">
        <f>Measures!A118</f>
        <v>111</v>
      </c>
      <c r="B118" s="425" t="str">
        <f>IF(Measures!AM118="Row Not Used","",IF(ISBLANK(Measures!V118),Measures!B118,_xlfn.CONCAT(Measures!B118," - ",Measures!V118)))</f>
        <v/>
      </c>
      <c r="C118" s="426" t="str">
        <f>IF(Measures!AM118="Row Not Used","",_xlfn.CONCAT(Measures!D118," - ",Measures!E118," - ",Measures!F118))</f>
        <v/>
      </c>
      <c r="D118" s="442" t="str">
        <f>IF(Measures!AM118="Row Not Used","",Measures!G118)</f>
        <v/>
      </c>
      <c r="E118" s="443" t="str">
        <f>IF(Measures!AM118="Row Not Used","",Measures!H118)</f>
        <v/>
      </c>
      <c r="F118" s="450" t="str">
        <f>IF(Measures!AM118="Row Not Used","",Measures!I118)</f>
        <v/>
      </c>
      <c r="G118" s="426" t="str">
        <f>IF(OR(Measures!AM118="Row Not Used",Measures!C118="Controls Only",Measures!C118="Decommissioning"),"",_xlfn.CONCAT(Measures!K118," - ",Measures!L118))</f>
        <v/>
      </c>
      <c r="H118" s="442" t="str">
        <f>IF(OR(Measures!AM118="Row Not Used",Measures!C118="Controls Only",Measures!C118="Decommissioning"),"",Measures!M118)</f>
        <v/>
      </c>
      <c r="I118" s="443" t="str">
        <f>IF(OR(Measures!AM118="Row Not Used",Measures!C118="Controls Only",Measures!C118="Decommissioning"),"",Measures!N118)</f>
        <v/>
      </c>
      <c r="J118" s="444" t="str">
        <f>IF(OR(Measures!AM118="Row Not Used",Measures!C118="Controls Only",Measures!C118="Decommissioning"),"",Measures!O118)</f>
        <v/>
      </c>
      <c r="K118" s="425" t="str">
        <f>IF(OR(Measures!AM118="Row Not Used",Measures!C118="Controls Only",Measures!C118="Decommissioning"),"",Measures!AS118)</f>
        <v/>
      </c>
      <c r="L118" s="426" t="str">
        <f>IF(OR(Measures!AM118="Row Not Used",Measures!AM118="Decommissioning",ISBLANK(Measures!R118)),"",Measures!R118)</f>
        <v/>
      </c>
      <c r="M118" s="431" t="str">
        <f>IF(OR(Measures!AM118="Row Not Used",Measures!AM118="Fixtures Only",Measures!AM118="Decommissioning"),"",Measures!S118)</f>
        <v/>
      </c>
      <c r="N118" s="432" t="str">
        <f>IF(Measures!AM118="Row Not Used","",Measures!AF118)</f>
        <v/>
      </c>
      <c r="O118" s="426" t="str">
        <f>IF(Measures!AM118="Row Not Used","",Measures!C118)</f>
        <v/>
      </c>
      <c r="P118" s="133" t="str">
        <f t="shared" si="1"/>
        <v>No</v>
      </c>
    </row>
    <row r="119" spans="1:16" ht="75.599999999999994" customHeight="1" x14ac:dyDescent="0.3">
      <c r="A119" s="454">
        <f>Measures!A119</f>
        <v>112</v>
      </c>
      <c r="B119" s="425" t="str">
        <f>IF(Measures!AM119="Row Not Used","",IF(ISBLANK(Measures!V119),Measures!B119,_xlfn.CONCAT(Measures!B119," - ",Measures!V119)))</f>
        <v/>
      </c>
      <c r="C119" s="426" t="str">
        <f>IF(Measures!AM119="Row Not Used","",_xlfn.CONCAT(Measures!D119," - ",Measures!E119," - ",Measures!F119))</f>
        <v/>
      </c>
      <c r="D119" s="442" t="str">
        <f>IF(Measures!AM119="Row Not Used","",Measures!G119)</f>
        <v/>
      </c>
      <c r="E119" s="443" t="str">
        <f>IF(Measures!AM119="Row Not Used","",Measures!H119)</f>
        <v/>
      </c>
      <c r="F119" s="450" t="str">
        <f>IF(Measures!AM119="Row Not Used","",Measures!I119)</f>
        <v/>
      </c>
      <c r="G119" s="426" t="str">
        <f>IF(OR(Measures!AM119="Row Not Used",Measures!C119="Controls Only",Measures!C119="Decommissioning"),"",_xlfn.CONCAT(Measures!K119," - ",Measures!L119))</f>
        <v/>
      </c>
      <c r="H119" s="442" t="str">
        <f>IF(OR(Measures!AM119="Row Not Used",Measures!C119="Controls Only",Measures!C119="Decommissioning"),"",Measures!M119)</f>
        <v/>
      </c>
      <c r="I119" s="443" t="str">
        <f>IF(OR(Measures!AM119="Row Not Used",Measures!C119="Controls Only",Measures!C119="Decommissioning"),"",Measures!N119)</f>
        <v/>
      </c>
      <c r="J119" s="444" t="str">
        <f>IF(OR(Measures!AM119="Row Not Used",Measures!C119="Controls Only",Measures!C119="Decommissioning"),"",Measures!O119)</f>
        <v/>
      </c>
      <c r="K119" s="425" t="str">
        <f>IF(OR(Measures!AM119="Row Not Used",Measures!C119="Controls Only",Measures!C119="Decommissioning"),"",Measures!AS119)</f>
        <v/>
      </c>
      <c r="L119" s="426" t="str">
        <f>IF(OR(Measures!AM119="Row Not Used",Measures!AM119="Decommissioning",ISBLANK(Measures!R119)),"",Measures!R119)</f>
        <v/>
      </c>
      <c r="M119" s="431" t="str">
        <f>IF(OR(Measures!AM119="Row Not Used",Measures!AM119="Fixtures Only",Measures!AM119="Decommissioning"),"",Measures!S119)</f>
        <v/>
      </c>
      <c r="N119" s="432" t="str">
        <f>IF(Measures!AM119="Row Not Used","",Measures!AF119)</f>
        <v/>
      </c>
      <c r="O119" s="426" t="str">
        <f>IF(Measures!AM119="Row Not Used","",Measures!C119)</f>
        <v/>
      </c>
      <c r="P119" s="133" t="str">
        <f t="shared" si="1"/>
        <v>No</v>
      </c>
    </row>
    <row r="120" spans="1:16" ht="75.599999999999994" customHeight="1" x14ac:dyDescent="0.3">
      <c r="A120" s="454">
        <f>Measures!A120</f>
        <v>113</v>
      </c>
      <c r="B120" s="425" t="str">
        <f>IF(Measures!AM120="Row Not Used","",IF(ISBLANK(Measures!V120),Measures!B120,_xlfn.CONCAT(Measures!B120," - ",Measures!V120)))</f>
        <v/>
      </c>
      <c r="C120" s="426" t="str">
        <f>IF(Measures!AM120="Row Not Used","",_xlfn.CONCAT(Measures!D120," - ",Measures!E120," - ",Measures!F120))</f>
        <v/>
      </c>
      <c r="D120" s="442" t="str">
        <f>IF(Measures!AM120="Row Not Used","",Measures!G120)</f>
        <v/>
      </c>
      <c r="E120" s="443" t="str">
        <f>IF(Measures!AM120="Row Not Used","",Measures!H120)</f>
        <v/>
      </c>
      <c r="F120" s="450" t="str">
        <f>IF(Measures!AM120="Row Not Used","",Measures!I120)</f>
        <v/>
      </c>
      <c r="G120" s="426" t="str">
        <f>IF(OR(Measures!AM120="Row Not Used",Measures!C120="Controls Only",Measures!C120="Decommissioning"),"",_xlfn.CONCAT(Measures!K120," - ",Measures!L120))</f>
        <v/>
      </c>
      <c r="H120" s="442" t="str">
        <f>IF(OR(Measures!AM120="Row Not Used",Measures!C120="Controls Only",Measures!C120="Decommissioning"),"",Measures!M120)</f>
        <v/>
      </c>
      <c r="I120" s="443" t="str">
        <f>IF(OR(Measures!AM120="Row Not Used",Measures!C120="Controls Only",Measures!C120="Decommissioning"),"",Measures!N120)</f>
        <v/>
      </c>
      <c r="J120" s="444" t="str">
        <f>IF(OR(Measures!AM120="Row Not Used",Measures!C120="Controls Only",Measures!C120="Decommissioning"),"",Measures!O120)</f>
        <v/>
      </c>
      <c r="K120" s="425" t="str">
        <f>IF(OR(Measures!AM120="Row Not Used",Measures!C120="Controls Only",Measures!C120="Decommissioning"),"",Measures!AS120)</f>
        <v/>
      </c>
      <c r="L120" s="426" t="str">
        <f>IF(OR(Measures!AM120="Row Not Used",Measures!AM120="Decommissioning",ISBLANK(Measures!R120)),"",Measures!R120)</f>
        <v/>
      </c>
      <c r="M120" s="431" t="str">
        <f>IF(OR(Measures!AM120="Row Not Used",Measures!AM120="Fixtures Only",Measures!AM120="Decommissioning"),"",Measures!S120)</f>
        <v/>
      </c>
      <c r="N120" s="432" t="str">
        <f>IF(Measures!AM120="Row Not Used","",Measures!AF120)</f>
        <v/>
      </c>
      <c r="O120" s="426" t="str">
        <f>IF(Measures!AM120="Row Not Used","",Measures!C120)</f>
        <v/>
      </c>
      <c r="P120" s="133" t="str">
        <f t="shared" si="1"/>
        <v>No</v>
      </c>
    </row>
    <row r="121" spans="1:16" ht="75.599999999999994" customHeight="1" x14ac:dyDescent="0.3">
      <c r="A121" s="454">
        <f>Measures!A121</f>
        <v>114</v>
      </c>
      <c r="B121" s="425" t="str">
        <f>IF(Measures!AM121="Row Not Used","",IF(ISBLANK(Measures!V121),Measures!B121,_xlfn.CONCAT(Measures!B121," - ",Measures!V121)))</f>
        <v/>
      </c>
      <c r="C121" s="426" t="str">
        <f>IF(Measures!AM121="Row Not Used","",_xlfn.CONCAT(Measures!D121," - ",Measures!E121," - ",Measures!F121))</f>
        <v/>
      </c>
      <c r="D121" s="442" t="str">
        <f>IF(Measures!AM121="Row Not Used","",Measures!G121)</f>
        <v/>
      </c>
      <c r="E121" s="443" t="str">
        <f>IF(Measures!AM121="Row Not Used","",Measures!H121)</f>
        <v/>
      </c>
      <c r="F121" s="450" t="str">
        <f>IF(Measures!AM121="Row Not Used","",Measures!I121)</f>
        <v/>
      </c>
      <c r="G121" s="426" t="str">
        <f>IF(OR(Measures!AM121="Row Not Used",Measures!C121="Controls Only",Measures!C121="Decommissioning"),"",_xlfn.CONCAT(Measures!K121," - ",Measures!L121))</f>
        <v/>
      </c>
      <c r="H121" s="442" t="str">
        <f>IF(OR(Measures!AM121="Row Not Used",Measures!C121="Controls Only",Measures!C121="Decommissioning"),"",Measures!M121)</f>
        <v/>
      </c>
      <c r="I121" s="443" t="str">
        <f>IF(OR(Measures!AM121="Row Not Used",Measures!C121="Controls Only",Measures!C121="Decommissioning"),"",Measures!N121)</f>
        <v/>
      </c>
      <c r="J121" s="444" t="str">
        <f>IF(OR(Measures!AM121="Row Not Used",Measures!C121="Controls Only",Measures!C121="Decommissioning"),"",Measures!O121)</f>
        <v/>
      </c>
      <c r="K121" s="425" t="str">
        <f>IF(OR(Measures!AM121="Row Not Used",Measures!C121="Controls Only",Measures!C121="Decommissioning"),"",Measures!AS121)</f>
        <v/>
      </c>
      <c r="L121" s="426" t="str">
        <f>IF(OR(Measures!AM121="Row Not Used",Measures!AM121="Decommissioning",ISBLANK(Measures!R121)),"",Measures!R121)</f>
        <v/>
      </c>
      <c r="M121" s="431" t="str">
        <f>IF(OR(Measures!AM121="Row Not Used",Measures!AM121="Fixtures Only",Measures!AM121="Decommissioning"),"",Measures!S121)</f>
        <v/>
      </c>
      <c r="N121" s="432" t="str">
        <f>IF(Measures!AM121="Row Not Used","",Measures!AF121)</f>
        <v/>
      </c>
      <c r="O121" s="426" t="str">
        <f>IF(Measures!AM121="Row Not Used","",Measures!C121)</f>
        <v/>
      </c>
      <c r="P121" s="133" t="str">
        <f t="shared" si="1"/>
        <v>No</v>
      </c>
    </row>
    <row r="122" spans="1:16" ht="75.599999999999994" customHeight="1" x14ac:dyDescent="0.3">
      <c r="A122" s="454">
        <f>Measures!A122</f>
        <v>115</v>
      </c>
      <c r="B122" s="425" t="str">
        <f>IF(Measures!AM122="Row Not Used","",IF(ISBLANK(Measures!V122),Measures!B122,_xlfn.CONCAT(Measures!B122," - ",Measures!V122)))</f>
        <v/>
      </c>
      <c r="C122" s="426" t="str">
        <f>IF(Measures!AM122="Row Not Used","",_xlfn.CONCAT(Measures!D122," - ",Measures!E122," - ",Measures!F122))</f>
        <v/>
      </c>
      <c r="D122" s="442" t="str">
        <f>IF(Measures!AM122="Row Not Used","",Measures!G122)</f>
        <v/>
      </c>
      <c r="E122" s="443" t="str">
        <f>IF(Measures!AM122="Row Not Used","",Measures!H122)</f>
        <v/>
      </c>
      <c r="F122" s="450" t="str">
        <f>IF(Measures!AM122="Row Not Used","",Measures!I122)</f>
        <v/>
      </c>
      <c r="G122" s="426" t="str">
        <f>IF(OR(Measures!AM122="Row Not Used",Measures!C122="Controls Only",Measures!C122="Decommissioning"),"",_xlfn.CONCAT(Measures!K122," - ",Measures!L122))</f>
        <v/>
      </c>
      <c r="H122" s="442" t="str">
        <f>IF(OR(Measures!AM122="Row Not Used",Measures!C122="Controls Only",Measures!C122="Decommissioning"),"",Measures!M122)</f>
        <v/>
      </c>
      <c r="I122" s="443" t="str">
        <f>IF(OR(Measures!AM122="Row Not Used",Measures!C122="Controls Only",Measures!C122="Decommissioning"),"",Measures!N122)</f>
        <v/>
      </c>
      <c r="J122" s="444" t="str">
        <f>IF(OR(Measures!AM122="Row Not Used",Measures!C122="Controls Only",Measures!C122="Decommissioning"),"",Measures!O122)</f>
        <v/>
      </c>
      <c r="K122" s="425" t="str">
        <f>IF(OR(Measures!AM122="Row Not Used",Measures!C122="Controls Only",Measures!C122="Decommissioning"),"",Measures!AS122)</f>
        <v/>
      </c>
      <c r="L122" s="426" t="str">
        <f>IF(OR(Measures!AM122="Row Not Used",Measures!AM122="Decommissioning",ISBLANK(Measures!R122)),"",Measures!R122)</f>
        <v/>
      </c>
      <c r="M122" s="431" t="str">
        <f>IF(OR(Measures!AM122="Row Not Used",Measures!AM122="Fixtures Only",Measures!AM122="Decommissioning"),"",Measures!S122)</f>
        <v/>
      </c>
      <c r="N122" s="432" t="str">
        <f>IF(Measures!AM122="Row Not Used","",Measures!AF122)</f>
        <v/>
      </c>
      <c r="O122" s="426" t="str">
        <f>IF(Measures!AM122="Row Not Used","",Measures!C122)</f>
        <v/>
      </c>
      <c r="P122" s="133" t="str">
        <f t="shared" si="1"/>
        <v>No</v>
      </c>
    </row>
    <row r="123" spans="1:16" ht="75.599999999999994" customHeight="1" x14ac:dyDescent="0.3">
      <c r="A123" s="454">
        <f>Measures!A123</f>
        <v>116</v>
      </c>
      <c r="B123" s="425" t="str">
        <f>IF(Measures!AM123="Row Not Used","",IF(ISBLANK(Measures!V123),Measures!B123,_xlfn.CONCAT(Measures!B123," - ",Measures!V123)))</f>
        <v/>
      </c>
      <c r="C123" s="426" t="str">
        <f>IF(Measures!AM123="Row Not Used","",_xlfn.CONCAT(Measures!D123," - ",Measures!E123," - ",Measures!F123))</f>
        <v/>
      </c>
      <c r="D123" s="442" t="str">
        <f>IF(Measures!AM123="Row Not Used","",Measures!G123)</f>
        <v/>
      </c>
      <c r="E123" s="443" t="str">
        <f>IF(Measures!AM123="Row Not Used","",Measures!H123)</f>
        <v/>
      </c>
      <c r="F123" s="450" t="str">
        <f>IF(Measures!AM123="Row Not Used","",Measures!I123)</f>
        <v/>
      </c>
      <c r="G123" s="426" t="str">
        <f>IF(OR(Measures!AM123="Row Not Used",Measures!C123="Controls Only",Measures!C123="Decommissioning"),"",_xlfn.CONCAT(Measures!K123," - ",Measures!L123))</f>
        <v/>
      </c>
      <c r="H123" s="442" t="str">
        <f>IF(OR(Measures!AM123="Row Not Used",Measures!C123="Controls Only",Measures!C123="Decommissioning"),"",Measures!M123)</f>
        <v/>
      </c>
      <c r="I123" s="443" t="str">
        <f>IF(OR(Measures!AM123="Row Not Used",Measures!C123="Controls Only",Measures!C123="Decommissioning"),"",Measures!N123)</f>
        <v/>
      </c>
      <c r="J123" s="444" t="str">
        <f>IF(OR(Measures!AM123="Row Not Used",Measures!C123="Controls Only",Measures!C123="Decommissioning"),"",Measures!O123)</f>
        <v/>
      </c>
      <c r="K123" s="425" t="str">
        <f>IF(OR(Measures!AM123="Row Not Used",Measures!C123="Controls Only",Measures!C123="Decommissioning"),"",Measures!AS123)</f>
        <v/>
      </c>
      <c r="L123" s="426" t="str">
        <f>IF(OR(Measures!AM123="Row Not Used",Measures!AM123="Decommissioning",ISBLANK(Measures!R123)),"",Measures!R123)</f>
        <v/>
      </c>
      <c r="M123" s="431" t="str">
        <f>IF(OR(Measures!AM123="Row Not Used",Measures!AM123="Fixtures Only",Measures!AM123="Decommissioning"),"",Measures!S123)</f>
        <v/>
      </c>
      <c r="N123" s="432" t="str">
        <f>IF(Measures!AM123="Row Not Used","",Measures!AF123)</f>
        <v/>
      </c>
      <c r="O123" s="426" t="str">
        <f>IF(Measures!AM123="Row Not Used","",Measures!C123)</f>
        <v/>
      </c>
      <c r="P123" s="133" t="str">
        <f t="shared" si="1"/>
        <v>No</v>
      </c>
    </row>
    <row r="124" spans="1:16" ht="75.599999999999994" customHeight="1" x14ac:dyDescent="0.3">
      <c r="A124" s="454">
        <f>Measures!A124</f>
        <v>117</v>
      </c>
      <c r="B124" s="425" t="str">
        <f>IF(Measures!AM124="Row Not Used","",IF(ISBLANK(Measures!V124),Measures!B124,_xlfn.CONCAT(Measures!B124," - ",Measures!V124)))</f>
        <v/>
      </c>
      <c r="C124" s="426" t="str">
        <f>IF(Measures!AM124="Row Not Used","",_xlfn.CONCAT(Measures!D124," - ",Measures!E124," - ",Measures!F124))</f>
        <v/>
      </c>
      <c r="D124" s="442" t="str">
        <f>IF(Measures!AM124="Row Not Used","",Measures!G124)</f>
        <v/>
      </c>
      <c r="E124" s="443" t="str">
        <f>IF(Measures!AM124="Row Not Used","",Measures!H124)</f>
        <v/>
      </c>
      <c r="F124" s="450" t="str">
        <f>IF(Measures!AM124="Row Not Used","",Measures!I124)</f>
        <v/>
      </c>
      <c r="G124" s="426" t="str">
        <f>IF(OR(Measures!AM124="Row Not Used",Measures!C124="Controls Only",Measures!C124="Decommissioning"),"",_xlfn.CONCAT(Measures!K124," - ",Measures!L124))</f>
        <v/>
      </c>
      <c r="H124" s="442" t="str">
        <f>IF(OR(Measures!AM124="Row Not Used",Measures!C124="Controls Only",Measures!C124="Decommissioning"),"",Measures!M124)</f>
        <v/>
      </c>
      <c r="I124" s="443" t="str">
        <f>IF(OR(Measures!AM124="Row Not Used",Measures!C124="Controls Only",Measures!C124="Decommissioning"),"",Measures!N124)</f>
        <v/>
      </c>
      <c r="J124" s="444" t="str">
        <f>IF(OR(Measures!AM124="Row Not Used",Measures!C124="Controls Only",Measures!C124="Decommissioning"),"",Measures!O124)</f>
        <v/>
      </c>
      <c r="K124" s="425" t="str">
        <f>IF(OR(Measures!AM124="Row Not Used",Measures!C124="Controls Only",Measures!C124="Decommissioning"),"",Measures!AS124)</f>
        <v/>
      </c>
      <c r="L124" s="426" t="str">
        <f>IF(OR(Measures!AM124="Row Not Used",Measures!AM124="Decommissioning",ISBLANK(Measures!R124)),"",Measures!R124)</f>
        <v/>
      </c>
      <c r="M124" s="431" t="str">
        <f>IF(OR(Measures!AM124="Row Not Used",Measures!AM124="Fixtures Only",Measures!AM124="Decommissioning"),"",Measures!S124)</f>
        <v/>
      </c>
      <c r="N124" s="432" t="str">
        <f>IF(Measures!AM124="Row Not Used","",Measures!AF124)</f>
        <v/>
      </c>
      <c r="O124" s="426" t="str">
        <f>IF(Measures!AM124="Row Not Used","",Measures!C124)</f>
        <v/>
      </c>
      <c r="P124" s="133" t="str">
        <f t="shared" si="1"/>
        <v>No</v>
      </c>
    </row>
    <row r="125" spans="1:16" ht="75.599999999999994" customHeight="1" x14ac:dyDescent="0.3">
      <c r="A125" s="454">
        <f>Measures!A125</f>
        <v>118</v>
      </c>
      <c r="B125" s="425" t="str">
        <f>IF(Measures!AM125="Row Not Used","",IF(ISBLANK(Measures!V125),Measures!B125,_xlfn.CONCAT(Measures!B125," - ",Measures!V125)))</f>
        <v/>
      </c>
      <c r="C125" s="426" t="str">
        <f>IF(Measures!AM125="Row Not Used","",_xlfn.CONCAT(Measures!D125," - ",Measures!E125," - ",Measures!F125))</f>
        <v/>
      </c>
      <c r="D125" s="442" t="str">
        <f>IF(Measures!AM125="Row Not Used","",Measures!G125)</f>
        <v/>
      </c>
      <c r="E125" s="443" t="str">
        <f>IF(Measures!AM125="Row Not Used","",Measures!H125)</f>
        <v/>
      </c>
      <c r="F125" s="450" t="str">
        <f>IF(Measures!AM125="Row Not Used","",Measures!I125)</f>
        <v/>
      </c>
      <c r="G125" s="426" t="str">
        <f>IF(OR(Measures!AM125="Row Not Used",Measures!C125="Controls Only",Measures!C125="Decommissioning"),"",_xlfn.CONCAT(Measures!K125," - ",Measures!L125))</f>
        <v/>
      </c>
      <c r="H125" s="442" t="str">
        <f>IF(OR(Measures!AM125="Row Not Used",Measures!C125="Controls Only",Measures!C125="Decommissioning"),"",Measures!M125)</f>
        <v/>
      </c>
      <c r="I125" s="443" t="str">
        <f>IF(OR(Measures!AM125="Row Not Used",Measures!C125="Controls Only",Measures!C125="Decommissioning"),"",Measures!N125)</f>
        <v/>
      </c>
      <c r="J125" s="444" t="str">
        <f>IF(OR(Measures!AM125="Row Not Used",Measures!C125="Controls Only",Measures!C125="Decommissioning"),"",Measures!O125)</f>
        <v/>
      </c>
      <c r="K125" s="425" t="str">
        <f>IF(OR(Measures!AM125="Row Not Used",Measures!C125="Controls Only",Measures!C125="Decommissioning"),"",Measures!AS125)</f>
        <v/>
      </c>
      <c r="L125" s="426" t="str">
        <f>IF(OR(Measures!AM125="Row Not Used",Measures!AM125="Decommissioning",ISBLANK(Measures!R125)),"",Measures!R125)</f>
        <v/>
      </c>
      <c r="M125" s="431" t="str">
        <f>IF(OR(Measures!AM125="Row Not Used",Measures!AM125="Fixtures Only",Measures!AM125="Decommissioning"),"",Measures!S125)</f>
        <v/>
      </c>
      <c r="N125" s="432" t="str">
        <f>IF(Measures!AM125="Row Not Used","",Measures!AF125)</f>
        <v/>
      </c>
      <c r="O125" s="426" t="str">
        <f>IF(Measures!AM125="Row Not Used","",Measures!C125)</f>
        <v/>
      </c>
      <c r="P125" s="133" t="str">
        <f t="shared" si="1"/>
        <v>No</v>
      </c>
    </row>
    <row r="126" spans="1:16" ht="75.599999999999994" customHeight="1" x14ac:dyDescent="0.3">
      <c r="A126" s="454">
        <f>Measures!A126</f>
        <v>119</v>
      </c>
      <c r="B126" s="425" t="str">
        <f>IF(Measures!AM126="Row Not Used","",IF(ISBLANK(Measures!V126),Measures!B126,_xlfn.CONCAT(Measures!B126," - ",Measures!V126)))</f>
        <v/>
      </c>
      <c r="C126" s="426" t="str">
        <f>IF(Measures!AM126="Row Not Used","",_xlfn.CONCAT(Measures!D126," - ",Measures!E126," - ",Measures!F126))</f>
        <v/>
      </c>
      <c r="D126" s="442" t="str">
        <f>IF(Measures!AM126="Row Not Used","",Measures!G126)</f>
        <v/>
      </c>
      <c r="E126" s="443" t="str">
        <f>IF(Measures!AM126="Row Not Used","",Measures!H126)</f>
        <v/>
      </c>
      <c r="F126" s="450" t="str">
        <f>IF(Measures!AM126="Row Not Used","",Measures!I126)</f>
        <v/>
      </c>
      <c r="G126" s="426" t="str">
        <f>IF(OR(Measures!AM126="Row Not Used",Measures!C126="Controls Only",Measures!C126="Decommissioning"),"",_xlfn.CONCAT(Measures!K126," - ",Measures!L126))</f>
        <v/>
      </c>
      <c r="H126" s="442" t="str">
        <f>IF(OR(Measures!AM126="Row Not Used",Measures!C126="Controls Only",Measures!C126="Decommissioning"),"",Measures!M126)</f>
        <v/>
      </c>
      <c r="I126" s="443" t="str">
        <f>IF(OR(Measures!AM126="Row Not Used",Measures!C126="Controls Only",Measures!C126="Decommissioning"),"",Measures!N126)</f>
        <v/>
      </c>
      <c r="J126" s="444" t="str">
        <f>IF(OR(Measures!AM126="Row Not Used",Measures!C126="Controls Only",Measures!C126="Decommissioning"),"",Measures!O126)</f>
        <v/>
      </c>
      <c r="K126" s="425" t="str">
        <f>IF(OR(Measures!AM126="Row Not Used",Measures!C126="Controls Only",Measures!C126="Decommissioning"),"",Measures!AS126)</f>
        <v/>
      </c>
      <c r="L126" s="426" t="str">
        <f>IF(OR(Measures!AM126="Row Not Used",Measures!AM126="Decommissioning",ISBLANK(Measures!R126)),"",Measures!R126)</f>
        <v/>
      </c>
      <c r="M126" s="431" t="str">
        <f>IF(OR(Measures!AM126="Row Not Used",Measures!AM126="Fixtures Only",Measures!AM126="Decommissioning"),"",Measures!S126)</f>
        <v/>
      </c>
      <c r="N126" s="432" t="str">
        <f>IF(Measures!AM126="Row Not Used","",Measures!AF126)</f>
        <v/>
      </c>
      <c r="O126" s="426" t="str">
        <f>IF(Measures!AM126="Row Not Used","",Measures!C126)</f>
        <v/>
      </c>
      <c r="P126" s="133" t="str">
        <f t="shared" si="1"/>
        <v>No</v>
      </c>
    </row>
    <row r="127" spans="1:16" ht="75.599999999999994" customHeight="1" x14ac:dyDescent="0.3">
      <c r="A127" s="454">
        <f>Measures!A127</f>
        <v>120</v>
      </c>
      <c r="B127" s="425" t="str">
        <f>IF(Measures!AM127="Row Not Used","",IF(ISBLANK(Measures!V127),Measures!B127,_xlfn.CONCAT(Measures!B127," - ",Measures!V127)))</f>
        <v/>
      </c>
      <c r="C127" s="426" t="str">
        <f>IF(Measures!AM127="Row Not Used","",_xlfn.CONCAT(Measures!D127," - ",Measures!E127," - ",Measures!F127))</f>
        <v/>
      </c>
      <c r="D127" s="442" t="str">
        <f>IF(Measures!AM127="Row Not Used","",Measures!G127)</f>
        <v/>
      </c>
      <c r="E127" s="443" t="str">
        <f>IF(Measures!AM127="Row Not Used","",Measures!H127)</f>
        <v/>
      </c>
      <c r="F127" s="450" t="str">
        <f>IF(Measures!AM127="Row Not Used","",Measures!I127)</f>
        <v/>
      </c>
      <c r="G127" s="426" t="str">
        <f>IF(OR(Measures!AM127="Row Not Used",Measures!C127="Controls Only",Measures!C127="Decommissioning"),"",_xlfn.CONCAT(Measures!K127," - ",Measures!L127))</f>
        <v/>
      </c>
      <c r="H127" s="442" t="str">
        <f>IF(OR(Measures!AM127="Row Not Used",Measures!C127="Controls Only",Measures!C127="Decommissioning"),"",Measures!M127)</f>
        <v/>
      </c>
      <c r="I127" s="443" t="str">
        <f>IF(OR(Measures!AM127="Row Not Used",Measures!C127="Controls Only",Measures!C127="Decommissioning"),"",Measures!N127)</f>
        <v/>
      </c>
      <c r="J127" s="444" t="str">
        <f>IF(OR(Measures!AM127="Row Not Used",Measures!C127="Controls Only",Measures!C127="Decommissioning"),"",Measures!O127)</f>
        <v/>
      </c>
      <c r="K127" s="425" t="str">
        <f>IF(OR(Measures!AM127="Row Not Used",Measures!C127="Controls Only",Measures!C127="Decommissioning"),"",Measures!AS127)</f>
        <v/>
      </c>
      <c r="L127" s="426" t="str">
        <f>IF(OR(Measures!AM127="Row Not Used",Measures!AM127="Decommissioning",ISBLANK(Measures!R127)),"",Measures!R127)</f>
        <v/>
      </c>
      <c r="M127" s="431" t="str">
        <f>IF(OR(Measures!AM127="Row Not Used",Measures!AM127="Fixtures Only",Measures!AM127="Decommissioning"),"",Measures!S127)</f>
        <v/>
      </c>
      <c r="N127" s="432" t="str">
        <f>IF(Measures!AM127="Row Not Used","",Measures!AF127)</f>
        <v/>
      </c>
      <c r="O127" s="426" t="str">
        <f>IF(Measures!AM127="Row Not Used","",Measures!C127)</f>
        <v/>
      </c>
      <c r="P127" s="133" t="str">
        <f t="shared" si="1"/>
        <v>No</v>
      </c>
    </row>
    <row r="128" spans="1:16" ht="75.599999999999994" customHeight="1" x14ac:dyDescent="0.3">
      <c r="A128" s="454">
        <f>Measures!A128</f>
        <v>121</v>
      </c>
      <c r="B128" s="425" t="str">
        <f>IF(Measures!AM128="Row Not Used","",IF(ISBLANK(Measures!V128),Measures!B128,_xlfn.CONCAT(Measures!B128," - ",Measures!V128)))</f>
        <v/>
      </c>
      <c r="C128" s="426" t="str">
        <f>IF(Measures!AM128="Row Not Used","",_xlfn.CONCAT(Measures!D128," - ",Measures!E128," - ",Measures!F128))</f>
        <v/>
      </c>
      <c r="D128" s="442" t="str">
        <f>IF(Measures!AM128="Row Not Used","",Measures!G128)</f>
        <v/>
      </c>
      <c r="E128" s="443" t="str">
        <f>IF(Measures!AM128="Row Not Used","",Measures!H128)</f>
        <v/>
      </c>
      <c r="F128" s="450" t="str">
        <f>IF(Measures!AM128="Row Not Used","",Measures!I128)</f>
        <v/>
      </c>
      <c r="G128" s="426" t="str">
        <f>IF(OR(Measures!AM128="Row Not Used",Measures!C128="Controls Only",Measures!C128="Decommissioning"),"",_xlfn.CONCAT(Measures!K128," - ",Measures!L128))</f>
        <v/>
      </c>
      <c r="H128" s="442" t="str">
        <f>IF(OR(Measures!AM128="Row Not Used",Measures!C128="Controls Only",Measures!C128="Decommissioning"),"",Measures!M128)</f>
        <v/>
      </c>
      <c r="I128" s="443" t="str">
        <f>IF(OR(Measures!AM128="Row Not Used",Measures!C128="Controls Only",Measures!C128="Decommissioning"),"",Measures!N128)</f>
        <v/>
      </c>
      <c r="J128" s="444" t="str">
        <f>IF(OR(Measures!AM128="Row Not Used",Measures!C128="Controls Only",Measures!C128="Decommissioning"),"",Measures!O128)</f>
        <v/>
      </c>
      <c r="K128" s="425" t="str">
        <f>IF(OR(Measures!AM128="Row Not Used",Measures!C128="Controls Only",Measures!C128="Decommissioning"),"",Measures!AS128)</f>
        <v/>
      </c>
      <c r="L128" s="426" t="str">
        <f>IF(OR(Measures!AM128="Row Not Used",Measures!AM128="Decommissioning",ISBLANK(Measures!R128)),"",Measures!R128)</f>
        <v/>
      </c>
      <c r="M128" s="431" t="str">
        <f>IF(OR(Measures!AM128="Row Not Used",Measures!AM128="Fixtures Only",Measures!AM128="Decommissioning"),"",Measures!S128)</f>
        <v/>
      </c>
      <c r="N128" s="432" t="str">
        <f>IF(Measures!AM128="Row Not Used","",Measures!AF128)</f>
        <v/>
      </c>
      <c r="O128" s="426" t="str">
        <f>IF(Measures!AM128="Row Not Used","",Measures!C128)</f>
        <v/>
      </c>
      <c r="P128" s="133" t="str">
        <f t="shared" si="1"/>
        <v>No</v>
      </c>
    </row>
    <row r="129" spans="1:16" ht="75.599999999999994" customHeight="1" x14ac:dyDescent="0.3">
      <c r="A129" s="454">
        <f>Measures!A129</f>
        <v>122</v>
      </c>
      <c r="B129" s="425" t="str">
        <f>IF(Measures!AM129="Row Not Used","",IF(ISBLANK(Measures!V129),Measures!B129,_xlfn.CONCAT(Measures!B129," - ",Measures!V129)))</f>
        <v/>
      </c>
      <c r="C129" s="426" t="str">
        <f>IF(Measures!AM129="Row Not Used","",_xlfn.CONCAT(Measures!D129," - ",Measures!E129," - ",Measures!F129))</f>
        <v/>
      </c>
      <c r="D129" s="442" t="str">
        <f>IF(Measures!AM129="Row Not Used","",Measures!G129)</f>
        <v/>
      </c>
      <c r="E129" s="443" t="str">
        <f>IF(Measures!AM129="Row Not Used","",Measures!H129)</f>
        <v/>
      </c>
      <c r="F129" s="450" t="str">
        <f>IF(Measures!AM129="Row Not Used","",Measures!I129)</f>
        <v/>
      </c>
      <c r="G129" s="426" t="str">
        <f>IF(OR(Measures!AM129="Row Not Used",Measures!C129="Controls Only",Measures!C129="Decommissioning"),"",_xlfn.CONCAT(Measures!K129," - ",Measures!L129))</f>
        <v/>
      </c>
      <c r="H129" s="442" t="str">
        <f>IF(OR(Measures!AM129="Row Not Used",Measures!C129="Controls Only",Measures!C129="Decommissioning"),"",Measures!M129)</f>
        <v/>
      </c>
      <c r="I129" s="443" t="str">
        <f>IF(OR(Measures!AM129="Row Not Used",Measures!C129="Controls Only",Measures!C129="Decommissioning"),"",Measures!N129)</f>
        <v/>
      </c>
      <c r="J129" s="444" t="str">
        <f>IF(OR(Measures!AM129="Row Not Used",Measures!C129="Controls Only",Measures!C129="Decommissioning"),"",Measures!O129)</f>
        <v/>
      </c>
      <c r="K129" s="425" t="str">
        <f>IF(OR(Measures!AM129="Row Not Used",Measures!C129="Controls Only",Measures!C129="Decommissioning"),"",Measures!AS129)</f>
        <v/>
      </c>
      <c r="L129" s="426" t="str">
        <f>IF(OR(Measures!AM129="Row Not Used",Measures!AM129="Decommissioning",ISBLANK(Measures!R129)),"",Measures!R129)</f>
        <v/>
      </c>
      <c r="M129" s="431" t="str">
        <f>IF(OR(Measures!AM129="Row Not Used",Measures!AM129="Fixtures Only",Measures!AM129="Decommissioning"),"",Measures!S129)</f>
        <v/>
      </c>
      <c r="N129" s="432" t="str">
        <f>IF(Measures!AM129="Row Not Used","",Measures!AF129)</f>
        <v/>
      </c>
      <c r="O129" s="426" t="str">
        <f>IF(Measures!AM129="Row Not Used","",Measures!C129)</f>
        <v/>
      </c>
      <c r="P129" s="133" t="str">
        <f t="shared" si="1"/>
        <v>No</v>
      </c>
    </row>
    <row r="130" spans="1:16" ht="75.599999999999994" customHeight="1" x14ac:dyDescent="0.3">
      <c r="A130" s="454">
        <f>Measures!A130</f>
        <v>123</v>
      </c>
      <c r="B130" s="425" t="str">
        <f>IF(Measures!AM130="Row Not Used","",IF(ISBLANK(Measures!V130),Measures!B130,_xlfn.CONCAT(Measures!B130," - ",Measures!V130)))</f>
        <v/>
      </c>
      <c r="C130" s="426" t="str">
        <f>IF(Measures!AM130="Row Not Used","",_xlfn.CONCAT(Measures!D130," - ",Measures!E130," - ",Measures!F130))</f>
        <v/>
      </c>
      <c r="D130" s="442" t="str">
        <f>IF(Measures!AM130="Row Not Used","",Measures!G130)</f>
        <v/>
      </c>
      <c r="E130" s="443" t="str">
        <f>IF(Measures!AM130="Row Not Used","",Measures!H130)</f>
        <v/>
      </c>
      <c r="F130" s="450" t="str">
        <f>IF(Measures!AM130="Row Not Used","",Measures!I130)</f>
        <v/>
      </c>
      <c r="G130" s="426" t="str">
        <f>IF(OR(Measures!AM130="Row Not Used",Measures!C130="Controls Only",Measures!C130="Decommissioning"),"",_xlfn.CONCAT(Measures!K130," - ",Measures!L130))</f>
        <v/>
      </c>
      <c r="H130" s="442" t="str">
        <f>IF(OR(Measures!AM130="Row Not Used",Measures!C130="Controls Only",Measures!C130="Decommissioning"),"",Measures!M130)</f>
        <v/>
      </c>
      <c r="I130" s="443" t="str">
        <f>IF(OR(Measures!AM130="Row Not Used",Measures!C130="Controls Only",Measures!C130="Decommissioning"),"",Measures!N130)</f>
        <v/>
      </c>
      <c r="J130" s="444" t="str">
        <f>IF(OR(Measures!AM130="Row Not Used",Measures!C130="Controls Only",Measures!C130="Decommissioning"),"",Measures!O130)</f>
        <v/>
      </c>
      <c r="K130" s="425" t="str">
        <f>IF(OR(Measures!AM130="Row Not Used",Measures!C130="Controls Only",Measures!C130="Decommissioning"),"",Measures!AS130)</f>
        <v/>
      </c>
      <c r="L130" s="426" t="str">
        <f>IF(OR(Measures!AM130="Row Not Used",Measures!AM130="Decommissioning",ISBLANK(Measures!R130)),"",Measures!R130)</f>
        <v/>
      </c>
      <c r="M130" s="431" t="str">
        <f>IF(OR(Measures!AM130="Row Not Used",Measures!AM130="Fixtures Only",Measures!AM130="Decommissioning"),"",Measures!S130)</f>
        <v/>
      </c>
      <c r="N130" s="432" t="str">
        <f>IF(Measures!AM130="Row Not Used","",Measures!AF130)</f>
        <v/>
      </c>
      <c r="O130" s="426" t="str">
        <f>IF(Measures!AM130="Row Not Used","",Measures!C130)</f>
        <v/>
      </c>
      <c r="P130" s="133" t="str">
        <f t="shared" si="1"/>
        <v>No</v>
      </c>
    </row>
    <row r="131" spans="1:16" ht="75.599999999999994" customHeight="1" x14ac:dyDescent="0.3">
      <c r="A131" s="454">
        <f>Measures!A131</f>
        <v>124</v>
      </c>
      <c r="B131" s="425" t="str">
        <f>IF(Measures!AM131="Row Not Used","",IF(ISBLANK(Measures!V131),Measures!B131,_xlfn.CONCAT(Measures!B131," - ",Measures!V131)))</f>
        <v/>
      </c>
      <c r="C131" s="426" t="str">
        <f>IF(Measures!AM131="Row Not Used","",_xlfn.CONCAT(Measures!D131," - ",Measures!E131," - ",Measures!F131))</f>
        <v/>
      </c>
      <c r="D131" s="442" t="str">
        <f>IF(Measures!AM131="Row Not Used","",Measures!G131)</f>
        <v/>
      </c>
      <c r="E131" s="443" t="str">
        <f>IF(Measures!AM131="Row Not Used","",Measures!H131)</f>
        <v/>
      </c>
      <c r="F131" s="450" t="str">
        <f>IF(Measures!AM131="Row Not Used","",Measures!I131)</f>
        <v/>
      </c>
      <c r="G131" s="426" t="str">
        <f>IF(OR(Measures!AM131="Row Not Used",Measures!C131="Controls Only",Measures!C131="Decommissioning"),"",_xlfn.CONCAT(Measures!K131," - ",Measures!L131))</f>
        <v/>
      </c>
      <c r="H131" s="442" t="str">
        <f>IF(OR(Measures!AM131="Row Not Used",Measures!C131="Controls Only",Measures!C131="Decommissioning"),"",Measures!M131)</f>
        <v/>
      </c>
      <c r="I131" s="443" t="str">
        <f>IF(OR(Measures!AM131="Row Not Used",Measures!C131="Controls Only",Measures!C131="Decommissioning"),"",Measures!N131)</f>
        <v/>
      </c>
      <c r="J131" s="444" t="str">
        <f>IF(OR(Measures!AM131="Row Not Used",Measures!C131="Controls Only",Measures!C131="Decommissioning"),"",Measures!O131)</f>
        <v/>
      </c>
      <c r="K131" s="425" t="str">
        <f>IF(OR(Measures!AM131="Row Not Used",Measures!C131="Controls Only",Measures!C131="Decommissioning"),"",Measures!AS131)</f>
        <v/>
      </c>
      <c r="L131" s="426" t="str">
        <f>IF(OR(Measures!AM131="Row Not Used",Measures!AM131="Decommissioning",ISBLANK(Measures!R131)),"",Measures!R131)</f>
        <v/>
      </c>
      <c r="M131" s="431" t="str">
        <f>IF(OR(Measures!AM131="Row Not Used",Measures!AM131="Fixtures Only",Measures!AM131="Decommissioning"),"",Measures!S131)</f>
        <v/>
      </c>
      <c r="N131" s="432" t="str">
        <f>IF(Measures!AM131="Row Not Used","",Measures!AF131)</f>
        <v/>
      </c>
      <c r="O131" s="426" t="str">
        <f>IF(Measures!AM131="Row Not Used","",Measures!C131)</f>
        <v/>
      </c>
      <c r="P131" s="133" t="str">
        <f t="shared" si="1"/>
        <v>No</v>
      </c>
    </row>
    <row r="132" spans="1:16" ht="75.599999999999994" customHeight="1" x14ac:dyDescent="0.3">
      <c r="A132" s="454">
        <f>Measures!A132</f>
        <v>125</v>
      </c>
      <c r="B132" s="425" t="str">
        <f>IF(Measures!AM132="Row Not Used","",IF(ISBLANK(Measures!V132),Measures!B132,_xlfn.CONCAT(Measures!B132," - ",Measures!V132)))</f>
        <v/>
      </c>
      <c r="C132" s="426" t="str">
        <f>IF(Measures!AM132="Row Not Used","",_xlfn.CONCAT(Measures!D132," - ",Measures!E132," - ",Measures!F132))</f>
        <v/>
      </c>
      <c r="D132" s="442" t="str">
        <f>IF(Measures!AM132="Row Not Used","",Measures!G132)</f>
        <v/>
      </c>
      <c r="E132" s="443" t="str">
        <f>IF(Measures!AM132="Row Not Used","",Measures!H132)</f>
        <v/>
      </c>
      <c r="F132" s="450" t="str">
        <f>IF(Measures!AM132="Row Not Used","",Measures!I132)</f>
        <v/>
      </c>
      <c r="G132" s="426" t="str">
        <f>IF(OR(Measures!AM132="Row Not Used",Measures!C132="Controls Only",Measures!C132="Decommissioning"),"",_xlfn.CONCAT(Measures!K132," - ",Measures!L132))</f>
        <v/>
      </c>
      <c r="H132" s="442" t="str">
        <f>IF(OR(Measures!AM132="Row Not Used",Measures!C132="Controls Only",Measures!C132="Decommissioning"),"",Measures!M132)</f>
        <v/>
      </c>
      <c r="I132" s="443" t="str">
        <f>IF(OR(Measures!AM132="Row Not Used",Measures!C132="Controls Only",Measures!C132="Decommissioning"),"",Measures!N132)</f>
        <v/>
      </c>
      <c r="J132" s="444" t="str">
        <f>IF(OR(Measures!AM132="Row Not Used",Measures!C132="Controls Only",Measures!C132="Decommissioning"),"",Measures!O132)</f>
        <v/>
      </c>
      <c r="K132" s="425" t="str">
        <f>IF(OR(Measures!AM132="Row Not Used",Measures!C132="Controls Only",Measures!C132="Decommissioning"),"",Measures!AS132)</f>
        <v/>
      </c>
      <c r="L132" s="426" t="str">
        <f>IF(OR(Measures!AM132="Row Not Used",Measures!AM132="Decommissioning",ISBLANK(Measures!R132)),"",Measures!R132)</f>
        <v/>
      </c>
      <c r="M132" s="431" t="str">
        <f>IF(OR(Measures!AM132="Row Not Used",Measures!AM132="Fixtures Only",Measures!AM132="Decommissioning"),"",Measures!S132)</f>
        <v/>
      </c>
      <c r="N132" s="432" t="str">
        <f>IF(Measures!AM132="Row Not Used","",Measures!AF132)</f>
        <v/>
      </c>
      <c r="O132" s="426" t="str">
        <f>IF(Measures!AM132="Row Not Used","",Measures!C132)</f>
        <v/>
      </c>
      <c r="P132" s="133" t="str">
        <f t="shared" si="1"/>
        <v>No</v>
      </c>
    </row>
    <row r="133" spans="1:16" ht="75.599999999999994" customHeight="1" x14ac:dyDescent="0.3">
      <c r="A133" s="454">
        <f>Measures!A133</f>
        <v>126</v>
      </c>
      <c r="B133" s="425" t="str">
        <f>IF(Measures!AM133="Row Not Used","",IF(ISBLANK(Measures!V133),Measures!B133,_xlfn.CONCAT(Measures!B133," - ",Measures!V133)))</f>
        <v/>
      </c>
      <c r="C133" s="426" t="str">
        <f>IF(Measures!AM133="Row Not Used","",_xlfn.CONCAT(Measures!D133," - ",Measures!E133," - ",Measures!F133))</f>
        <v/>
      </c>
      <c r="D133" s="442" t="str">
        <f>IF(Measures!AM133="Row Not Used","",Measures!G133)</f>
        <v/>
      </c>
      <c r="E133" s="443" t="str">
        <f>IF(Measures!AM133="Row Not Used","",Measures!H133)</f>
        <v/>
      </c>
      <c r="F133" s="450" t="str">
        <f>IF(Measures!AM133="Row Not Used","",Measures!I133)</f>
        <v/>
      </c>
      <c r="G133" s="426" t="str">
        <f>IF(OR(Measures!AM133="Row Not Used",Measures!C133="Controls Only",Measures!C133="Decommissioning"),"",_xlfn.CONCAT(Measures!K133," - ",Measures!L133))</f>
        <v/>
      </c>
      <c r="H133" s="442" t="str">
        <f>IF(OR(Measures!AM133="Row Not Used",Measures!C133="Controls Only",Measures!C133="Decommissioning"),"",Measures!M133)</f>
        <v/>
      </c>
      <c r="I133" s="443" t="str">
        <f>IF(OR(Measures!AM133="Row Not Used",Measures!C133="Controls Only",Measures!C133="Decommissioning"),"",Measures!N133)</f>
        <v/>
      </c>
      <c r="J133" s="444" t="str">
        <f>IF(OR(Measures!AM133="Row Not Used",Measures!C133="Controls Only",Measures!C133="Decommissioning"),"",Measures!O133)</f>
        <v/>
      </c>
      <c r="K133" s="425" t="str">
        <f>IF(OR(Measures!AM133="Row Not Used",Measures!C133="Controls Only",Measures!C133="Decommissioning"),"",Measures!AS133)</f>
        <v/>
      </c>
      <c r="L133" s="426" t="str">
        <f>IF(OR(Measures!AM133="Row Not Used",Measures!AM133="Decommissioning",ISBLANK(Measures!R133)),"",Measures!R133)</f>
        <v/>
      </c>
      <c r="M133" s="431" t="str">
        <f>IF(OR(Measures!AM133="Row Not Used",Measures!AM133="Fixtures Only",Measures!AM133="Decommissioning"),"",Measures!S133)</f>
        <v/>
      </c>
      <c r="N133" s="432" t="str">
        <f>IF(Measures!AM133="Row Not Used","",Measures!AF133)</f>
        <v/>
      </c>
      <c r="O133" s="426" t="str">
        <f>IF(Measures!AM133="Row Not Used","",Measures!C133)</f>
        <v/>
      </c>
      <c r="P133" s="133" t="str">
        <f t="shared" si="1"/>
        <v>No</v>
      </c>
    </row>
    <row r="134" spans="1:16" ht="75.599999999999994" customHeight="1" x14ac:dyDescent="0.3">
      <c r="A134" s="454">
        <f>Measures!A134</f>
        <v>127</v>
      </c>
      <c r="B134" s="425" t="str">
        <f>IF(Measures!AM134="Row Not Used","",IF(ISBLANK(Measures!V134),Measures!B134,_xlfn.CONCAT(Measures!B134," - ",Measures!V134)))</f>
        <v/>
      </c>
      <c r="C134" s="426" t="str">
        <f>IF(Measures!AM134="Row Not Used","",_xlfn.CONCAT(Measures!D134," - ",Measures!E134," - ",Measures!F134))</f>
        <v/>
      </c>
      <c r="D134" s="442" t="str">
        <f>IF(Measures!AM134="Row Not Used","",Measures!G134)</f>
        <v/>
      </c>
      <c r="E134" s="443" t="str">
        <f>IF(Measures!AM134="Row Not Used","",Measures!H134)</f>
        <v/>
      </c>
      <c r="F134" s="450" t="str">
        <f>IF(Measures!AM134="Row Not Used","",Measures!I134)</f>
        <v/>
      </c>
      <c r="G134" s="426" t="str">
        <f>IF(OR(Measures!AM134="Row Not Used",Measures!C134="Controls Only",Measures!C134="Decommissioning"),"",_xlfn.CONCAT(Measures!K134," - ",Measures!L134))</f>
        <v/>
      </c>
      <c r="H134" s="442" t="str">
        <f>IF(OR(Measures!AM134="Row Not Used",Measures!C134="Controls Only",Measures!C134="Decommissioning"),"",Measures!M134)</f>
        <v/>
      </c>
      <c r="I134" s="443" t="str">
        <f>IF(OR(Measures!AM134="Row Not Used",Measures!C134="Controls Only",Measures!C134="Decommissioning"),"",Measures!N134)</f>
        <v/>
      </c>
      <c r="J134" s="444" t="str">
        <f>IF(OR(Measures!AM134="Row Not Used",Measures!C134="Controls Only",Measures!C134="Decommissioning"),"",Measures!O134)</f>
        <v/>
      </c>
      <c r="K134" s="425" t="str">
        <f>IF(OR(Measures!AM134="Row Not Used",Measures!C134="Controls Only",Measures!C134="Decommissioning"),"",Measures!AS134)</f>
        <v/>
      </c>
      <c r="L134" s="426" t="str">
        <f>IF(OR(Measures!AM134="Row Not Used",Measures!AM134="Decommissioning",ISBLANK(Measures!R134)),"",Measures!R134)</f>
        <v/>
      </c>
      <c r="M134" s="431" t="str">
        <f>IF(OR(Measures!AM134="Row Not Used",Measures!AM134="Fixtures Only",Measures!AM134="Decommissioning"),"",Measures!S134)</f>
        <v/>
      </c>
      <c r="N134" s="432" t="str">
        <f>IF(Measures!AM134="Row Not Used","",Measures!AF134)</f>
        <v/>
      </c>
      <c r="O134" s="426" t="str">
        <f>IF(Measures!AM134="Row Not Used","",Measures!C134)</f>
        <v/>
      </c>
      <c r="P134" s="133" t="str">
        <f t="shared" si="1"/>
        <v>No</v>
      </c>
    </row>
    <row r="135" spans="1:16" ht="75.599999999999994" customHeight="1" x14ac:dyDescent="0.3">
      <c r="A135" s="454">
        <f>Measures!A135</f>
        <v>128</v>
      </c>
      <c r="B135" s="425" t="str">
        <f>IF(Measures!AM135="Row Not Used","",IF(ISBLANK(Measures!V135),Measures!B135,_xlfn.CONCAT(Measures!B135," - ",Measures!V135)))</f>
        <v/>
      </c>
      <c r="C135" s="426" t="str">
        <f>IF(Measures!AM135="Row Not Used","",_xlfn.CONCAT(Measures!D135," - ",Measures!E135," - ",Measures!F135))</f>
        <v/>
      </c>
      <c r="D135" s="442" t="str">
        <f>IF(Measures!AM135="Row Not Used","",Measures!G135)</f>
        <v/>
      </c>
      <c r="E135" s="443" t="str">
        <f>IF(Measures!AM135="Row Not Used","",Measures!H135)</f>
        <v/>
      </c>
      <c r="F135" s="450" t="str">
        <f>IF(Measures!AM135="Row Not Used","",Measures!I135)</f>
        <v/>
      </c>
      <c r="G135" s="426" t="str">
        <f>IF(OR(Measures!AM135="Row Not Used",Measures!C135="Controls Only",Measures!C135="Decommissioning"),"",_xlfn.CONCAT(Measures!K135," - ",Measures!L135))</f>
        <v/>
      </c>
      <c r="H135" s="442" t="str">
        <f>IF(OR(Measures!AM135="Row Not Used",Measures!C135="Controls Only",Measures!C135="Decommissioning"),"",Measures!M135)</f>
        <v/>
      </c>
      <c r="I135" s="443" t="str">
        <f>IF(OR(Measures!AM135="Row Not Used",Measures!C135="Controls Only",Measures!C135="Decommissioning"),"",Measures!N135)</f>
        <v/>
      </c>
      <c r="J135" s="444" t="str">
        <f>IF(OR(Measures!AM135="Row Not Used",Measures!C135="Controls Only",Measures!C135="Decommissioning"),"",Measures!O135)</f>
        <v/>
      </c>
      <c r="K135" s="425" t="str">
        <f>IF(OR(Measures!AM135="Row Not Used",Measures!C135="Controls Only",Measures!C135="Decommissioning"),"",Measures!AS135)</f>
        <v/>
      </c>
      <c r="L135" s="426" t="str">
        <f>IF(OR(Measures!AM135="Row Not Used",Measures!AM135="Decommissioning",ISBLANK(Measures!R135)),"",Measures!R135)</f>
        <v/>
      </c>
      <c r="M135" s="431" t="str">
        <f>IF(OR(Measures!AM135="Row Not Used",Measures!AM135="Fixtures Only",Measures!AM135="Decommissioning"),"",Measures!S135)</f>
        <v/>
      </c>
      <c r="N135" s="432" t="str">
        <f>IF(Measures!AM135="Row Not Used","",Measures!AF135)</f>
        <v/>
      </c>
      <c r="O135" s="426" t="str">
        <f>IF(Measures!AM135="Row Not Used","",Measures!C135)</f>
        <v/>
      </c>
      <c r="P135" s="133" t="str">
        <f t="shared" si="1"/>
        <v>No</v>
      </c>
    </row>
    <row r="136" spans="1:16" ht="75.599999999999994" customHeight="1" x14ac:dyDescent="0.3">
      <c r="A136" s="454">
        <f>Measures!A136</f>
        <v>129</v>
      </c>
      <c r="B136" s="425" t="str">
        <f>IF(Measures!AM136="Row Not Used","",IF(ISBLANK(Measures!V136),Measures!B136,_xlfn.CONCAT(Measures!B136," - ",Measures!V136)))</f>
        <v/>
      </c>
      <c r="C136" s="426" t="str">
        <f>IF(Measures!AM136="Row Not Used","",_xlfn.CONCAT(Measures!D136," - ",Measures!E136," - ",Measures!F136))</f>
        <v/>
      </c>
      <c r="D136" s="442" t="str">
        <f>IF(Measures!AM136="Row Not Used","",Measures!G136)</f>
        <v/>
      </c>
      <c r="E136" s="443" t="str">
        <f>IF(Measures!AM136="Row Not Used","",Measures!H136)</f>
        <v/>
      </c>
      <c r="F136" s="450" t="str">
        <f>IF(Measures!AM136="Row Not Used","",Measures!I136)</f>
        <v/>
      </c>
      <c r="G136" s="426" t="str">
        <f>IF(OR(Measures!AM136="Row Not Used",Measures!C136="Controls Only",Measures!C136="Decommissioning"),"",_xlfn.CONCAT(Measures!K136," - ",Measures!L136))</f>
        <v/>
      </c>
      <c r="H136" s="442" t="str">
        <f>IF(OR(Measures!AM136="Row Not Used",Measures!C136="Controls Only",Measures!C136="Decommissioning"),"",Measures!M136)</f>
        <v/>
      </c>
      <c r="I136" s="443" t="str">
        <f>IF(OR(Measures!AM136="Row Not Used",Measures!C136="Controls Only",Measures!C136="Decommissioning"),"",Measures!N136)</f>
        <v/>
      </c>
      <c r="J136" s="444" t="str">
        <f>IF(OR(Measures!AM136="Row Not Used",Measures!C136="Controls Only",Measures!C136="Decommissioning"),"",Measures!O136)</f>
        <v/>
      </c>
      <c r="K136" s="425" t="str">
        <f>IF(OR(Measures!AM136="Row Not Used",Measures!C136="Controls Only",Measures!C136="Decommissioning"),"",Measures!AS136)</f>
        <v/>
      </c>
      <c r="L136" s="426" t="str">
        <f>IF(OR(Measures!AM136="Row Not Used",Measures!AM136="Decommissioning",ISBLANK(Measures!R136)),"",Measures!R136)</f>
        <v/>
      </c>
      <c r="M136" s="431" t="str">
        <f>IF(OR(Measures!AM136="Row Not Used",Measures!AM136="Fixtures Only",Measures!AM136="Decommissioning"),"",Measures!S136)</f>
        <v/>
      </c>
      <c r="N136" s="432" t="str">
        <f>IF(Measures!AM136="Row Not Used","",Measures!AF136)</f>
        <v/>
      </c>
      <c r="O136" s="426" t="str">
        <f>IF(Measures!AM136="Row Not Used","",Measures!C136)</f>
        <v/>
      </c>
      <c r="P136" s="133" t="str">
        <f t="shared" si="1"/>
        <v>No</v>
      </c>
    </row>
    <row r="137" spans="1:16" ht="75.599999999999994" customHeight="1" x14ac:dyDescent="0.3">
      <c r="A137" s="454">
        <f>Measures!A137</f>
        <v>130</v>
      </c>
      <c r="B137" s="425" t="str">
        <f>IF(Measures!AM137="Row Not Used","",IF(ISBLANK(Measures!V137),Measures!B137,_xlfn.CONCAT(Measures!B137," - ",Measures!V137)))</f>
        <v/>
      </c>
      <c r="C137" s="426" t="str">
        <f>IF(Measures!AM137="Row Not Used","",_xlfn.CONCAT(Measures!D137," - ",Measures!E137," - ",Measures!F137))</f>
        <v/>
      </c>
      <c r="D137" s="442" t="str">
        <f>IF(Measures!AM137="Row Not Used","",Measures!G137)</f>
        <v/>
      </c>
      <c r="E137" s="443" t="str">
        <f>IF(Measures!AM137="Row Not Used","",Measures!H137)</f>
        <v/>
      </c>
      <c r="F137" s="450" t="str">
        <f>IF(Measures!AM137="Row Not Used","",Measures!I137)</f>
        <v/>
      </c>
      <c r="G137" s="426" t="str">
        <f>IF(OR(Measures!AM137="Row Not Used",Measures!C137="Controls Only",Measures!C137="Decommissioning"),"",_xlfn.CONCAT(Measures!K137," - ",Measures!L137))</f>
        <v/>
      </c>
      <c r="H137" s="442" t="str">
        <f>IF(OR(Measures!AM137="Row Not Used",Measures!C137="Controls Only",Measures!C137="Decommissioning"),"",Measures!M137)</f>
        <v/>
      </c>
      <c r="I137" s="443" t="str">
        <f>IF(OR(Measures!AM137="Row Not Used",Measures!C137="Controls Only",Measures!C137="Decommissioning"),"",Measures!N137)</f>
        <v/>
      </c>
      <c r="J137" s="444" t="str">
        <f>IF(OR(Measures!AM137="Row Not Used",Measures!C137="Controls Only",Measures!C137="Decommissioning"),"",Measures!O137)</f>
        <v/>
      </c>
      <c r="K137" s="425" t="str">
        <f>IF(OR(Measures!AM137="Row Not Used",Measures!C137="Controls Only",Measures!C137="Decommissioning"),"",Measures!AS137)</f>
        <v/>
      </c>
      <c r="L137" s="426" t="str">
        <f>IF(OR(Measures!AM137="Row Not Used",Measures!AM137="Decommissioning",ISBLANK(Measures!R137)),"",Measures!R137)</f>
        <v/>
      </c>
      <c r="M137" s="431" t="str">
        <f>IF(OR(Measures!AM137="Row Not Used",Measures!AM137="Fixtures Only",Measures!AM137="Decommissioning"),"",Measures!S137)</f>
        <v/>
      </c>
      <c r="N137" s="432" t="str">
        <f>IF(Measures!AM137="Row Not Used","",Measures!AF137)</f>
        <v/>
      </c>
      <c r="O137" s="426" t="str">
        <f>IF(Measures!AM137="Row Not Used","",Measures!C137)</f>
        <v/>
      </c>
      <c r="P137" s="133" t="str">
        <f t="shared" ref="P137:P200" si="2">IF(LEN(B137)&gt;0,"Yes","No")</f>
        <v>No</v>
      </c>
    </row>
    <row r="138" spans="1:16" ht="75.599999999999994" customHeight="1" x14ac:dyDescent="0.3">
      <c r="A138" s="454">
        <f>Measures!A138</f>
        <v>131</v>
      </c>
      <c r="B138" s="425" t="str">
        <f>IF(Measures!AM138="Row Not Used","",IF(ISBLANK(Measures!V138),Measures!B138,_xlfn.CONCAT(Measures!B138," - ",Measures!V138)))</f>
        <v/>
      </c>
      <c r="C138" s="426" t="str">
        <f>IF(Measures!AM138="Row Not Used","",_xlfn.CONCAT(Measures!D138," - ",Measures!E138," - ",Measures!F138))</f>
        <v/>
      </c>
      <c r="D138" s="442" t="str">
        <f>IF(Measures!AM138="Row Not Used","",Measures!G138)</f>
        <v/>
      </c>
      <c r="E138" s="443" t="str">
        <f>IF(Measures!AM138="Row Not Used","",Measures!H138)</f>
        <v/>
      </c>
      <c r="F138" s="450" t="str">
        <f>IF(Measures!AM138="Row Not Used","",Measures!I138)</f>
        <v/>
      </c>
      <c r="G138" s="426" t="str">
        <f>IF(OR(Measures!AM138="Row Not Used",Measures!C138="Controls Only",Measures!C138="Decommissioning"),"",_xlfn.CONCAT(Measures!K138," - ",Measures!L138))</f>
        <v/>
      </c>
      <c r="H138" s="442" t="str">
        <f>IF(OR(Measures!AM138="Row Not Used",Measures!C138="Controls Only",Measures!C138="Decommissioning"),"",Measures!M138)</f>
        <v/>
      </c>
      <c r="I138" s="443" t="str">
        <f>IF(OR(Measures!AM138="Row Not Used",Measures!C138="Controls Only",Measures!C138="Decommissioning"),"",Measures!N138)</f>
        <v/>
      </c>
      <c r="J138" s="444" t="str">
        <f>IF(OR(Measures!AM138="Row Not Used",Measures!C138="Controls Only",Measures!C138="Decommissioning"),"",Measures!O138)</f>
        <v/>
      </c>
      <c r="K138" s="425" t="str">
        <f>IF(OR(Measures!AM138="Row Not Used",Measures!C138="Controls Only",Measures!C138="Decommissioning"),"",Measures!AS138)</f>
        <v/>
      </c>
      <c r="L138" s="426" t="str">
        <f>IF(OR(Measures!AM138="Row Not Used",Measures!AM138="Decommissioning",ISBLANK(Measures!R138)),"",Measures!R138)</f>
        <v/>
      </c>
      <c r="M138" s="431" t="str">
        <f>IF(OR(Measures!AM138="Row Not Used",Measures!AM138="Fixtures Only",Measures!AM138="Decommissioning"),"",Measures!S138)</f>
        <v/>
      </c>
      <c r="N138" s="432" t="str">
        <f>IF(Measures!AM138="Row Not Used","",Measures!AF138)</f>
        <v/>
      </c>
      <c r="O138" s="426" t="str">
        <f>IF(Measures!AM138="Row Not Used","",Measures!C138)</f>
        <v/>
      </c>
      <c r="P138" s="133" t="str">
        <f t="shared" si="2"/>
        <v>No</v>
      </c>
    </row>
    <row r="139" spans="1:16" ht="75.599999999999994" customHeight="1" x14ac:dyDescent="0.3">
      <c r="A139" s="454">
        <f>Measures!A139</f>
        <v>132</v>
      </c>
      <c r="B139" s="425" t="str">
        <f>IF(Measures!AM139="Row Not Used","",IF(ISBLANK(Measures!V139),Measures!B139,_xlfn.CONCAT(Measures!B139," - ",Measures!V139)))</f>
        <v/>
      </c>
      <c r="C139" s="426" t="str">
        <f>IF(Measures!AM139="Row Not Used","",_xlfn.CONCAT(Measures!D139," - ",Measures!E139," - ",Measures!F139))</f>
        <v/>
      </c>
      <c r="D139" s="442" t="str">
        <f>IF(Measures!AM139="Row Not Used","",Measures!G139)</f>
        <v/>
      </c>
      <c r="E139" s="443" t="str">
        <f>IF(Measures!AM139="Row Not Used","",Measures!H139)</f>
        <v/>
      </c>
      <c r="F139" s="450" t="str">
        <f>IF(Measures!AM139="Row Not Used","",Measures!I139)</f>
        <v/>
      </c>
      <c r="G139" s="426" t="str">
        <f>IF(OR(Measures!AM139="Row Not Used",Measures!C139="Controls Only",Measures!C139="Decommissioning"),"",_xlfn.CONCAT(Measures!K139," - ",Measures!L139))</f>
        <v/>
      </c>
      <c r="H139" s="442" t="str">
        <f>IF(OR(Measures!AM139="Row Not Used",Measures!C139="Controls Only",Measures!C139="Decommissioning"),"",Measures!M139)</f>
        <v/>
      </c>
      <c r="I139" s="443" t="str">
        <f>IF(OR(Measures!AM139="Row Not Used",Measures!C139="Controls Only",Measures!C139="Decommissioning"),"",Measures!N139)</f>
        <v/>
      </c>
      <c r="J139" s="444" t="str">
        <f>IF(OR(Measures!AM139="Row Not Used",Measures!C139="Controls Only",Measures!C139="Decommissioning"),"",Measures!O139)</f>
        <v/>
      </c>
      <c r="K139" s="425" t="str">
        <f>IF(OR(Measures!AM139="Row Not Used",Measures!C139="Controls Only",Measures!C139="Decommissioning"),"",Measures!AS139)</f>
        <v/>
      </c>
      <c r="L139" s="426" t="str">
        <f>IF(OR(Measures!AM139="Row Not Used",Measures!AM139="Decommissioning",ISBLANK(Measures!R139)),"",Measures!R139)</f>
        <v/>
      </c>
      <c r="M139" s="431" t="str">
        <f>IF(OR(Measures!AM139="Row Not Used",Measures!AM139="Fixtures Only",Measures!AM139="Decommissioning"),"",Measures!S139)</f>
        <v/>
      </c>
      <c r="N139" s="432" t="str">
        <f>IF(Measures!AM139="Row Not Used","",Measures!AF139)</f>
        <v/>
      </c>
      <c r="O139" s="426" t="str">
        <f>IF(Measures!AM139="Row Not Used","",Measures!C139)</f>
        <v/>
      </c>
      <c r="P139" s="133" t="str">
        <f t="shared" si="2"/>
        <v>No</v>
      </c>
    </row>
    <row r="140" spans="1:16" ht="75.599999999999994" customHeight="1" x14ac:dyDescent="0.3">
      <c r="A140" s="454">
        <f>Measures!A140</f>
        <v>133</v>
      </c>
      <c r="B140" s="425" t="str">
        <f>IF(Measures!AM140="Row Not Used","",IF(ISBLANK(Measures!V140),Measures!B140,_xlfn.CONCAT(Measures!B140," - ",Measures!V140)))</f>
        <v/>
      </c>
      <c r="C140" s="426" t="str">
        <f>IF(Measures!AM140="Row Not Used","",_xlfn.CONCAT(Measures!D140," - ",Measures!E140," - ",Measures!F140))</f>
        <v/>
      </c>
      <c r="D140" s="442" t="str">
        <f>IF(Measures!AM140="Row Not Used","",Measures!G140)</f>
        <v/>
      </c>
      <c r="E140" s="443" t="str">
        <f>IF(Measures!AM140="Row Not Used","",Measures!H140)</f>
        <v/>
      </c>
      <c r="F140" s="450" t="str">
        <f>IF(Measures!AM140="Row Not Used","",Measures!I140)</f>
        <v/>
      </c>
      <c r="G140" s="426" t="str">
        <f>IF(OR(Measures!AM140="Row Not Used",Measures!C140="Controls Only",Measures!C140="Decommissioning"),"",_xlfn.CONCAT(Measures!K140," - ",Measures!L140))</f>
        <v/>
      </c>
      <c r="H140" s="442" t="str">
        <f>IF(OR(Measures!AM140="Row Not Used",Measures!C140="Controls Only",Measures!C140="Decommissioning"),"",Measures!M140)</f>
        <v/>
      </c>
      <c r="I140" s="443" t="str">
        <f>IF(OR(Measures!AM140="Row Not Used",Measures!C140="Controls Only",Measures!C140="Decommissioning"),"",Measures!N140)</f>
        <v/>
      </c>
      <c r="J140" s="444" t="str">
        <f>IF(OR(Measures!AM140="Row Not Used",Measures!C140="Controls Only",Measures!C140="Decommissioning"),"",Measures!O140)</f>
        <v/>
      </c>
      <c r="K140" s="425" t="str">
        <f>IF(OR(Measures!AM140="Row Not Used",Measures!C140="Controls Only",Measures!C140="Decommissioning"),"",Measures!AS140)</f>
        <v/>
      </c>
      <c r="L140" s="426" t="str">
        <f>IF(OR(Measures!AM140="Row Not Used",Measures!AM140="Decommissioning",ISBLANK(Measures!R140)),"",Measures!R140)</f>
        <v/>
      </c>
      <c r="M140" s="431" t="str">
        <f>IF(OR(Measures!AM140="Row Not Used",Measures!AM140="Fixtures Only",Measures!AM140="Decommissioning"),"",Measures!S140)</f>
        <v/>
      </c>
      <c r="N140" s="432" t="str">
        <f>IF(Measures!AM140="Row Not Used","",Measures!AF140)</f>
        <v/>
      </c>
      <c r="O140" s="426" t="str">
        <f>IF(Measures!AM140="Row Not Used","",Measures!C140)</f>
        <v/>
      </c>
      <c r="P140" s="133" t="str">
        <f t="shared" si="2"/>
        <v>No</v>
      </c>
    </row>
    <row r="141" spans="1:16" ht="75.599999999999994" customHeight="1" x14ac:dyDescent="0.3">
      <c r="A141" s="454">
        <f>Measures!A141</f>
        <v>134</v>
      </c>
      <c r="B141" s="425" t="str">
        <f>IF(Measures!AM141="Row Not Used","",IF(ISBLANK(Measures!V141),Measures!B141,_xlfn.CONCAT(Measures!B141," - ",Measures!V141)))</f>
        <v/>
      </c>
      <c r="C141" s="426" t="str">
        <f>IF(Measures!AM141="Row Not Used","",_xlfn.CONCAT(Measures!D141," - ",Measures!E141," - ",Measures!F141))</f>
        <v/>
      </c>
      <c r="D141" s="442" t="str">
        <f>IF(Measures!AM141="Row Not Used","",Measures!G141)</f>
        <v/>
      </c>
      <c r="E141" s="443" t="str">
        <f>IF(Measures!AM141="Row Not Used","",Measures!H141)</f>
        <v/>
      </c>
      <c r="F141" s="450" t="str">
        <f>IF(Measures!AM141="Row Not Used","",Measures!I141)</f>
        <v/>
      </c>
      <c r="G141" s="426" t="str">
        <f>IF(OR(Measures!AM141="Row Not Used",Measures!C141="Controls Only",Measures!C141="Decommissioning"),"",_xlfn.CONCAT(Measures!K141," - ",Measures!L141))</f>
        <v/>
      </c>
      <c r="H141" s="442" t="str">
        <f>IF(OR(Measures!AM141="Row Not Used",Measures!C141="Controls Only",Measures!C141="Decommissioning"),"",Measures!M141)</f>
        <v/>
      </c>
      <c r="I141" s="443" t="str">
        <f>IF(OR(Measures!AM141="Row Not Used",Measures!C141="Controls Only",Measures!C141="Decommissioning"),"",Measures!N141)</f>
        <v/>
      </c>
      <c r="J141" s="444" t="str">
        <f>IF(OR(Measures!AM141="Row Not Used",Measures!C141="Controls Only",Measures!C141="Decommissioning"),"",Measures!O141)</f>
        <v/>
      </c>
      <c r="K141" s="425" t="str">
        <f>IF(OR(Measures!AM141="Row Not Used",Measures!C141="Controls Only",Measures!C141="Decommissioning"),"",Measures!AS141)</f>
        <v/>
      </c>
      <c r="L141" s="426" t="str">
        <f>IF(OR(Measures!AM141="Row Not Used",Measures!AM141="Decommissioning",ISBLANK(Measures!R141)),"",Measures!R141)</f>
        <v/>
      </c>
      <c r="M141" s="431" t="str">
        <f>IF(OR(Measures!AM141="Row Not Used",Measures!AM141="Fixtures Only",Measures!AM141="Decommissioning"),"",Measures!S141)</f>
        <v/>
      </c>
      <c r="N141" s="432" t="str">
        <f>IF(Measures!AM141="Row Not Used","",Measures!AF141)</f>
        <v/>
      </c>
      <c r="O141" s="426" t="str">
        <f>IF(Measures!AM141="Row Not Used","",Measures!C141)</f>
        <v/>
      </c>
      <c r="P141" s="133" t="str">
        <f t="shared" si="2"/>
        <v>No</v>
      </c>
    </row>
    <row r="142" spans="1:16" ht="75.599999999999994" customHeight="1" x14ac:dyDescent="0.3">
      <c r="A142" s="454">
        <f>Measures!A142</f>
        <v>135</v>
      </c>
      <c r="B142" s="425" t="str">
        <f>IF(Measures!AM142="Row Not Used","",IF(ISBLANK(Measures!V142),Measures!B142,_xlfn.CONCAT(Measures!B142," - ",Measures!V142)))</f>
        <v/>
      </c>
      <c r="C142" s="426" t="str">
        <f>IF(Measures!AM142="Row Not Used","",_xlfn.CONCAT(Measures!D142," - ",Measures!E142," - ",Measures!F142))</f>
        <v/>
      </c>
      <c r="D142" s="442" t="str">
        <f>IF(Measures!AM142="Row Not Used","",Measures!G142)</f>
        <v/>
      </c>
      <c r="E142" s="443" t="str">
        <f>IF(Measures!AM142="Row Not Used","",Measures!H142)</f>
        <v/>
      </c>
      <c r="F142" s="450" t="str">
        <f>IF(Measures!AM142="Row Not Used","",Measures!I142)</f>
        <v/>
      </c>
      <c r="G142" s="426" t="str">
        <f>IF(OR(Measures!AM142="Row Not Used",Measures!C142="Controls Only",Measures!C142="Decommissioning"),"",_xlfn.CONCAT(Measures!K142," - ",Measures!L142))</f>
        <v/>
      </c>
      <c r="H142" s="442" t="str">
        <f>IF(OR(Measures!AM142="Row Not Used",Measures!C142="Controls Only",Measures!C142="Decommissioning"),"",Measures!M142)</f>
        <v/>
      </c>
      <c r="I142" s="443" t="str">
        <f>IF(OR(Measures!AM142="Row Not Used",Measures!C142="Controls Only",Measures!C142="Decommissioning"),"",Measures!N142)</f>
        <v/>
      </c>
      <c r="J142" s="444" t="str">
        <f>IF(OR(Measures!AM142="Row Not Used",Measures!C142="Controls Only",Measures!C142="Decommissioning"),"",Measures!O142)</f>
        <v/>
      </c>
      <c r="K142" s="425" t="str">
        <f>IF(OR(Measures!AM142="Row Not Used",Measures!C142="Controls Only",Measures!C142="Decommissioning"),"",Measures!AS142)</f>
        <v/>
      </c>
      <c r="L142" s="426" t="str">
        <f>IF(OR(Measures!AM142="Row Not Used",Measures!AM142="Decommissioning",ISBLANK(Measures!R142)),"",Measures!R142)</f>
        <v/>
      </c>
      <c r="M142" s="431" t="str">
        <f>IF(OR(Measures!AM142="Row Not Used",Measures!AM142="Fixtures Only",Measures!AM142="Decommissioning"),"",Measures!S142)</f>
        <v/>
      </c>
      <c r="N142" s="432" t="str">
        <f>IF(Measures!AM142="Row Not Used","",Measures!AF142)</f>
        <v/>
      </c>
      <c r="O142" s="426" t="str">
        <f>IF(Measures!AM142="Row Not Used","",Measures!C142)</f>
        <v/>
      </c>
      <c r="P142" s="133" t="str">
        <f t="shared" si="2"/>
        <v>No</v>
      </c>
    </row>
    <row r="143" spans="1:16" ht="75.599999999999994" customHeight="1" x14ac:dyDescent="0.3">
      <c r="A143" s="454">
        <f>Measures!A143</f>
        <v>136</v>
      </c>
      <c r="B143" s="425" t="str">
        <f>IF(Measures!AM143="Row Not Used","",IF(ISBLANK(Measures!V143),Measures!B143,_xlfn.CONCAT(Measures!B143," - ",Measures!V143)))</f>
        <v/>
      </c>
      <c r="C143" s="426" t="str">
        <f>IF(Measures!AM143="Row Not Used","",_xlfn.CONCAT(Measures!D143," - ",Measures!E143," - ",Measures!F143))</f>
        <v/>
      </c>
      <c r="D143" s="442" t="str">
        <f>IF(Measures!AM143="Row Not Used","",Measures!G143)</f>
        <v/>
      </c>
      <c r="E143" s="443" t="str">
        <f>IF(Measures!AM143="Row Not Used","",Measures!H143)</f>
        <v/>
      </c>
      <c r="F143" s="450" t="str">
        <f>IF(Measures!AM143="Row Not Used","",Measures!I143)</f>
        <v/>
      </c>
      <c r="G143" s="426" t="str">
        <f>IF(OR(Measures!AM143="Row Not Used",Measures!C143="Controls Only",Measures!C143="Decommissioning"),"",_xlfn.CONCAT(Measures!K143," - ",Measures!L143))</f>
        <v/>
      </c>
      <c r="H143" s="442" t="str">
        <f>IF(OR(Measures!AM143="Row Not Used",Measures!C143="Controls Only",Measures!C143="Decommissioning"),"",Measures!M143)</f>
        <v/>
      </c>
      <c r="I143" s="443" t="str">
        <f>IF(OR(Measures!AM143="Row Not Used",Measures!C143="Controls Only",Measures!C143="Decommissioning"),"",Measures!N143)</f>
        <v/>
      </c>
      <c r="J143" s="444" t="str">
        <f>IF(OR(Measures!AM143="Row Not Used",Measures!C143="Controls Only",Measures!C143="Decommissioning"),"",Measures!O143)</f>
        <v/>
      </c>
      <c r="K143" s="425" t="str">
        <f>IF(OR(Measures!AM143="Row Not Used",Measures!C143="Controls Only",Measures!C143="Decommissioning"),"",Measures!AS143)</f>
        <v/>
      </c>
      <c r="L143" s="426" t="str">
        <f>IF(OR(Measures!AM143="Row Not Used",Measures!AM143="Decommissioning",ISBLANK(Measures!R143)),"",Measures!R143)</f>
        <v/>
      </c>
      <c r="M143" s="431" t="str">
        <f>IF(OR(Measures!AM143="Row Not Used",Measures!AM143="Fixtures Only",Measures!AM143="Decommissioning"),"",Measures!S143)</f>
        <v/>
      </c>
      <c r="N143" s="432" t="str">
        <f>IF(Measures!AM143="Row Not Used","",Measures!AF143)</f>
        <v/>
      </c>
      <c r="O143" s="426" t="str">
        <f>IF(Measures!AM143="Row Not Used","",Measures!C143)</f>
        <v/>
      </c>
      <c r="P143" s="133" t="str">
        <f t="shared" si="2"/>
        <v>No</v>
      </c>
    </row>
    <row r="144" spans="1:16" ht="75.599999999999994" customHeight="1" x14ac:dyDescent="0.3">
      <c r="A144" s="454">
        <f>Measures!A144</f>
        <v>137</v>
      </c>
      <c r="B144" s="425" t="str">
        <f>IF(Measures!AM144="Row Not Used","",IF(ISBLANK(Measures!V144),Measures!B144,_xlfn.CONCAT(Measures!B144," - ",Measures!V144)))</f>
        <v/>
      </c>
      <c r="C144" s="426" t="str">
        <f>IF(Measures!AM144="Row Not Used","",_xlfn.CONCAT(Measures!D144," - ",Measures!E144," - ",Measures!F144))</f>
        <v/>
      </c>
      <c r="D144" s="442" t="str">
        <f>IF(Measures!AM144="Row Not Used","",Measures!G144)</f>
        <v/>
      </c>
      <c r="E144" s="443" t="str">
        <f>IF(Measures!AM144="Row Not Used","",Measures!H144)</f>
        <v/>
      </c>
      <c r="F144" s="450" t="str">
        <f>IF(Measures!AM144="Row Not Used","",Measures!I144)</f>
        <v/>
      </c>
      <c r="G144" s="426" t="str">
        <f>IF(OR(Measures!AM144="Row Not Used",Measures!C144="Controls Only",Measures!C144="Decommissioning"),"",_xlfn.CONCAT(Measures!K144," - ",Measures!L144))</f>
        <v/>
      </c>
      <c r="H144" s="442" t="str">
        <f>IF(OR(Measures!AM144="Row Not Used",Measures!C144="Controls Only",Measures!C144="Decommissioning"),"",Measures!M144)</f>
        <v/>
      </c>
      <c r="I144" s="443" t="str">
        <f>IF(OR(Measures!AM144="Row Not Used",Measures!C144="Controls Only",Measures!C144="Decommissioning"),"",Measures!N144)</f>
        <v/>
      </c>
      <c r="J144" s="444" t="str">
        <f>IF(OR(Measures!AM144="Row Not Used",Measures!C144="Controls Only",Measures!C144="Decommissioning"),"",Measures!O144)</f>
        <v/>
      </c>
      <c r="K144" s="425" t="str">
        <f>IF(OR(Measures!AM144="Row Not Used",Measures!C144="Controls Only",Measures!C144="Decommissioning"),"",Measures!AS144)</f>
        <v/>
      </c>
      <c r="L144" s="426" t="str">
        <f>IF(OR(Measures!AM144="Row Not Used",Measures!AM144="Decommissioning",ISBLANK(Measures!R144)),"",Measures!R144)</f>
        <v/>
      </c>
      <c r="M144" s="431" t="str">
        <f>IF(OR(Measures!AM144="Row Not Used",Measures!AM144="Fixtures Only",Measures!AM144="Decommissioning"),"",Measures!S144)</f>
        <v/>
      </c>
      <c r="N144" s="432" t="str">
        <f>IF(Measures!AM144="Row Not Used","",Measures!AF144)</f>
        <v/>
      </c>
      <c r="O144" s="426" t="str">
        <f>IF(Measures!AM144="Row Not Used","",Measures!C144)</f>
        <v/>
      </c>
      <c r="P144" s="133" t="str">
        <f t="shared" si="2"/>
        <v>No</v>
      </c>
    </row>
    <row r="145" spans="1:16" ht="75.599999999999994" customHeight="1" x14ac:dyDescent="0.3">
      <c r="A145" s="454">
        <f>Measures!A145</f>
        <v>138</v>
      </c>
      <c r="B145" s="425" t="str">
        <f>IF(Measures!AM145="Row Not Used","",IF(ISBLANK(Measures!V145),Measures!B145,_xlfn.CONCAT(Measures!B145," - ",Measures!V145)))</f>
        <v/>
      </c>
      <c r="C145" s="426" t="str">
        <f>IF(Measures!AM145="Row Not Used","",_xlfn.CONCAT(Measures!D145," - ",Measures!E145," - ",Measures!F145))</f>
        <v/>
      </c>
      <c r="D145" s="442" t="str">
        <f>IF(Measures!AM145="Row Not Used","",Measures!G145)</f>
        <v/>
      </c>
      <c r="E145" s="443" t="str">
        <f>IF(Measures!AM145="Row Not Used","",Measures!H145)</f>
        <v/>
      </c>
      <c r="F145" s="450" t="str">
        <f>IF(Measures!AM145="Row Not Used","",Measures!I145)</f>
        <v/>
      </c>
      <c r="G145" s="426" t="str">
        <f>IF(OR(Measures!AM145="Row Not Used",Measures!C145="Controls Only",Measures!C145="Decommissioning"),"",_xlfn.CONCAT(Measures!K145," - ",Measures!L145))</f>
        <v/>
      </c>
      <c r="H145" s="442" t="str">
        <f>IF(OR(Measures!AM145="Row Not Used",Measures!C145="Controls Only",Measures!C145="Decommissioning"),"",Measures!M145)</f>
        <v/>
      </c>
      <c r="I145" s="443" t="str">
        <f>IF(OR(Measures!AM145="Row Not Used",Measures!C145="Controls Only",Measures!C145="Decommissioning"),"",Measures!N145)</f>
        <v/>
      </c>
      <c r="J145" s="444" t="str">
        <f>IF(OR(Measures!AM145="Row Not Used",Measures!C145="Controls Only",Measures!C145="Decommissioning"),"",Measures!O145)</f>
        <v/>
      </c>
      <c r="K145" s="425" t="str">
        <f>IF(OR(Measures!AM145="Row Not Used",Measures!C145="Controls Only",Measures!C145="Decommissioning"),"",Measures!AS145)</f>
        <v/>
      </c>
      <c r="L145" s="426" t="str">
        <f>IF(OR(Measures!AM145="Row Not Used",Measures!AM145="Decommissioning",ISBLANK(Measures!R145)),"",Measures!R145)</f>
        <v/>
      </c>
      <c r="M145" s="431" t="str">
        <f>IF(OR(Measures!AM145="Row Not Used",Measures!AM145="Fixtures Only",Measures!AM145="Decommissioning"),"",Measures!S145)</f>
        <v/>
      </c>
      <c r="N145" s="432" t="str">
        <f>IF(Measures!AM145="Row Not Used","",Measures!AF145)</f>
        <v/>
      </c>
      <c r="O145" s="426" t="str">
        <f>IF(Measures!AM145="Row Not Used","",Measures!C145)</f>
        <v/>
      </c>
      <c r="P145" s="133" t="str">
        <f t="shared" si="2"/>
        <v>No</v>
      </c>
    </row>
    <row r="146" spans="1:16" ht="75.599999999999994" customHeight="1" x14ac:dyDescent="0.3">
      <c r="A146" s="454">
        <f>Measures!A146</f>
        <v>139</v>
      </c>
      <c r="B146" s="425" t="str">
        <f>IF(Measures!AM146="Row Not Used","",IF(ISBLANK(Measures!V146),Measures!B146,_xlfn.CONCAT(Measures!B146," - ",Measures!V146)))</f>
        <v/>
      </c>
      <c r="C146" s="426" t="str">
        <f>IF(Measures!AM146="Row Not Used","",_xlfn.CONCAT(Measures!D146," - ",Measures!E146," - ",Measures!F146))</f>
        <v/>
      </c>
      <c r="D146" s="442" t="str">
        <f>IF(Measures!AM146="Row Not Used","",Measures!G146)</f>
        <v/>
      </c>
      <c r="E146" s="443" t="str">
        <f>IF(Measures!AM146="Row Not Used","",Measures!H146)</f>
        <v/>
      </c>
      <c r="F146" s="450" t="str">
        <f>IF(Measures!AM146="Row Not Used","",Measures!I146)</f>
        <v/>
      </c>
      <c r="G146" s="426" t="str">
        <f>IF(OR(Measures!AM146="Row Not Used",Measures!C146="Controls Only",Measures!C146="Decommissioning"),"",_xlfn.CONCAT(Measures!K146," - ",Measures!L146))</f>
        <v/>
      </c>
      <c r="H146" s="442" t="str">
        <f>IF(OR(Measures!AM146="Row Not Used",Measures!C146="Controls Only",Measures!C146="Decommissioning"),"",Measures!M146)</f>
        <v/>
      </c>
      <c r="I146" s="443" t="str">
        <f>IF(OR(Measures!AM146="Row Not Used",Measures!C146="Controls Only",Measures!C146="Decommissioning"),"",Measures!N146)</f>
        <v/>
      </c>
      <c r="J146" s="444" t="str">
        <f>IF(OR(Measures!AM146="Row Not Used",Measures!C146="Controls Only",Measures!C146="Decommissioning"),"",Measures!O146)</f>
        <v/>
      </c>
      <c r="K146" s="425" t="str">
        <f>IF(OR(Measures!AM146="Row Not Used",Measures!C146="Controls Only",Measures!C146="Decommissioning"),"",Measures!AS146)</f>
        <v/>
      </c>
      <c r="L146" s="426" t="str">
        <f>IF(OR(Measures!AM146="Row Not Used",Measures!AM146="Decommissioning",ISBLANK(Measures!R146)),"",Measures!R146)</f>
        <v/>
      </c>
      <c r="M146" s="431" t="str">
        <f>IF(OR(Measures!AM146="Row Not Used",Measures!AM146="Fixtures Only",Measures!AM146="Decommissioning"),"",Measures!S146)</f>
        <v/>
      </c>
      <c r="N146" s="432" t="str">
        <f>IF(Measures!AM146="Row Not Used","",Measures!AF146)</f>
        <v/>
      </c>
      <c r="O146" s="426" t="str">
        <f>IF(Measures!AM146="Row Not Used","",Measures!C146)</f>
        <v/>
      </c>
      <c r="P146" s="133" t="str">
        <f t="shared" si="2"/>
        <v>No</v>
      </c>
    </row>
    <row r="147" spans="1:16" ht="75.599999999999994" customHeight="1" x14ac:dyDescent="0.3">
      <c r="A147" s="454">
        <f>Measures!A147</f>
        <v>140</v>
      </c>
      <c r="B147" s="425" t="str">
        <f>IF(Measures!AM147="Row Not Used","",IF(ISBLANK(Measures!V147),Measures!B147,_xlfn.CONCAT(Measures!B147," - ",Measures!V147)))</f>
        <v/>
      </c>
      <c r="C147" s="426" t="str">
        <f>IF(Measures!AM147="Row Not Used","",_xlfn.CONCAT(Measures!D147," - ",Measures!E147," - ",Measures!F147))</f>
        <v/>
      </c>
      <c r="D147" s="442" t="str">
        <f>IF(Measures!AM147="Row Not Used","",Measures!G147)</f>
        <v/>
      </c>
      <c r="E147" s="443" t="str">
        <f>IF(Measures!AM147="Row Not Used","",Measures!H147)</f>
        <v/>
      </c>
      <c r="F147" s="450" t="str">
        <f>IF(Measures!AM147="Row Not Used","",Measures!I147)</f>
        <v/>
      </c>
      <c r="G147" s="426" t="str">
        <f>IF(OR(Measures!AM147="Row Not Used",Measures!C147="Controls Only",Measures!C147="Decommissioning"),"",_xlfn.CONCAT(Measures!K147," - ",Measures!L147))</f>
        <v/>
      </c>
      <c r="H147" s="442" t="str">
        <f>IF(OR(Measures!AM147="Row Not Used",Measures!C147="Controls Only",Measures!C147="Decommissioning"),"",Measures!M147)</f>
        <v/>
      </c>
      <c r="I147" s="443" t="str">
        <f>IF(OR(Measures!AM147="Row Not Used",Measures!C147="Controls Only",Measures!C147="Decommissioning"),"",Measures!N147)</f>
        <v/>
      </c>
      <c r="J147" s="444" t="str">
        <f>IF(OR(Measures!AM147="Row Not Used",Measures!C147="Controls Only",Measures!C147="Decommissioning"),"",Measures!O147)</f>
        <v/>
      </c>
      <c r="K147" s="425" t="str">
        <f>IF(OR(Measures!AM147="Row Not Used",Measures!C147="Controls Only",Measures!C147="Decommissioning"),"",Measures!AS147)</f>
        <v/>
      </c>
      <c r="L147" s="426" t="str">
        <f>IF(OR(Measures!AM147="Row Not Used",Measures!AM147="Decommissioning",ISBLANK(Measures!R147)),"",Measures!R147)</f>
        <v/>
      </c>
      <c r="M147" s="431" t="str">
        <f>IF(OR(Measures!AM147="Row Not Used",Measures!AM147="Fixtures Only",Measures!AM147="Decommissioning"),"",Measures!S147)</f>
        <v/>
      </c>
      <c r="N147" s="432" t="str">
        <f>IF(Measures!AM147="Row Not Used","",Measures!AF147)</f>
        <v/>
      </c>
      <c r="O147" s="426" t="str">
        <f>IF(Measures!AM147="Row Not Used","",Measures!C147)</f>
        <v/>
      </c>
      <c r="P147" s="133" t="str">
        <f t="shared" si="2"/>
        <v>No</v>
      </c>
    </row>
    <row r="148" spans="1:16" ht="75.599999999999994" customHeight="1" x14ac:dyDescent="0.3">
      <c r="A148" s="454">
        <f>Measures!A148</f>
        <v>141</v>
      </c>
      <c r="B148" s="425" t="str">
        <f>IF(Measures!AM148="Row Not Used","",IF(ISBLANK(Measures!V148),Measures!B148,_xlfn.CONCAT(Measures!B148," - ",Measures!V148)))</f>
        <v/>
      </c>
      <c r="C148" s="426" t="str">
        <f>IF(Measures!AM148="Row Not Used","",_xlfn.CONCAT(Measures!D148," - ",Measures!E148," - ",Measures!F148))</f>
        <v/>
      </c>
      <c r="D148" s="442" t="str">
        <f>IF(Measures!AM148="Row Not Used","",Measures!G148)</f>
        <v/>
      </c>
      <c r="E148" s="443" t="str">
        <f>IF(Measures!AM148="Row Not Used","",Measures!H148)</f>
        <v/>
      </c>
      <c r="F148" s="450" t="str">
        <f>IF(Measures!AM148="Row Not Used","",Measures!I148)</f>
        <v/>
      </c>
      <c r="G148" s="426" t="str">
        <f>IF(OR(Measures!AM148="Row Not Used",Measures!C148="Controls Only",Measures!C148="Decommissioning"),"",_xlfn.CONCAT(Measures!K148," - ",Measures!L148))</f>
        <v/>
      </c>
      <c r="H148" s="442" t="str">
        <f>IF(OR(Measures!AM148="Row Not Used",Measures!C148="Controls Only",Measures!C148="Decommissioning"),"",Measures!M148)</f>
        <v/>
      </c>
      <c r="I148" s="443" t="str">
        <f>IF(OR(Measures!AM148="Row Not Used",Measures!C148="Controls Only",Measures!C148="Decommissioning"),"",Measures!N148)</f>
        <v/>
      </c>
      <c r="J148" s="444" t="str">
        <f>IF(OR(Measures!AM148="Row Not Used",Measures!C148="Controls Only",Measures!C148="Decommissioning"),"",Measures!O148)</f>
        <v/>
      </c>
      <c r="K148" s="425" t="str">
        <f>IF(OR(Measures!AM148="Row Not Used",Measures!C148="Controls Only",Measures!C148="Decommissioning"),"",Measures!AS148)</f>
        <v/>
      </c>
      <c r="L148" s="426" t="str">
        <f>IF(OR(Measures!AM148="Row Not Used",Measures!AM148="Decommissioning",ISBLANK(Measures!R148)),"",Measures!R148)</f>
        <v/>
      </c>
      <c r="M148" s="431" t="str">
        <f>IF(OR(Measures!AM148="Row Not Used",Measures!AM148="Fixtures Only",Measures!AM148="Decommissioning"),"",Measures!S148)</f>
        <v/>
      </c>
      <c r="N148" s="432" t="str">
        <f>IF(Measures!AM148="Row Not Used","",Measures!AF148)</f>
        <v/>
      </c>
      <c r="O148" s="426" t="str">
        <f>IF(Measures!AM148="Row Not Used","",Measures!C148)</f>
        <v/>
      </c>
      <c r="P148" s="133" t="str">
        <f t="shared" si="2"/>
        <v>No</v>
      </c>
    </row>
    <row r="149" spans="1:16" ht="75.599999999999994" customHeight="1" x14ac:dyDescent="0.3">
      <c r="A149" s="454">
        <f>Measures!A149</f>
        <v>142</v>
      </c>
      <c r="B149" s="425" t="str">
        <f>IF(Measures!AM149="Row Not Used","",IF(ISBLANK(Measures!V149),Measures!B149,_xlfn.CONCAT(Measures!B149," - ",Measures!V149)))</f>
        <v/>
      </c>
      <c r="C149" s="426" t="str">
        <f>IF(Measures!AM149="Row Not Used","",_xlfn.CONCAT(Measures!D149," - ",Measures!E149," - ",Measures!F149))</f>
        <v/>
      </c>
      <c r="D149" s="442" t="str">
        <f>IF(Measures!AM149="Row Not Used","",Measures!G149)</f>
        <v/>
      </c>
      <c r="E149" s="443" t="str">
        <f>IF(Measures!AM149="Row Not Used","",Measures!H149)</f>
        <v/>
      </c>
      <c r="F149" s="450" t="str">
        <f>IF(Measures!AM149="Row Not Used","",Measures!I149)</f>
        <v/>
      </c>
      <c r="G149" s="426" t="str">
        <f>IF(OR(Measures!AM149="Row Not Used",Measures!C149="Controls Only",Measures!C149="Decommissioning"),"",_xlfn.CONCAT(Measures!K149," - ",Measures!L149))</f>
        <v/>
      </c>
      <c r="H149" s="442" t="str">
        <f>IF(OR(Measures!AM149="Row Not Used",Measures!C149="Controls Only",Measures!C149="Decommissioning"),"",Measures!M149)</f>
        <v/>
      </c>
      <c r="I149" s="443" t="str">
        <f>IF(OR(Measures!AM149="Row Not Used",Measures!C149="Controls Only",Measures!C149="Decommissioning"),"",Measures!N149)</f>
        <v/>
      </c>
      <c r="J149" s="444" t="str">
        <f>IF(OR(Measures!AM149="Row Not Used",Measures!C149="Controls Only",Measures!C149="Decommissioning"),"",Measures!O149)</f>
        <v/>
      </c>
      <c r="K149" s="425" t="str">
        <f>IF(OR(Measures!AM149="Row Not Used",Measures!C149="Controls Only",Measures!C149="Decommissioning"),"",Measures!AS149)</f>
        <v/>
      </c>
      <c r="L149" s="426" t="str">
        <f>IF(OR(Measures!AM149="Row Not Used",Measures!AM149="Decommissioning",ISBLANK(Measures!R149)),"",Measures!R149)</f>
        <v/>
      </c>
      <c r="M149" s="431" t="str">
        <f>IF(OR(Measures!AM149="Row Not Used",Measures!AM149="Fixtures Only",Measures!AM149="Decommissioning"),"",Measures!S149)</f>
        <v/>
      </c>
      <c r="N149" s="432" t="str">
        <f>IF(Measures!AM149="Row Not Used","",Measures!AF149)</f>
        <v/>
      </c>
      <c r="O149" s="426" t="str">
        <f>IF(Measures!AM149="Row Not Used","",Measures!C149)</f>
        <v/>
      </c>
      <c r="P149" s="133" t="str">
        <f t="shared" si="2"/>
        <v>No</v>
      </c>
    </row>
    <row r="150" spans="1:16" ht="75.599999999999994" customHeight="1" x14ac:dyDescent="0.3">
      <c r="A150" s="454">
        <f>Measures!A150</f>
        <v>143</v>
      </c>
      <c r="B150" s="425" t="str">
        <f>IF(Measures!AM150="Row Not Used","",IF(ISBLANK(Measures!V150),Measures!B150,_xlfn.CONCAT(Measures!B150," - ",Measures!V150)))</f>
        <v/>
      </c>
      <c r="C150" s="426" t="str">
        <f>IF(Measures!AM150="Row Not Used","",_xlfn.CONCAT(Measures!D150," - ",Measures!E150," - ",Measures!F150))</f>
        <v/>
      </c>
      <c r="D150" s="442" t="str">
        <f>IF(Measures!AM150="Row Not Used","",Measures!G150)</f>
        <v/>
      </c>
      <c r="E150" s="443" t="str">
        <f>IF(Measures!AM150="Row Not Used","",Measures!H150)</f>
        <v/>
      </c>
      <c r="F150" s="450" t="str">
        <f>IF(Measures!AM150="Row Not Used","",Measures!I150)</f>
        <v/>
      </c>
      <c r="G150" s="426" t="str">
        <f>IF(OR(Measures!AM150="Row Not Used",Measures!C150="Controls Only",Measures!C150="Decommissioning"),"",_xlfn.CONCAT(Measures!K150," - ",Measures!L150))</f>
        <v/>
      </c>
      <c r="H150" s="442" t="str">
        <f>IF(OR(Measures!AM150="Row Not Used",Measures!C150="Controls Only",Measures!C150="Decommissioning"),"",Measures!M150)</f>
        <v/>
      </c>
      <c r="I150" s="443" t="str">
        <f>IF(OR(Measures!AM150="Row Not Used",Measures!C150="Controls Only",Measures!C150="Decommissioning"),"",Measures!N150)</f>
        <v/>
      </c>
      <c r="J150" s="444" t="str">
        <f>IF(OR(Measures!AM150="Row Not Used",Measures!C150="Controls Only",Measures!C150="Decommissioning"),"",Measures!O150)</f>
        <v/>
      </c>
      <c r="K150" s="425" t="str">
        <f>IF(OR(Measures!AM150="Row Not Used",Measures!C150="Controls Only",Measures!C150="Decommissioning"),"",Measures!AS150)</f>
        <v/>
      </c>
      <c r="L150" s="426" t="str">
        <f>IF(OR(Measures!AM150="Row Not Used",Measures!AM150="Decommissioning",ISBLANK(Measures!R150)),"",Measures!R150)</f>
        <v/>
      </c>
      <c r="M150" s="431" t="str">
        <f>IF(OR(Measures!AM150="Row Not Used",Measures!AM150="Fixtures Only",Measures!AM150="Decommissioning"),"",Measures!S150)</f>
        <v/>
      </c>
      <c r="N150" s="432" t="str">
        <f>IF(Measures!AM150="Row Not Used","",Measures!AF150)</f>
        <v/>
      </c>
      <c r="O150" s="426" t="str">
        <f>IF(Measures!AM150="Row Not Used","",Measures!C150)</f>
        <v/>
      </c>
      <c r="P150" s="133" t="str">
        <f t="shared" si="2"/>
        <v>No</v>
      </c>
    </row>
    <row r="151" spans="1:16" ht="75.599999999999994" customHeight="1" x14ac:dyDescent="0.3">
      <c r="A151" s="454">
        <f>Measures!A151</f>
        <v>144</v>
      </c>
      <c r="B151" s="425" t="str">
        <f>IF(Measures!AM151="Row Not Used","",IF(ISBLANK(Measures!V151),Measures!B151,_xlfn.CONCAT(Measures!B151," - ",Measures!V151)))</f>
        <v/>
      </c>
      <c r="C151" s="426" t="str">
        <f>IF(Measures!AM151="Row Not Used","",_xlfn.CONCAT(Measures!D151," - ",Measures!E151," - ",Measures!F151))</f>
        <v/>
      </c>
      <c r="D151" s="442" t="str">
        <f>IF(Measures!AM151="Row Not Used","",Measures!G151)</f>
        <v/>
      </c>
      <c r="E151" s="443" t="str">
        <f>IF(Measures!AM151="Row Not Used","",Measures!H151)</f>
        <v/>
      </c>
      <c r="F151" s="450" t="str">
        <f>IF(Measures!AM151="Row Not Used","",Measures!I151)</f>
        <v/>
      </c>
      <c r="G151" s="426" t="str">
        <f>IF(OR(Measures!AM151="Row Not Used",Measures!C151="Controls Only",Measures!C151="Decommissioning"),"",_xlfn.CONCAT(Measures!K151," - ",Measures!L151))</f>
        <v/>
      </c>
      <c r="H151" s="442" t="str">
        <f>IF(OR(Measures!AM151="Row Not Used",Measures!C151="Controls Only",Measures!C151="Decommissioning"),"",Measures!M151)</f>
        <v/>
      </c>
      <c r="I151" s="443" t="str">
        <f>IF(OR(Measures!AM151="Row Not Used",Measures!C151="Controls Only",Measures!C151="Decommissioning"),"",Measures!N151)</f>
        <v/>
      </c>
      <c r="J151" s="444" t="str">
        <f>IF(OR(Measures!AM151="Row Not Used",Measures!C151="Controls Only",Measures!C151="Decommissioning"),"",Measures!O151)</f>
        <v/>
      </c>
      <c r="K151" s="425" t="str">
        <f>IF(OR(Measures!AM151="Row Not Used",Measures!C151="Controls Only",Measures!C151="Decommissioning"),"",Measures!AS151)</f>
        <v/>
      </c>
      <c r="L151" s="426" t="str">
        <f>IF(OR(Measures!AM151="Row Not Used",Measures!AM151="Decommissioning",ISBLANK(Measures!R151)),"",Measures!R151)</f>
        <v/>
      </c>
      <c r="M151" s="431" t="str">
        <f>IF(OR(Measures!AM151="Row Not Used",Measures!AM151="Fixtures Only",Measures!AM151="Decommissioning"),"",Measures!S151)</f>
        <v/>
      </c>
      <c r="N151" s="432" t="str">
        <f>IF(Measures!AM151="Row Not Used","",Measures!AF151)</f>
        <v/>
      </c>
      <c r="O151" s="426" t="str">
        <f>IF(Measures!AM151="Row Not Used","",Measures!C151)</f>
        <v/>
      </c>
      <c r="P151" s="133" t="str">
        <f t="shared" si="2"/>
        <v>No</v>
      </c>
    </row>
    <row r="152" spans="1:16" ht="75.599999999999994" customHeight="1" x14ac:dyDescent="0.3">
      <c r="A152" s="454">
        <f>Measures!A152</f>
        <v>145</v>
      </c>
      <c r="B152" s="425" t="str">
        <f>IF(Measures!AM152="Row Not Used","",IF(ISBLANK(Measures!V152),Measures!B152,_xlfn.CONCAT(Measures!B152," - ",Measures!V152)))</f>
        <v/>
      </c>
      <c r="C152" s="426" t="str">
        <f>IF(Measures!AM152="Row Not Used","",_xlfn.CONCAT(Measures!D152," - ",Measures!E152," - ",Measures!F152))</f>
        <v/>
      </c>
      <c r="D152" s="442" t="str">
        <f>IF(Measures!AM152="Row Not Used","",Measures!G152)</f>
        <v/>
      </c>
      <c r="E152" s="443" t="str">
        <f>IF(Measures!AM152="Row Not Used","",Measures!H152)</f>
        <v/>
      </c>
      <c r="F152" s="450" t="str">
        <f>IF(Measures!AM152="Row Not Used","",Measures!I152)</f>
        <v/>
      </c>
      <c r="G152" s="426" t="str">
        <f>IF(OR(Measures!AM152="Row Not Used",Measures!C152="Controls Only",Measures!C152="Decommissioning"),"",_xlfn.CONCAT(Measures!K152," - ",Measures!L152))</f>
        <v/>
      </c>
      <c r="H152" s="442" t="str">
        <f>IF(OR(Measures!AM152="Row Not Used",Measures!C152="Controls Only",Measures!C152="Decommissioning"),"",Measures!M152)</f>
        <v/>
      </c>
      <c r="I152" s="443" t="str">
        <f>IF(OR(Measures!AM152="Row Not Used",Measures!C152="Controls Only",Measures!C152="Decommissioning"),"",Measures!N152)</f>
        <v/>
      </c>
      <c r="J152" s="444" t="str">
        <f>IF(OR(Measures!AM152="Row Not Used",Measures!C152="Controls Only",Measures!C152="Decommissioning"),"",Measures!O152)</f>
        <v/>
      </c>
      <c r="K152" s="425" t="str">
        <f>IF(OR(Measures!AM152="Row Not Used",Measures!C152="Controls Only",Measures!C152="Decommissioning"),"",Measures!AS152)</f>
        <v/>
      </c>
      <c r="L152" s="426" t="str">
        <f>IF(OR(Measures!AM152="Row Not Used",Measures!AM152="Decommissioning",ISBLANK(Measures!R152)),"",Measures!R152)</f>
        <v/>
      </c>
      <c r="M152" s="431" t="str">
        <f>IF(OR(Measures!AM152="Row Not Used",Measures!AM152="Fixtures Only",Measures!AM152="Decommissioning"),"",Measures!S152)</f>
        <v/>
      </c>
      <c r="N152" s="432" t="str">
        <f>IF(Measures!AM152="Row Not Used","",Measures!AF152)</f>
        <v/>
      </c>
      <c r="O152" s="426" t="str">
        <f>IF(Measures!AM152="Row Not Used","",Measures!C152)</f>
        <v/>
      </c>
      <c r="P152" s="133" t="str">
        <f t="shared" si="2"/>
        <v>No</v>
      </c>
    </row>
    <row r="153" spans="1:16" ht="75.599999999999994" customHeight="1" x14ac:dyDescent="0.3">
      <c r="A153" s="454">
        <f>Measures!A153</f>
        <v>146</v>
      </c>
      <c r="B153" s="425" t="str">
        <f>IF(Measures!AM153="Row Not Used","",IF(ISBLANK(Measures!V153),Measures!B153,_xlfn.CONCAT(Measures!B153," - ",Measures!V153)))</f>
        <v/>
      </c>
      <c r="C153" s="426" t="str">
        <f>IF(Measures!AM153="Row Not Used","",_xlfn.CONCAT(Measures!D153," - ",Measures!E153," - ",Measures!F153))</f>
        <v/>
      </c>
      <c r="D153" s="442" t="str">
        <f>IF(Measures!AM153="Row Not Used","",Measures!G153)</f>
        <v/>
      </c>
      <c r="E153" s="443" t="str">
        <f>IF(Measures!AM153="Row Not Used","",Measures!H153)</f>
        <v/>
      </c>
      <c r="F153" s="450" t="str">
        <f>IF(Measures!AM153="Row Not Used","",Measures!I153)</f>
        <v/>
      </c>
      <c r="G153" s="426" t="str">
        <f>IF(OR(Measures!AM153="Row Not Used",Measures!C153="Controls Only",Measures!C153="Decommissioning"),"",_xlfn.CONCAT(Measures!K153," - ",Measures!L153))</f>
        <v/>
      </c>
      <c r="H153" s="442" t="str">
        <f>IF(OR(Measures!AM153="Row Not Used",Measures!C153="Controls Only",Measures!C153="Decommissioning"),"",Measures!M153)</f>
        <v/>
      </c>
      <c r="I153" s="443" t="str">
        <f>IF(OR(Measures!AM153="Row Not Used",Measures!C153="Controls Only",Measures!C153="Decommissioning"),"",Measures!N153)</f>
        <v/>
      </c>
      <c r="J153" s="444" t="str">
        <f>IF(OR(Measures!AM153="Row Not Used",Measures!C153="Controls Only",Measures!C153="Decommissioning"),"",Measures!O153)</f>
        <v/>
      </c>
      <c r="K153" s="425" t="str">
        <f>IF(OR(Measures!AM153="Row Not Used",Measures!C153="Controls Only",Measures!C153="Decommissioning"),"",Measures!AS153)</f>
        <v/>
      </c>
      <c r="L153" s="426" t="str">
        <f>IF(OR(Measures!AM153="Row Not Used",Measures!AM153="Decommissioning",ISBLANK(Measures!R153)),"",Measures!R153)</f>
        <v/>
      </c>
      <c r="M153" s="431" t="str">
        <f>IF(OR(Measures!AM153="Row Not Used",Measures!AM153="Fixtures Only",Measures!AM153="Decommissioning"),"",Measures!S153)</f>
        <v/>
      </c>
      <c r="N153" s="432" t="str">
        <f>IF(Measures!AM153="Row Not Used","",Measures!AF153)</f>
        <v/>
      </c>
      <c r="O153" s="426" t="str">
        <f>IF(Measures!AM153="Row Not Used","",Measures!C153)</f>
        <v/>
      </c>
      <c r="P153" s="133" t="str">
        <f t="shared" si="2"/>
        <v>No</v>
      </c>
    </row>
    <row r="154" spans="1:16" ht="75.599999999999994" customHeight="1" x14ac:dyDescent="0.3">
      <c r="A154" s="454">
        <f>Measures!A154</f>
        <v>147</v>
      </c>
      <c r="B154" s="425" t="str">
        <f>IF(Measures!AM154="Row Not Used","",IF(ISBLANK(Measures!V154),Measures!B154,_xlfn.CONCAT(Measures!B154," - ",Measures!V154)))</f>
        <v/>
      </c>
      <c r="C154" s="426" t="str">
        <f>IF(Measures!AM154="Row Not Used","",_xlfn.CONCAT(Measures!D154," - ",Measures!E154," - ",Measures!F154))</f>
        <v/>
      </c>
      <c r="D154" s="442" t="str">
        <f>IF(Measures!AM154="Row Not Used","",Measures!G154)</f>
        <v/>
      </c>
      <c r="E154" s="443" t="str">
        <f>IF(Measures!AM154="Row Not Used","",Measures!H154)</f>
        <v/>
      </c>
      <c r="F154" s="450" t="str">
        <f>IF(Measures!AM154="Row Not Used","",Measures!I154)</f>
        <v/>
      </c>
      <c r="G154" s="426" t="str">
        <f>IF(OR(Measures!AM154="Row Not Used",Measures!C154="Controls Only",Measures!C154="Decommissioning"),"",_xlfn.CONCAT(Measures!K154," - ",Measures!L154))</f>
        <v/>
      </c>
      <c r="H154" s="442" t="str">
        <f>IF(OR(Measures!AM154="Row Not Used",Measures!C154="Controls Only",Measures!C154="Decommissioning"),"",Measures!M154)</f>
        <v/>
      </c>
      <c r="I154" s="443" t="str">
        <f>IF(OR(Measures!AM154="Row Not Used",Measures!C154="Controls Only",Measures!C154="Decommissioning"),"",Measures!N154)</f>
        <v/>
      </c>
      <c r="J154" s="444" t="str">
        <f>IF(OR(Measures!AM154="Row Not Used",Measures!C154="Controls Only",Measures!C154="Decommissioning"),"",Measures!O154)</f>
        <v/>
      </c>
      <c r="K154" s="425" t="str">
        <f>IF(OR(Measures!AM154="Row Not Used",Measures!C154="Controls Only",Measures!C154="Decommissioning"),"",Measures!AS154)</f>
        <v/>
      </c>
      <c r="L154" s="426" t="str">
        <f>IF(OR(Measures!AM154="Row Not Used",Measures!AM154="Decommissioning",ISBLANK(Measures!R154)),"",Measures!R154)</f>
        <v/>
      </c>
      <c r="M154" s="431" t="str">
        <f>IF(OR(Measures!AM154="Row Not Used",Measures!AM154="Fixtures Only",Measures!AM154="Decommissioning"),"",Measures!S154)</f>
        <v/>
      </c>
      <c r="N154" s="432" t="str">
        <f>IF(Measures!AM154="Row Not Used","",Measures!AF154)</f>
        <v/>
      </c>
      <c r="O154" s="426" t="str">
        <f>IF(Measures!AM154="Row Not Used","",Measures!C154)</f>
        <v/>
      </c>
      <c r="P154" s="133" t="str">
        <f t="shared" si="2"/>
        <v>No</v>
      </c>
    </row>
    <row r="155" spans="1:16" ht="75.599999999999994" customHeight="1" x14ac:dyDescent="0.3">
      <c r="A155" s="454">
        <f>Measures!A155</f>
        <v>148</v>
      </c>
      <c r="B155" s="425" t="str">
        <f>IF(Measures!AM155="Row Not Used","",IF(ISBLANK(Measures!V155),Measures!B155,_xlfn.CONCAT(Measures!B155," - ",Measures!V155)))</f>
        <v/>
      </c>
      <c r="C155" s="426" t="str">
        <f>IF(Measures!AM155="Row Not Used","",_xlfn.CONCAT(Measures!D155," - ",Measures!E155," - ",Measures!F155))</f>
        <v/>
      </c>
      <c r="D155" s="442" t="str">
        <f>IF(Measures!AM155="Row Not Used","",Measures!G155)</f>
        <v/>
      </c>
      <c r="E155" s="443" t="str">
        <f>IF(Measures!AM155="Row Not Used","",Measures!H155)</f>
        <v/>
      </c>
      <c r="F155" s="450" t="str">
        <f>IF(Measures!AM155="Row Not Used","",Measures!I155)</f>
        <v/>
      </c>
      <c r="G155" s="426" t="str">
        <f>IF(OR(Measures!AM155="Row Not Used",Measures!C155="Controls Only",Measures!C155="Decommissioning"),"",_xlfn.CONCAT(Measures!K155," - ",Measures!L155))</f>
        <v/>
      </c>
      <c r="H155" s="442" t="str">
        <f>IF(OR(Measures!AM155="Row Not Used",Measures!C155="Controls Only",Measures!C155="Decommissioning"),"",Measures!M155)</f>
        <v/>
      </c>
      <c r="I155" s="443" t="str">
        <f>IF(OR(Measures!AM155="Row Not Used",Measures!C155="Controls Only",Measures!C155="Decommissioning"),"",Measures!N155)</f>
        <v/>
      </c>
      <c r="J155" s="444" t="str">
        <f>IF(OR(Measures!AM155="Row Not Used",Measures!C155="Controls Only",Measures!C155="Decommissioning"),"",Measures!O155)</f>
        <v/>
      </c>
      <c r="K155" s="425" t="str">
        <f>IF(OR(Measures!AM155="Row Not Used",Measures!C155="Controls Only",Measures!C155="Decommissioning"),"",Measures!AS155)</f>
        <v/>
      </c>
      <c r="L155" s="426" t="str">
        <f>IF(OR(Measures!AM155="Row Not Used",Measures!AM155="Decommissioning",ISBLANK(Measures!R155)),"",Measures!R155)</f>
        <v/>
      </c>
      <c r="M155" s="431" t="str">
        <f>IF(OR(Measures!AM155="Row Not Used",Measures!AM155="Fixtures Only",Measures!AM155="Decommissioning"),"",Measures!S155)</f>
        <v/>
      </c>
      <c r="N155" s="432" t="str">
        <f>IF(Measures!AM155="Row Not Used","",Measures!AF155)</f>
        <v/>
      </c>
      <c r="O155" s="426" t="str">
        <f>IF(Measures!AM155="Row Not Used","",Measures!C155)</f>
        <v/>
      </c>
      <c r="P155" s="133" t="str">
        <f t="shared" si="2"/>
        <v>No</v>
      </c>
    </row>
    <row r="156" spans="1:16" ht="75.599999999999994" customHeight="1" x14ac:dyDescent="0.3">
      <c r="A156" s="454">
        <f>Measures!A156</f>
        <v>149</v>
      </c>
      <c r="B156" s="425" t="str">
        <f>IF(Measures!AM156="Row Not Used","",IF(ISBLANK(Measures!V156),Measures!B156,_xlfn.CONCAT(Measures!B156," - ",Measures!V156)))</f>
        <v/>
      </c>
      <c r="C156" s="426" t="str">
        <f>IF(Measures!AM156="Row Not Used","",_xlfn.CONCAT(Measures!D156," - ",Measures!E156," - ",Measures!F156))</f>
        <v/>
      </c>
      <c r="D156" s="442" t="str">
        <f>IF(Measures!AM156="Row Not Used","",Measures!G156)</f>
        <v/>
      </c>
      <c r="E156" s="443" t="str">
        <f>IF(Measures!AM156="Row Not Used","",Measures!H156)</f>
        <v/>
      </c>
      <c r="F156" s="450" t="str">
        <f>IF(Measures!AM156="Row Not Used","",Measures!I156)</f>
        <v/>
      </c>
      <c r="G156" s="426" t="str">
        <f>IF(OR(Measures!AM156="Row Not Used",Measures!C156="Controls Only",Measures!C156="Decommissioning"),"",_xlfn.CONCAT(Measures!K156," - ",Measures!L156))</f>
        <v/>
      </c>
      <c r="H156" s="442" t="str">
        <f>IF(OR(Measures!AM156="Row Not Used",Measures!C156="Controls Only",Measures!C156="Decommissioning"),"",Measures!M156)</f>
        <v/>
      </c>
      <c r="I156" s="443" t="str">
        <f>IF(OR(Measures!AM156="Row Not Used",Measures!C156="Controls Only",Measures!C156="Decommissioning"),"",Measures!N156)</f>
        <v/>
      </c>
      <c r="J156" s="444" t="str">
        <f>IF(OR(Measures!AM156="Row Not Used",Measures!C156="Controls Only",Measures!C156="Decommissioning"),"",Measures!O156)</f>
        <v/>
      </c>
      <c r="K156" s="425" t="str">
        <f>IF(OR(Measures!AM156="Row Not Used",Measures!C156="Controls Only",Measures!C156="Decommissioning"),"",Measures!AS156)</f>
        <v/>
      </c>
      <c r="L156" s="426" t="str">
        <f>IF(OR(Measures!AM156="Row Not Used",Measures!AM156="Decommissioning",ISBLANK(Measures!R156)),"",Measures!R156)</f>
        <v/>
      </c>
      <c r="M156" s="431" t="str">
        <f>IF(OR(Measures!AM156="Row Not Used",Measures!AM156="Fixtures Only",Measures!AM156="Decommissioning"),"",Measures!S156)</f>
        <v/>
      </c>
      <c r="N156" s="432" t="str">
        <f>IF(Measures!AM156="Row Not Used","",Measures!AF156)</f>
        <v/>
      </c>
      <c r="O156" s="426" t="str">
        <f>IF(Measures!AM156="Row Not Used","",Measures!C156)</f>
        <v/>
      </c>
      <c r="P156" s="133" t="str">
        <f t="shared" si="2"/>
        <v>No</v>
      </c>
    </row>
    <row r="157" spans="1:16" ht="75.599999999999994" customHeight="1" x14ac:dyDescent="0.3">
      <c r="A157" s="454">
        <f>Measures!A157</f>
        <v>150</v>
      </c>
      <c r="B157" s="425" t="str">
        <f>IF(Measures!AM157="Row Not Used","",IF(ISBLANK(Measures!V157),Measures!B157,_xlfn.CONCAT(Measures!B157," - ",Measures!V157)))</f>
        <v/>
      </c>
      <c r="C157" s="426" t="str">
        <f>IF(Measures!AM157="Row Not Used","",_xlfn.CONCAT(Measures!D157," - ",Measures!E157," - ",Measures!F157))</f>
        <v/>
      </c>
      <c r="D157" s="442" t="str">
        <f>IF(Measures!AM157="Row Not Used","",Measures!G157)</f>
        <v/>
      </c>
      <c r="E157" s="443" t="str">
        <f>IF(Measures!AM157="Row Not Used","",Measures!H157)</f>
        <v/>
      </c>
      <c r="F157" s="450" t="str">
        <f>IF(Measures!AM157="Row Not Used","",Measures!I157)</f>
        <v/>
      </c>
      <c r="G157" s="426" t="str">
        <f>IF(OR(Measures!AM157="Row Not Used",Measures!C157="Controls Only",Measures!C157="Decommissioning"),"",_xlfn.CONCAT(Measures!K157," - ",Measures!L157))</f>
        <v/>
      </c>
      <c r="H157" s="442" t="str">
        <f>IF(OR(Measures!AM157="Row Not Used",Measures!C157="Controls Only",Measures!C157="Decommissioning"),"",Measures!M157)</f>
        <v/>
      </c>
      <c r="I157" s="443" t="str">
        <f>IF(OR(Measures!AM157="Row Not Used",Measures!C157="Controls Only",Measures!C157="Decommissioning"),"",Measures!N157)</f>
        <v/>
      </c>
      <c r="J157" s="444" t="str">
        <f>IF(OR(Measures!AM157="Row Not Used",Measures!C157="Controls Only",Measures!C157="Decommissioning"),"",Measures!O157)</f>
        <v/>
      </c>
      <c r="K157" s="425" t="str">
        <f>IF(OR(Measures!AM157="Row Not Used",Measures!C157="Controls Only",Measures!C157="Decommissioning"),"",Measures!AS157)</f>
        <v/>
      </c>
      <c r="L157" s="426" t="str">
        <f>IF(OR(Measures!AM157="Row Not Used",Measures!AM157="Decommissioning",ISBLANK(Measures!R157)),"",Measures!R157)</f>
        <v/>
      </c>
      <c r="M157" s="431" t="str">
        <f>IF(OR(Measures!AM157="Row Not Used",Measures!AM157="Fixtures Only",Measures!AM157="Decommissioning"),"",Measures!S157)</f>
        <v/>
      </c>
      <c r="N157" s="432" t="str">
        <f>IF(Measures!AM157="Row Not Used","",Measures!AF157)</f>
        <v/>
      </c>
      <c r="O157" s="426" t="str">
        <f>IF(Measures!AM157="Row Not Used","",Measures!C157)</f>
        <v/>
      </c>
      <c r="P157" s="133" t="str">
        <f t="shared" si="2"/>
        <v>No</v>
      </c>
    </row>
    <row r="158" spans="1:16" ht="75.599999999999994" customHeight="1" x14ac:dyDescent="0.3">
      <c r="A158" s="454">
        <f>Measures!A158</f>
        <v>151</v>
      </c>
      <c r="B158" s="425" t="str">
        <f>IF(Measures!AM158="Row Not Used","",IF(ISBLANK(Measures!V158),Measures!B158,_xlfn.CONCAT(Measures!B158," - ",Measures!V158)))</f>
        <v/>
      </c>
      <c r="C158" s="426" t="str">
        <f>IF(Measures!AM158="Row Not Used","",_xlfn.CONCAT(Measures!D158," - ",Measures!E158," - ",Measures!F158))</f>
        <v/>
      </c>
      <c r="D158" s="442" t="str">
        <f>IF(Measures!AM158="Row Not Used","",Measures!G158)</f>
        <v/>
      </c>
      <c r="E158" s="443" t="str">
        <f>IF(Measures!AM158="Row Not Used","",Measures!H158)</f>
        <v/>
      </c>
      <c r="F158" s="450" t="str">
        <f>IF(Measures!AM158="Row Not Used","",Measures!I158)</f>
        <v/>
      </c>
      <c r="G158" s="426" t="str">
        <f>IF(OR(Measures!AM158="Row Not Used",Measures!C158="Controls Only",Measures!C158="Decommissioning"),"",_xlfn.CONCAT(Measures!K158," - ",Measures!L158))</f>
        <v/>
      </c>
      <c r="H158" s="442" t="str">
        <f>IF(OR(Measures!AM158="Row Not Used",Measures!C158="Controls Only",Measures!C158="Decommissioning"),"",Measures!M158)</f>
        <v/>
      </c>
      <c r="I158" s="443" t="str">
        <f>IF(OR(Measures!AM158="Row Not Used",Measures!C158="Controls Only",Measures!C158="Decommissioning"),"",Measures!N158)</f>
        <v/>
      </c>
      <c r="J158" s="444" t="str">
        <f>IF(OR(Measures!AM158="Row Not Used",Measures!C158="Controls Only",Measures!C158="Decommissioning"),"",Measures!O158)</f>
        <v/>
      </c>
      <c r="K158" s="425" t="str">
        <f>IF(OR(Measures!AM158="Row Not Used",Measures!C158="Controls Only",Measures!C158="Decommissioning"),"",Measures!AS158)</f>
        <v/>
      </c>
      <c r="L158" s="426" t="str">
        <f>IF(OR(Measures!AM158="Row Not Used",Measures!AM158="Decommissioning",ISBLANK(Measures!R158)),"",Measures!R158)</f>
        <v/>
      </c>
      <c r="M158" s="431" t="str">
        <f>IF(OR(Measures!AM158="Row Not Used",Measures!AM158="Fixtures Only",Measures!AM158="Decommissioning"),"",Measures!S158)</f>
        <v/>
      </c>
      <c r="N158" s="432" t="str">
        <f>IF(Measures!AM158="Row Not Used","",Measures!AF158)</f>
        <v/>
      </c>
      <c r="O158" s="426" t="str">
        <f>IF(Measures!AM158="Row Not Used","",Measures!C158)</f>
        <v/>
      </c>
      <c r="P158" s="133" t="str">
        <f t="shared" si="2"/>
        <v>No</v>
      </c>
    </row>
    <row r="159" spans="1:16" ht="75.599999999999994" customHeight="1" x14ac:dyDescent="0.3">
      <c r="A159" s="454">
        <f>Measures!A159</f>
        <v>152</v>
      </c>
      <c r="B159" s="425" t="str">
        <f>IF(Measures!AM159="Row Not Used","",IF(ISBLANK(Measures!V159),Measures!B159,_xlfn.CONCAT(Measures!B159," - ",Measures!V159)))</f>
        <v/>
      </c>
      <c r="C159" s="426" t="str">
        <f>IF(Measures!AM159="Row Not Used","",_xlfn.CONCAT(Measures!D159," - ",Measures!E159," - ",Measures!F159))</f>
        <v/>
      </c>
      <c r="D159" s="442" t="str">
        <f>IF(Measures!AM159="Row Not Used","",Measures!G159)</f>
        <v/>
      </c>
      <c r="E159" s="443" t="str">
        <f>IF(Measures!AM159="Row Not Used","",Measures!H159)</f>
        <v/>
      </c>
      <c r="F159" s="450" t="str">
        <f>IF(Measures!AM159="Row Not Used","",Measures!I159)</f>
        <v/>
      </c>
      <c r="G159" s="426" t="str">
        <f>IF(OR(Measures!AM159="Row Not Used",Measures!C159="Controls Only",Measures!C159="Decommissioning"),"",_xlfn.CONCAT(Measures!K159," - ",Measures!L159))</f>
        <v/>
      </c>
      <c r="H159" s="442" t="str">
        <f>IF(OR(Measures!AM159="Row Not Used",Measures!C159="Controls Only",Measures!C159="Decommissioning"),"",Measures!M159)</f>
        <v/>
      </c>
      <c r="I159" s="443" t="str">
        <f>IF(OR(Measures!AM159="Row Not Used",Measures!C159="Controls Only",Measures!C159="Decommissioning"),"",Measures!N159)</f>
        <v/>
      </c>
      <c r="J159" s="444" t="str">
        <f>IF(OR(Measures!AM159="Row Not Used",Measures!C159="Controls Only",Measures!C159="Decommissioning"),"",Measures!O159)</f>
        <v/>
      </c>
      <c r="K159" s="425" t="str">
        <f>IF(OR(Measures!AM159="Row Not Used",Measures!C159="Controls Only",Measures!C159="Decommissioning"),"",Measures!AS159)</f>
        <v/>
      </c>
      <c r="L159" s="426" t="str">
        <f>IF(OR(Measures!AM159="Row Not Used",Measures!AM159="Decommissioning",ISBLANK(Measures!R159)),"",Measures!R159)</f>
        <v/>
      </c>
      <c r="M159" s="431" t="str">
        <f>IF(OR(Measures!AM159="Row Not Used",Measures!AM159="Fixtures Only",Measures!AM159="Decommissioning"),"",Measures!S159)</f>
        <v/>
      </c>
      <c r="N159" s="432" t="str">
        <f>IF(Measures!AM159="Row Not Used","",Measures!AF159)</f>
        <v/>
      </c>
      <c r="O159" s="426" t="str">
        <f>IF(Measures!AM159="Row Not Used","",Measures!C159)</f>
        <v/>
      </c>
      <c r="P159" s="133" t="str">
        <f t="shared" si="2"/>
        <v>No</v>
      </c>
    </row>
    <row r="160" spans="1:16" ht="75.599999999999994" customHeight="1" x14ac:dyDescent="0.3">
      <c r="A160" s="454">
        <f>Measures!A160</f>
        <v>153</v>
      </c>
      <c r="B160" s="425" t="str">
        <f>IF(Measures!AM160="Row Not Used","",IF(ISBLANK(Measures!V160),Measures!B160,_xlfn.CONCAT(Measures!B160," - ",Measures!V160)))</f>
        <v/>
      </c>
      <c r="C160" s="426" t="str">
        <f>IF(Measures!AM160="Row Not Used","",_xlfn.CONCAT(Measures!D160," - ",Measures!E160," - ",Measures!F160))</f>
        <v/>
      </c>
      <c r="D160" s="442" t="str">
        <f>IF(Measures!AM160="Row Not Used","",Measures!G160)</f>
        <v/>
      </c>
      <c r="E160" s="443" t="str">
        <f>IF(Measures!AM160="Row Not Used","",Measures!H160)</f>
        <v/>
      </c>
      <c r="F160" s="450" t="str">
        <f>IF(Measures!AM160="Row Not Used","",Measures!I160)</f>
        <v/>
      </c>
      <c r="G160" s="426" t="str">
        <f>IF(OR(Measures!AM160="Row Not Used",Measures!C160="Controls Only",Measures!C160="Decommissioning"),"",_xlfn.CONCAT(Measures!K160," - ",Measures!L160))</f>
        <v/>
      </c>
      <c r="H160" s="442" t="str">
        <f>IF(OR(Measures!AM160="Row Not Used",Measures!C160="Controls Only",Measures!C160="Decommissioning"),"",Measures!M160)</f>
        <v/>
      </c>
      <c r="I160" s="443" t="str">
        <f>IF(OR(Measures!AM160="Row Not Used",Measures!C160="Controls Only",Measures!C160="Decommissioning"),"",Measures!N160)</f>
        <v/>
      </c>
      <c r="J160" s="444" t="str">
        <f>IF(OR(Measures!AM160="Row Not Used",Measures!C160="Controls Only",Measures!C160="Decommissioning"),"",Measures!O160)</f>
        <v/>
      </c>
      <c r="K160" s="425" t="str">
        <f>IF(OR(Measures!AM160="Row Not Used",Measures!C160="Controls Only",Measures!C160="Decommissioning"),"",Measures!AS160)</f>
        <v/>
      </c>
      <c r="L160" s="426" t="str">
        <f>IF(OR(Measures!AM160="Row Not Used",Measures!AM160="Decommissioning",ISBLANK(Measures!R160)),"",Measures!R160)</f>
        <v/>
      </c>
      <c r="M160" s="431" t="str">
        <f>IF(OR(Measures!AM160="Row Not Used",Measures!AM160="Fixtures Only",Measures!AM160="Decommissioning"),"",Measures!S160)</f>
        <v/>
      </c>
      <c r="N160" s="432" t="str">
        <f>IF(Measures!AM160="Row Not Used","",Measures!AF160)</f>
        <v/>
      </c>
      <c r="O160" s="426" t="str">
        <f>IF(Measures!AM160="Row Not Used","",Measures!C160)</f>
        <v/>
      </c>
      <c r="P160" s="133" t="str">
        <f t="shared" si="2"/>
        <v>No</v>
      </c>
    </row>
    <row r="161" spans="1:16" ht="75.599999999999994" customHeight="1" x14ac:dyDescent="0.3">
      <c r="A161" s="454">
        <f>Measures!A161</f>
        <v>154</v>
      </c>
      <c r="B161" s="425" t="str">
        <f>IF(Measures!AM161="Row Not Used","",IF(ISBLANK(Measures!V161),Measures!B161,_xlfn.CONCAT(Measures!B161," - ",Measures!V161)))</f>
        <v/>
      </c>
      <c r="C161" s="426" t="str">
        <f>IF(Measures!AM161="Row Not Used","",_xlfn.CONCAT(Measures!D161," - ",Measures!E161," - ",Measures!F161))</f>
        <v/>
      </c>
      <c r="D161" s="442" t="str">
        <f>IF(Measures!AM161="Row Not Used","",Measures!G161)</f>
        <v/>
      </c>
      <c r="E161" s="443" t="str">
        <f>IF(Measures!AM161="Row Not Used","",Measures!H161)</f>
        <v/>
      </c>
      <c r="F161" s="450" t="str">
        <f>IF(Measures!AM161="Row Not Used","",Measures!I161)</f>
        <v/>
      </c>
      <c r="G161" s="426" t="str">
        <f>IF(OR(Measures!AM161="Row Not Used",Measures!C161="Controls Only",Measures!C161="Decommissioning"),"",_xlfn.CONCAT(Measures!K161," - ",Measures!L161))</f>
        <v/>
      </c>
      <c r="H161" s="442" t="str">
        <f>IF(OR(Measures!AM161="Row Not Used",Measures!C161="Controls Only",Measures!C161="Decommissioning"),"",Measures!M161)</f>
        <v/>
      </c>
      <c r="I161" s="443" t="str">
        <f>IF(OR(Measures!AM161="Row Not Used",Measures!C161="Controls Only",Measures!C161="Decommissioning"),"",Measures!N161)</f>
        <v/>
      </c>
      <c r="J161" s="444" t="str">
        <f>IF(OR(Measures!AM161="Row Not Used",Measures!C161="Controls Only",Measures!C161="Decommissioning"),"",Measures!O161)</f>
        <v/>
      </c>
      <c r="K161" s="425" t="str">
        <f>IF(OR(Measures!AM161="Row Not Used",Measures!C161="Controls Only",Measures!C161="Decommissioning"),"",Measures!AS161)</f>
        <v/>
      </c>
      <c r="L161" s="426" t="str">
        <f>IF(OR(Measures!AM161="Row Not Used",Measures!AM161="Decommissioning",ISBLANK(Measures!R161)),"",Measures!R161)</f>
        <v/>
      </c>
      <c r="M161" s="431" t="str">
        <f>IF(OR(Measures!AM161="Row Not Used",Measures!AM161="Fixtures Only",Measures!AM161="Decommissioning"),"",Measures!S161)</f>
        <v/>
      </c>
      <c r="N161" s="432" t="str">
        <f>IF(Measures!AM161="Row Not Used","",Measures!AF161)</f>
        <v/>
      </c>
      <c r="O161" s="426" t="str">
        <f>IF(Measures!AM161="Row Not Used","",Measures!C161)</f>
        <v/>
      </c>
      <c r="P161" s="133" t="str">
        <f t="shared" si="2"/>
        <v>No</v>
      </c>
    </row>
    <row r="162" spans="1:16" ht="75.599999999999994" customHeight="1" x14ac:dyDescent="0.3">
      <c r="A162" s="454">
        <f>Measures!A162</f>
        <v>155</v>
      </c>
      <c r="B162" s="425" t="str">
        <f>IF(Measures!AM162="Row Not Used","",IF(ISBLANK(Measures!V162),Measures!B162,_xlfn.CONCAT(Measures!B162," - ",Measures!V162)))</f>
        <v/>
      </c>
      <c r="C162" s="426" t="str">
        <f>IF(Measures!AM162="Row Not Used","",_xlfn.CONCAT(Measures!D162," - ",Measures!E162," - ",Measures!F162))</f>
        <v/>
      </c>
      <c r="D162" s="442" t="str">
        <f>IF(Measures!AM162="Row Not Used","",Measures!G162)</f>
        <v/>
      </c>
      <c r="E162" s="443" t="str">
        <f>IF(Measures!AM162="Row Not Used","",Measures!H162)</f>
        <v/>
      </c>
      <c r="F162" s="450" t="str">
        <f>IF(Measures!AM162="Row Not Used","",Measures!I162)</f>
        <v/>
      </c>
      <c r="G162" s="426" t="str">
        <f>IF(OR(Measures!AM162="Row Not Used",Measures!C162="Controls Only",Measures!C162="Decommissioning"),"",_xlfn.CONCAT(Measures!K162," - ",Measures!L162))</f>
        <v/>
      </c>
      <c r="H162" s="442" t="str">
        <f>IF(OR(Measures!AM162="Row Not Used",Measures!C162="Controls Only",Measures!C162="Decommissioning"),"",Measures!M162)</f>
        <v/>
      </c>
      <c r="I162" s="443" t="str">
        <f>IF(OR(Measures!AM162="Row Not Used",Measures!C162="Controls Only",Measures!C162="Decommissioning"),"",Measures!N162)</f>
        <v/>
      </c>
      <c r="J162" s="444" t="str">
        <f>IF(OR(Measures!AM162="Row Not Used",Measures!C162="Controls Only",Measures!C162="Decommissioning"),"",Measures!O162)</f>
        <v/>
      </c>
      <c r="K162" s="425" t="str">
        <f>IF(OR(Measures!AM162="Row Not Used",Measures!C162="Controls Only",Measures!C162="Decommissioning"),"",Measures!AS162)</f>
        <v/>
      </c>
      <c r="L162" s="426" t="str">
        <f>IF(OR(Measures!AM162="Row Not Used",Measures!AM162="Decommissioning",ISBLANK(Measures!R162)),"",Measures!R162)</f>
        <v/>
      </c>
      <c r="M162" s="431" t="str">
        <f>IF(OR(Measures!AM162="Row Not Used",Measures!AM162="Fixtures Only",Measures!AM162="Decommissioning"),"",Measures!S162)</f>
        <v/>
      </c>
      <c r="N162" s="432" t="str">
        <f>IF(Measures!AM162="Row Not Used","",Measures!AF162)</f>
        <v/>
      </c>
      <c r="O162" s="426" t="str">
        <f>IF(Measures!AM162="Row Not Used","",Measures!C162)</f>
        <v/>
      </c>
      <c r="P162" s="133" t="str">
        <f t="shared" si="2"/>
        <v>No</v>
      </c>
    </row>
    <row r="163" spans="1:16" ht="75.599999999999994" customHeight="1" x14ac:dyDescent="0.3">
      <c r="A163" s="454">
        <f>Measures!A163</f>
        <v>156</v>
      </c>
      <c r="B163" s="425" t="str">
        <f>IF(Measures!AM163="Row Not Used","",IF(ISBLANK(Measures!V163),Measures!B163,_xlfn.CONCAT(Measures!B163," - ",Measures!V163)))</f>
        <v/>
      </c>
      <c r="C163" s="426" t="str">
        <f>IF(Measures!AM163="Row Not Used","",_xlfn.CONCAT(Measures!D163," - ",Measures!E163," - ",Measures!F163))</f>
        <v/>
      </c>
      <c r="D163" s="442" t="str">
        <f>IF(Measures!AM163="Row Not Used","",Measures!G163)</f>
        <v/>
      </c>
      <c r="E163" s="443" t="str">
        <f>IF(Measures!AM163="Row Not Used","",Measures!H163)</f>
        <v/>
      </c>
      <c r="F163" s="450" t="str">
        <f>IF(Measures!AM163="Row Not Used","",Measures!I163)</f>
        <v/>
      </c>
      <c r="G163" s="426" t="str">
        <f>IF(OR(Measures!AM163="Row Not Used",Measures!C163="Controls Only",Measures!C163="Decommissioning"),"",_xlfn.CONCAT(Measures!K163," - ",Measures!L163))</f>
        <v/>
      </c>
      <c r="H163" s="442" t="str">
        <f>IF(OR(Measures!AM163="Row Not Used",Measures!C163="Controls Only",Measures!C163="Decommissioning"),"",Measures!M163)</f>
        <v/>
      </c>
      <c r="I163" s="443" t="str">
        <f>IF(OR(Measures!AM163="Row Not Used",Measures!C163="Controls Only",Measures!C163="Decommissioning"),"",Measures!N163)</f>
        <v/>
      </c>
      <c r="J163" s="444" t="str">
        <f>IF(OR(Measures!AM163="Row Not Used",Measures!C163="Controls Only",Measures!C163="Decommissioning"),"",Measures!O163)</f>
        <v/>
      </c>
      <c r="K163" s="425" t="str">
        <f>IF(OR(Measures!AM163="Row Not Used",Measures!C163="Controls Only",Measures!C163="Decommissioning"),"",Measures!AS163)</f>
        <v/>
      </c>
      <c r="L163" s="426" t="str">
        <f>IF(OR(Measures!AM163="Row Not Used",Measures!AM163="Decommissioning",ISBLANK(Measures!R163)),"",Measures!R163)</f>
        <v/>
      </c>
      <c r="M163" s="431" t="str">
        <f>IF(OR(Measures!AM163="Row Not Used",Measures!AM163="Fixtures Only",Measures!AM163="Decommissioning"),"",Measures!S163)</f>
        <v/>
      </c>
      <c r="N163" s="432" t="str">
        <f>IF(Measures!AM163="Row Not Used","",Measures!AF163)</f>
        <v/>
      </c>
      <c r="O163" s="426" t="str">
        <f>IF(Measures!AM163="Row Not Used","",Measures!C163)</f>
        <v/>
      </c>
      <c r="P163" s="133" t="str">
        <f t="shared" si="2"/>
        <v>No</v>
      </c>
    </row>
    <row r="164" spans="1:16" ht="75.599999999999994" customHeight="1" x14ac:dyDescent="0.3">
      <c r="A164" s="454">
        <f>Measures!A164</f>
        <v>157</v>
      </c>
      <c r="B164" s="425" t="str">
        <f>IF(Measures!AM164="Row Not Used","",IF(ISBLANK(Measures!V164),Measures!B164,_xlfn.CONCAT(Measures!B164," - ",Measures!V164)))</f>
        <v/>
      </c>
      <c r="C164" s="426" t="str">
        <f>IF(Measures!AM164="Row Not Used","",_xlfn.CONCAT(Measures!D164," - ",Measures!E164," - ",Measures!F164))</f>
        <v/>
      </c>
      <c r="D164" s="442" t="str">
        <f>IF(Measures!AM164="Row Not Used","",Measures!G164)</f>
        <v/>
      </c>
      <c r="E164" s="443" t="str">
        <f>IF(Measures!AM164="Row Not Used","",Measures!H164)</f>
        <v/>
      </c>
      <c r="F164" s="450" t="str">
        <f>IF(Measures!AM164="Row Not Used","",Measures!I164)</f>
        <v/>
      </c>
      <c r="G164" s="426" t="str">
        <f>IF(OR(Measures!AM164="Row Not Used",Measures!C164="Controls Only",Measures!C164="Decommissioning"),"",_xlfn.CONCAT(Measures!K164," - ",Measures!L164))</f>
        <v/>
      </c>
      <c r="H164" s="442" t="str">
        <f>IF(OR(Measures!AM164="Row Not Used",Measures!C164="Controls Only",Measures!C164="Decommissioning"),"",Measures!M164)</f>
        <v/>
      </c>
      <c r="I164" s="443" t="str">
        <f>IF(OR(Measures!AM164="Row Not Used",Measures!C164="Controls Only",Measures!C164="Decommissioning"),"",Measures!N164)</f>
        <v/>
      </c>
      <c r="J164" s="444" t="str">
        <f>IF(OR(Measures!AM164="Row Not Used",Measures!C164="Controls Only",Measures!C164="Decommissioning"),"",Measures!O164)</f>
        <v/>
      </c>
      <c r="K164" s="425" t="str">
        <f>IF(OR(Measures!AM164="Row Not Used",Measures!C164="Controls Only",Measures!C164="Decommissioning"),"",Measures!AS164)</f>
        <v/>
      </c>
      <c r="L164" s="426" t="str">
        <f>IF(OR(Measures!AM164="Row Not Used",Measures!AM164="Decommissioning",ISBLANK(Measures!R164)),"",Measures!R164)</f>
        <v/>
      </c>
      <c r="M164" s="431" t="str">
        <f>IF(OR(Measures!AM164="Row Not Used",Measures!AM164="Fixtures Only",Measures!AM164="Decommissioning"),"",Measures!S164)</f>
        <v/>
      </c>
      <c r="N164" s="432" t="str">
        <f>IF(Measures!AM164="Row Not Used","",Measures!AF164)</f>
        <v/>
      </c>
      <c r="O164" s="426" t="str">
        <f>IF(Measures!AM164="Row Not Used","",Measures!C164)</f>
        <v/>
      </c>
      <c r="P164" s="133" t="str">
        <f t="shared" si="2"/>
        <v>No</v>
      </c>
    </row>
    <row r="165" spans="1:16" ht="75.599999999999994" customHeight="1" x14ac:dyDescent="0.3">
      <c r="A165" s="454">
        <f>Measures!A165</f>
        <v>158</v>
      </c>
      <c r="B165" s="425" t="str">
        <f>IF(Measures!AM165="Row Not Used","",IF(ISBLANK(Measures!V165),Measures!B165,_xlfn.CONCAT(Measures!B165," - ",Measures!V165)))</f>
        <v/>
      </c>
      <c r="C165" s="426" t="str">
        <f>IF(Measures!AM165="Row Not Used","",_xlfn.CONCAT(Measures!D165," - ",Measures!E165," - ",Measures!F165))</f>
        <v/>
      </c>
      <c r="D165" s="442" t="str">
        <f>IF(Measures!AM165="Row Not Used","",Measures!G165)</f>
        <v/>
      </c>
      <c r="E165" s="443" t="str">
        <f>IF(Measures!AM165="Row Not Used","",Measures!H165)</f>
        <v/>
      </c>
      <c r="F165" s="450" t="str">
        <f>IF(Measures!AM165="Row Not Used","",Measures!I165)</f>
        <v/>
      </c>
      <c r="G165" s="426" t="str">
        <f>IF(OR(Measures!AM165="Row Not Used",Measures!C165="Controls Only",Measures!C165="Decommissioning"),"",_xlfn.CONCAT(Measures!K165," - ",Measures!L165))</f>
        <v/>
      </c>
      <c r="H165" s="442" t="str">
        <f>IF(OR(Measures!AM165="Row Not Used",Measures!C165="Controls Only",Measures!C165="Decommissioning"),"",Measures!M165)</f>
        <v/>
      </c>
      <c r="I165" s="443" t="str">
        <f>IF(OR(Measures!AM165="Row Not Used",Measures!C165="Controls Only",Measures!C165="Decommissioning"),"",Measures!N165)</f>
        <v/>
      </c>
      <c r="J165" s="444" t="str">
        <f>IF(OR(Measures!AM165="Row Not Used",Measures!C165="Controls Only",Measures!C165="Decommissioning"),"",Measures!O165)</f>
        <v/>
      </c>
      <c r="K165" s="425" t="str">
        <f>IF(OR(Measures!AM165="Row Not Used",Measures!C165="Controls Only",Measures!C165="Decommissioning"),"",Measures!AS165)</f>
        <v/>
      </c>
      <c r="L165" s="426" t="str">
        <f>IF(OR(Measures!AM165="Row Not Used",Measures!AM165="Decommissioning",ISBLANK(Measures!R165)),"",Measures!R165)</f>
        <v/>
      </c>
      <c r="M165" s="431" t="str">
        <f>IF(OR(Measures!AM165="Row Not Used",Measures!AM165="Fixtures Only",Measures!AM165="Decommissioning"),"",Measures!S165)</f>
        <v/>
      </c>
      <c r="N165" s="432" t="str">
        <f>IF(Measures!AM165="Row Not Used","",Measures!AF165)</f>
        <v/>
      </c>
      <c r="O165" s="426" t="str">
        <f>IF(Measures!AM165="Row Not Used","",Measures!C165)</f>
        <v/>
      </c>
      <c r="P165" s="133" t="str">
        <f t="shared" si="2"/>
        <v>No</v>
      </c>
    </row>
    <row r="166" spans="1:16" ht="75.599999999999994" customHeight="1" x14ac:dyDescent="0.3">
      <c r="A166" s="454">
        <f>Measures!A166</f>
        <v>159</v>
      </c>
      <c r="B166" s="425" t="str">
        <f>IF(Measures!AM166="Row Not Used","",IF(ISBLANK(Measures!V166),Measures!B166,_xlfn.CONCAT(Measures!B166," - ",Measures!V166)))</f>
        <v/>
      </c>
      <c r="C166" s="426" t="str">
        <f>IF(Measures!AM166="Row Not Used","",_xlfn.CONCAT(Measures!D166," - ",Measures!E166," - ",Measures!F166))</f>
        <v/>
      </c>
      <c r="D166" s="442" t="str">
        <f>IF(Measures!AM166="Row Not Used","",Measures!G166)</f>
        <v/>
      </c>
      <c r="E166" s="443" t="str">
        <f>IF(Measures!AM166="Row Not Used","",Measures!H166)</f>
        <v/>
      </c>
      <c r="F166" s="450" t="str">
        <f>IF(Measures!AM166="Row Not Used","",Measures!I166)</f>
        <v/>
      </c>
      <c r="G166" s="426" t="str">
        <f>IF(OR(Measures!AM166="Row Not Used",Measures!C166="Controls Only",Measures!C166="Decommissioning"),"",_xlfn.CONCAT(Measures!K166," - ",Measures!L166))</f>
        <v/>
      </c>
      <c r="H166" s="442" t="str">
        <f>IF(OR(Measures!AM166="Row Not Used",Measures!C166="Controls Only",Measures!C166="Decommissioning"),"",Measures!M166)</f>
        <v/>
      </c>
      <c r="I166" s="443" t="str">
        <f>IF(OR(Measures!AM166="Row Not Used",Measures!C166="Controls Only",Measures!C166="Decommissioning"),"",Measures!N166)</f>
        <v/>
      </c>
      <c r="J166" s="444" t="str">
        <f>IF(OR(Measures!AM166="Row Not Used",Measures!C166="Controls Only",Measures!C166="Decommissioning"),"",Measures!O166)</f>
        <v/>
      </c>
      <c r="K166" s="425" t="str">
        <f>IF(OR(Measures!AM166="Row Not Used",Measures!C166="Controls Only",Measures!C166="Decommissioning"),"",Measures!AS166)</f>
        <v/>
      </c>
      <c r="L166" s="426" t="str">
        <f>IF(OR(Measures!AM166="Row Not Used",Measures!AM166="Decommissioning",ISBLANK(Measures!R166)),"",Measures!R166)</f>
        <v/>
      </c>
      <c r="M166" s="431" t="str">
        <f>IF(OR(Measures!AM166="Row Not Used",Measures!AM166="Fixtures Only",Measures!AM166="Decommissioning"),"",Measures!S166)</f>
        <v/>
      </c>
      <c r="N166" s="432" t="str">
        <f>IF(Measures!AM166="Row Not Used","",Measures!AF166)</f>
        <v/>
      </c>
      <c r="O166" s="426" t="str">
        <f>IF(Measures!AM166="Row Not Used","",Measures!C166)</f>
        <v/>
      </c>
      <c r="P166" s="133" t="str">
        <f t="shared" si="2"/>
        <v>No</v>
      </c>
    </row>
    <row r="167" spans="1:16" ht="75.599999999999994" customHeight="1" x14ac:dyDescent="0.3">
      <c r="A167" s="454">
        <f>Measures!A167</f>
        <v>160</v>
      </c>
      <c r="B167" s="425" t="str">
        <f>IF(Measures!AM167="Row Not Used","",IF(ISBLANK(Measures!V167),Measures!B167,_xlfn.CONCAT(Measures!B167," - ",Measures!V167)))</f>
        <v/>
      </c>
      <c r="C167" s="426" t="str">
        <f>IF(Measures!AM167="Row Not Used","",_xlfn.CONCAT(Measures!D167," - ",Measures!E167," - ",Measures!F167))</f>
        <v/>
      </c>
      <c r="D167" s="442" t="str">
        <f>IF(Measures!AM167="Row Not Used","",Measures!G167)</f>
        <v/>
      </c>
      <c r="E167" s="443" t="str">
        <f>IF(Measures!AM167="Row Not Used","",Measures!H167)</f>
        <v/>
      </c>
      <c r="F167" s="450" t="str">
        <f>IF(Measures!AM167="Row Not Used","",Measures!I167)</f>
        <v/>
      </c>
      <c r="G167" s="426" t="str">
        <f>IF(OR(Measures!AM167="Row Not Used",Measures!C167="Controls Only",Measures!C167="Decommissioning"),"",_xlfn.CONCAT(Measures!K167," - ",Measures!L167))</f>
        <v/>
      </c>
      <c r="H167" s="442" t="str">
        <f>IF(OR(Measures!AM167="Row Not Used",Measures!C167="Controls Only",Measures!C167="Decommissioning"),"",Measures!M167)</f>
        <v/>
      </c>
      <c r="I167" s="443" t="str">
        <f>IF(OR(Measures!AM167="Row Not Used",Measures!C167="Controls Only",Measures!C167="Decommissioning"),"",Measures!N167)</f>
        <v/>
      </c>
      <c r="J167" s="444" t="str">
        <f>IF(OR(Measures!AM167="Row Not Used",Measures!C167="Controls Only",Measures!C167="Decommissioning"),"",Measures!O167)</f>
        <v/>
      </c>
      <c r="K167" s="425" t="str">
        <f>IF(OR(Measures!AM167="Row Not Used",Measures!C167="Controls Only",Measures!C167="Decommissioning"),"",Measures!AS167)</f>
        <v/>
      </c>
      <c r="L167" s="426" t="str">
        <f>IF(OR(Measures!AM167="Row Not Used",Measures!AM167="Decommissioning",ISBLANK(Measures!R167)),"",Measures!R167)</f>
        <v/>
      </c>
      <c r="M167" s="431" t="str">
        <f>IF(OR(Measures!AM167="Row Not Used",Measures!AM167="Fixtures Only",Measures!AM167="Decommissioning"),"",Measures!S167)</f>
        <v/>
      </c>
      <c r="N167" s="432" t="str">
        <f>IF(Measures!AM167="Row Not Used","",Measures!AF167)</f>
        <v/>
      </c>
      <c r="O167" s="426" t="str">
        <f>IF(Measures!AM167="Row Not Used","",Measures!C167)</f>
        <v/>
      </c>
      <c r="P167" s="133" t="str">
        <f t="shared" si="2"/>
        <v>No</v>
      </c>
    </row>
    <row r="168" spans="1:16" ht="75.599999999999994" customHeight="1" x14ac:dyDescent="0.3">
      <c r="A168" s="454">
        <f>Measures!A168</f>
        <v>161</v>
      </c>
      <c r="B168" s="425" t="str">
        <f>IF(Measures!AM168="Row Not Used","",IF(ISBLANK(Measures!V168),Measures!B168,_xlfn.CONCAT(Measures!B168," - ",Measures!V168)))</f>
        <v/>
      </c>
      <c r="C168" s="426" t="str">
        <f>IF(Measures!AM168="Row Not Used","",_xlfn.CONCAT(Measures!D168," - ",Measures!E168," - ",Measures!F168))</f>
        <v/>
      </c>
      <c r="D168" s="442" t="str">
        <f>IF(Measures!AM168="Row Not Used","",Measures!G168)</f>
        <v/>
      </c>
      <c r="E168" s="443" t="str">
        <f>IF(Measures!AM168="Row Not Used","",Measures!H168)</f>
        <v/>
      </c>
      <c r="F168" s="450" t="str">
        <f>IF(Measures!AM168="Row Not Used","",Measures!I168)</f>
        <v/>
      </c>
      <c r="G168" s="426" t="str">
        <f>IF(OR(Measures!AM168="Row Not Used",Measures!C168="Controls Only",Measures!C168="Decommissioning"),"",_xlfn.CONCAT(Measures!K168," - ",Measures!L168))</f>
        <v/>
      </c>
      <c r="H168" s="442" t="str">
        <f>IF(OR(Measures!AM168="Row Not Used",Measures!C168="Controls Only",Measures!C168="Decommissioning"),"",Measures!M168)</f>
        <v/>
      </c>
      <c r="I168" s="443" t="str">
        <f>IF(OR(Measures!AM168="Row Not Used",Measures!C168="Controls Only",Measures!C168="Decommissioning"),"",Measures!N168)</f>
        <v/>
      </c>
      <c r="J168" s="444" t="str">
        <f>IF(OR(Measures!AM168="Row Not Used",Measures!C168="Controls Only",Measures!C168="Decommissioning"),"",Measures!O168)</f>
        <v/>
      </c>
      <c r="K168" s="425" t="str">
        <f>IF(OR(Measures!AM168="Row Not Used",Measures!C168="Controls Only",Measures!C168="Decommissioning"),"",Measures!AS168)</f>
        <v/>
      </c>
      <c r="L168" s="426" t="str">
        <f>IF(OR(Measures!AM168="Row Not Used",Measures!AM168="Decommissioning",ISBLANK(Measures!R168)),"",Measures!R168)</f>
        <v/>
      </c>
      <c r="M168" s="431" t="str">
        <f>IF(OR(Measures!AM168="Row Not Used",Measures!AM168="Fixtures Only",Measures!AM168="Decommissioning"),"",Measures!S168)</f>
        <v/>
      </c>
      <c r="N168" s="432" t="str">
        <f>IF(Measures!AM168="Row Not Used","",Measures!AF168)</f>
        <v/>
      </c>
      <c r="O168" s="426" t="str">
        <f>IF(Measures!AM168="Row Not Used","",Measures!C168)</f>
        <v/>
      </c>
      <c r="P168" s="133" t="str">
        <f t="shared" si="2"/>
        <v>No</v>
      </c>
    </row>
    <row r="169" spans="1:16" ht="75.599999999999994" customHeight="1" x14ac:dyDescent="0.3">
      <c r="A169" s="454">
        <f>Measures!A169</f>
        <v>162</v>
      </c>
      <c r="B169" s="425" t="str">
        <f>IF(Measures!AM169="Row Not Used","",IF(ISBLANK(Measures!V169),Measures!B169,_xlfn.CONCAT(Measures!B169," - ",Measures!V169)))</f>
        <v/>
      </c>
      <c r="C169" s="426" t="str">
        <f>IF(Measures!AM169="Row Not Used","",_xlfn.CONCAT(Measures!D169," - ",Measures!E169," - ",Measures!F169))</f>
        <v/>
      </c>
      <c r="D169" s="442" t="str">
        <f>IF(Measures!AM169="Row Not Used","",Measures!G169)</f>
        <v/>
      </c>
      <c r="E169" s="443" t="str">
        <f>IF(Measures!AM169="Row Not Used","",Measures!H169)</f>
        <v/>
      </c>
      <c r="F169" s="450" t="str">
        <f>IF(Measures!AM169="Row Not Used","",Measures!I169)</f>
        <v/>
      </c>
      <c r="G169" s="426" t="str">
        <f>IF(OR(Measures!AM169="Row Not Used",Measures!C169="Controls Only",Measures!C169="Decommissioning"),"",_xlfn.CONCAT(Measures!K169," - ",Measures!L169))</f>
        <v/>
      </c>
      <c r="H169" s="442" t="str">
        <f>IF(OR(Measures!AM169="Row Not Used",Measures!C169="Controls Only",Measures!C169="Decommissioning"),"",Measures!M169)</f>
        <v/>
      </c>
      <c r="I169" s="443" t="str">
        <f>IF(OR(Measures!AM169="Row Not Used",Measures!C169="Controls Only",Measures!C169="Decommissioning"),"",Measures!N169)</f>
        <v/>
      </c>
      <c r="J169" s="444" t="str">
        <f>IF(OR(Measures!AM169="Row Not Used",Measures!C169="Controls Only",Measures!C169="Decommissioning"),"",Measures!O169)</f>
        <v/>
      </c>
      <c r="K169" s="425" t="str">
        <f>IF(OR(Measures!AM169="Row Not Used",Measures!C169="Controls Only",Measures!C169="Decommissioning"),"",Measures!AS169)</f>
        <v/>
      </c>
      <c r="L169" s="426" t="str">
        <f>IF(OR(Measures!AM169="Row Not Used",Measures!AM169="Decommissioning",ISBLANK(Measures!R169)),"",Measures!R169)</f>
        <v/>
      </c>
      <c r="M169" s="431" t="str">
        <f>IF(OR(Measures!AM169="Row Not Used",Measures!AM169="Fixtures Only",Measures!AM169="Decommissioning"),"",Measures!S169)</f>
        <v/>
      </c>
      <c r="N169" s="432" t="str">
        <f>IF(Measures!AM169="Row Not Used","",Measures!AF169)</f>
        <v/>
      </c>
      <c r="O169" s="426" t="str">
        <f>IF(Measures!AM169="Row Not Used","",Measures!C169)</f>
        <v/>
      </c>
      <c r="P169" s="133" t="str">
        <f t="shared" si="2"/>
        <v>No</v>
      </c>
    </row>
    <row r="170" spans="1:16" ht="75.599999999999994" customHeight="1" x14ac:dyDescent="0.3">
      <c r="A170" s="454">
        <f>Measures!A170</f>
        <v>163</v>
      </c>
      <c r="B170" s="425" t="str">
        <f>IF(Measures!AM170="Row Not Used","",IF(ISBLANK(Measures!V170),Measures!B170,_xlfn.CONCAT(Measures!B170," - ",Measures!V170)))</f>
        <v/>
      </c>
      <c r="C170" s="426" t="str">
        <f>IF(Measures!AM170="Row Not Used","",_xlfn.CONCAT(Measures!D170," - ",Measures!E170," - ",Measures!F170))</f>
        <v/>
      </c>
      <c r="D170" s="442" t="str">
        <f>IF(Measures!AM170="Row Not Used","",Measures!G170)</f>
        <v/>
      </c>
      <c r="E170" s="443" t="str">
        <f>IF(Measures!AM170="Row Not Used","",Measures!H170)</f>
        <v/>
      </c>
      <c r="F170" s="450" t="str">
        <f>IF(Measures!AM170="Row Not Used","",Measures!I170)</f>
        <v/>
      </c>
      <c r="G170" s="426" t="str">
        <f>IF(OR(Measures!AM170="Row Not Used",Measures!C170="Controls Only",Measures!C170="Decommissioning"),"",_xlfn.CONCAT(Measures!K170," - ",Measures!L170))</f>
        <v/>
      </c>
      <c r="H170" s="442" t="str">
        <f>IF(OR(Measures!AM170="Row Not Used",Measures!C170="Controls Only",Measures!C170="Decommissioning"),"",Measures!M170)</f>
        <v/>
      </c>
      <c r="I170" s="443" t="str">
        <f>IF(OR(Measures!AM170="Row Not Used",Measures!C170="Controls Only",Measures!C170="Decommissioning"),"",Measures!N170)</f>
        <v/>
      </c>
      <c r="J170" s="444" t="str">
        <f>IF(OR(Measures!AM170="Row Not Used",Measures!C170="Controls Only",Measures!C170="Decommissioning"),"",Measures!O170)</f>
        <v/>
      </c>
      <c r="K170" s="425" t="str">
        <f>IF(OR(Measures!AM170="Row Not Used",Measures!C170="Controls Only",Measures!C170="Decommissioning"),"",Measures!AS170)</f>
        <v/>
      </c>
      <c r="L170" s="426" t="str">
        <f>IF(OR(Measures!AM170="Row Not Used",Measures!AM170="Decommissioning",ISBLANK(Measures!R170)),"",Measures!R170)</f>
        <v/>
      </c>
      <c r="M170" s="431" t="str">
        <f>IF(OR(Measures!AM170="Row Not Used",Measures!AM170="Fixtures Only",Measures!AM170="Decommissioning"),"",Measures!S170)</f>
        <v/>
      </c>
      <c r="N170" s="432" t="str">
        <f>IF(Measures!AM170="Row Not Used","",Measures!AF170)</f>
        <v/>
      </c>
      <c r="O170" s="426" t="str">
        <f>IF(Measures!AM170="Row Not Used","",Measures!C170)</f>
        <v/>
      </c>
      <c r="P170" s="133" t="str">
        <f t="shared" si="2"/>
        <v>No</v>
      </c>
    </row>
    <row r="171" spans="1:16" ht="75.599999999999994" customHeight="1" x14ac:dyDescent="0.3">
      <c r="A171" s="454">
        <f>Measures!A171</f>
        <v>164</v>
      </c>
      <c r="B171" s="425" t="str">
        <f>IF(Measures!AM171="Row Not Used","",IF(ISBLANK(Measures!V171),Measures!B171,_xlfn.CONCAT(Measures!B171," - ",Measures!V171)))</f>
        <v/>
      </c>
      <c r="C171" s="426" t="str">
        <f>IF(Measures!AM171="Row Not Used","",_xlfn.CONCAT(Measures!D171," - ",Measures!E171," - ",Measures!F171))</f>
        <v/>
      </c>
      <c r="D171" s="442" t="str">
        <f>IF(Measures!AM171="Row Not Used","",Measures!G171)</f>
        <v/>
      </c>
      <c r="E171" s="443" t="str">
        <f>IF(Measures!AM171="Row Not Used","",Measures!H171)</f>
        <v/>
      </c>
      <c r="F171" s="450" t="str">
        <f>IF(Measures!AM171="Row Not Used","",Measures!I171)</f>
        <v/>
      </c>
      <c r="G171" s="426" t="str">
        <f>IF(OR(Measures!AM171="Row Not Used",Measures!C171="Controls Only",Measures!C171="Decommissioning"),"",_xlfn.CONCAT(Measures!K171," - ",Measures!L171))</f>
        <v/>
      </c>
      <c r="H171" s="442" t="str">
        <f>IF(OR(Measures!AM171="Row Not Used",Measures!C171="Controls Only",Measures!C171="Decommissioning"),"",Measures!M171)</f>
        <v/>
      </c>
      <c r="I171" s="443" t="str">
        <f>IF(OR(Measures!AM171="Row Not Used",Measures!C171="Controls Only",Measures!C171="Decommissioning"),"",Measures!N171)</f>
        <v/>
      </c>
      <c r="J171" s="444" t="str">
        <f>IF(OR(Measures!AM171="Row Not Used",Measures!C171="Controls Only",Measures!C171="Decommissioning"),"",Measures!O171)</f>
        <v/>
      </c>
      <c r="K171" s="425" t="str">
        <f>IF(OR(Measures!AM171="Row Not Used",Measures!C171="Controls Only",Measures!C171="Decommissioning"),"",Measures!AS171)</f>
        <v/>
      </c>
      <c r="L171" s="426" t="str">
        <f>IF(OR(Measures!AM171="Row Not Used",Measures!AM171="Decommissioning",ISBLANK(Measures!R171)),"",Measures!R171)</f>
        <v/>
      </c>
      <c r="M171" s="431" t="str">
        <f>IF(OR(Measures!AM171="Row Not Used",Measures!AM171="Fixtures Only",Measures!AM171="Decommissioning"),"",Measures!S171)</f>
        <v/>
      </c>
      <c r="N171" s="432" t="str">
        <f>IF(Measures!AM171="Row Not Used","",Measures!AF171)</f>
        <v/>
      </c>
      <c r="O171" s="426" t="str">
        <f>IF(Measures!AM171="Row Not Used","",Measures!C171)</f>
        <v/>
      </c>
      <c r="P171" s="133" t="str">
        <f t="shared" si="2"/>
        <v>No</v>
      </c>
    </row>
    <row r="172" spans="1:16" ht="75.599999999999994" customHeight="1" x14ac:dyDescent="0.3">
      <c r="A172" s="454">
        <f>Measures!A172</f>
        <v>165</v>
      </c>
      <c r="B172" s="425" t="str">
        <f>IF(Measures!AM172="Row Not Used","",IF(ISBLANK(Measures!V172),Measures!B172,_xlfn.CONCAT(Measures!B172," - ",Measures!V172)))</f>
        <v/>
      </c>
      <c r="C172" s="426" t="str">
        <f>IF(Measures!AM172="Row Not Used","",_xlfn.CONCAT(Measures!D172," - ",Measures!E172," - ",Measures!F172))</f>
        <v/>
      </c>
      <c r="D172" s="442" t="str">
        <f>IF(Measures!AM172="Row Not Used","",Measures!G172)</f>
        <v/>
      </c>
      <c r="E172" s="443" t="str">
        <f>IF(Measures!AM172="Row Not Used","",Measures!H172)</f>
        <v/>
      </c>
      <c r="F172" s="450" t="str">
        <f>IF(Measures!AM172="Row Not Used","",Measures!I172)</f>
        <v/>
      </c>
      <c r="G172" s="426" t="str">
        <f>IF(OR(Measures!AM172="Row Not Used",Measures!C172="Controls Only",Measures!C172="Decommissioning"),"",_xlfn.CONCAT(Measures!K172," - ",Measures!L172))</f>
        <v/>
      </c>
      <c r="H172" s="442" t="str">
        <f>IF(OR(Measures!AM172="Row Not Used",Measures!C172="Controls Only",Measures!C172="Decommissioning"),"",Measures!M172)</f>
        <v/>
      </c>
      <c r="I172" s="443" t="str">
        <f>IF(OR(Measures!AM172="Row Not Used",Measures!C172="Controls Only",Measures!C172="Decommissioning"),"",Measures!N172)</f>
        <v/>
      </c>
      <c r="J172" s="444" t="str">
        <f>IF(OR(Measures!AM172="Row Not Used",Measures!C172="Controls Only",Measures!C172="Decommissioning"),"",Measures!O172)</f>
        <v/>
      </c>
      <c r="K172" s="425" t="str">
        <f>IF(OR(Measures!AM172="Row Not Used",Measures!C172="Controls Only",Measures!C172="Decommissioning"),"",Measures!AS172)</f>
        <v/>
      </c>
      <c r="L172" s="426" t="str">
        <f>IF(OR(Measures!AM172="Row Not Used",Measures!AM172="Decommissioning",ISBLANK(Measures!R172)),"",Measures!R172)</f>
        <v/>
      </c>
      <c r="M172" s="431" t="str">
        <f>IF(OR(Measures!AM172="Row Not Used",Measures!AM172="Fixtures Only",Measures!AM172="Decommissioning"),"",Measures!S172)</f>
        <v/>
      </c>
      <c r="N172" s="432" t="str">
        <f>IF(Measures!AM172="Row Not Used","",Measures!AF172)</f>
        <v/>
      </c>
      <c r="O172" s="426" t="str">
        <f>IF(Measures!AM172="Row Not Used","",Measures!C172)</f>
        <v/>
      </c>
      <c r="P172" s="133" t="str">
        <f t="shared" si="2"/>
        <v>No</v>
      </c>
    </row>
    <row r="173" spans="1:16" ht="75.599999999999994" customHeight="1" x14ac:dyDescent="0.3">
      <c r="A173" s="454">
        <f>Measures!A173</f>
        <v>166</v>
      </c>
      <c r="B173" s="425" t="str">
        <f>IF(Measures!AM173="Row Not Used","",IF(ISBLANK(Measures!V173),Measures!B173,_xlfn.CONCAT(Measures!B173," - ",Measures!V173)))</f>
        <v/>
      </c>
      <c r="C173" s="426" t="str">
        <f>IF(Measures!AM173="Row Not Used","",_xlfn.CONCAT(Measures!D173," - ",Measures!E173," - ",Measures!F173))</f>
        <v/>
      </c>
      <c r="D173" s="442" t="str">
        <f>IF(Measures!AM173="Row Not Used","",Measures!G173)</f>
        <v/>
      </c>
      <c r="E173" s="443" t="str">
        <f>IF(Measures!AM173="Row Not Used","",Measures!H173)</f>
        <v/>
      </c>
      <c r="F173" s="450" t="str">
        <f>IF(Measures!AM173="Row Not Used","",Measures!I173)</f>
        <v/>
      </c>
      <c r="G173" s="426" t="str">
        <f>IF(OR(Measures!AM173="Row Not Used",Measures!C173="Controls Only",Measures!C173="Decommissioning"),"",_xlfn.CONCAT(Measures!K173," - ",Measures!L173))</f>
        <v/>
      </c>
      <c r="H173" s="442" t="str">
        <f>IF(OR(Measures!AM173="Row Not Used",Measures!C173="Controls Only",Measures!C173="Decommissioning"),"",Measures!M173)</f>
        <v/>
      </c>
      <c r="I173" s="443" t="str">
        <f>IF(OR(Measures!AM173="Row Not Used",Measures!C173="Controls Only",Measures!C173="Decommissioning"),"",Measures!N173)</f>
        <v/>
      </c>
      <c r="J173" s="444" t="str">
        <f>IF(OR(Measures!AM173="Row Not Used",Measures!C173="Controls Only",Measures!C173="Decommissioning"),"",Measures!O173)</f>
        <v/>
      </c>
      <c r="K173" s="425" t="str">
        <f>IF(OR(Measures!AM173="Row Not Used",Measures!C173="Controls Only",Measures!C173="Decommissioning"),"",Measures!AS173)</f>
        <v/>
      </c>
      <c r="L173" s="426" t="str">
        <f>IF(OR(Measures!AM173="Row Not Used",Measures!AM173="Decommissioning",ISBLANK(Measures!R173)),"",Measures!R173)</f>
        <v/>
      </c>
      <c r="M173" s="431" t="str">
        <f>IF(OR(Measures!AM173="Row Not Used",Measures!AM173="Fixtures Only",Measures!AM173="Decommissioning"),"",Measures!S173)</f>
        <v/>
      </c>
      <c r="N173" s="432" t="str">
        <f>IF(Measures!AM173="Row Not Used","",Measures!AF173)</f>
        <v/>
      </c>
      <c r="O173" s="426" t="str">
        <f>IF(Measures!AM173="Row Not Used","",Measures!C173)</f>
        <v/>
      </c>
      <c r="P173" s="133" t="str">
        <f t="shared" si="2"/>
        <v>No</v>
      </c>
    </row>
    <row r="174" spans="1:16" ht="75.599999999999994" customHeight="1" x14ac:dyDescent="0.3">
      <c r="A174" s="454">
        <f>Measures!A174</f>
        <v>167</v>
      </c>
      <c r="B174" s="425" t="str">
        <f>IF(Measures!AM174="Row Not Used","",IF(ISBLANK(Measures!V174),Measures!B174,_xlfn.CONCAT(Measures!B174," - ",Measures!V174)))</f>
        <v/>
      </c>
      <c r="C174" s="426" t="str">
        <f>IF(Measures!AM174="Row Not Used","",_xlfn.CONCAT(Measures!D174," - ",Measures!E174," - ",Measures!F174))</f>
        <v/>
      </c>
      <c r="D174" s="442" t="str">
        <f>IF(Measures!AM174="Row Not Used","",Measures!G174)</f>
        <v/>
      </c>
      <c r="E174" s="443" t="str">
        <f>IF(Measures!AM174="Row Not Used","",Measures!H174)</f>
        <v/>
      </c>
      <c r="F174" s="450" t="str">
        <f>IF(Measures!AM174="Row Not Used","",Measures!I174)</f>
        <v/>
      </c>
      <c r="G174" s="426" t="str">
        <f>IF(OR(Measures!AM174="Row Not Used",Measures!C174="Controls Only",Measures!C174="Decommissioning"),"",_xlfn.CONCAT(Measures!K174," - ",Measures!L174))</f>
        <v/>
      </c>
      <c r="H174" s="442" t="str">
        <f>IF(OR(Measures!AM174="Row Not Used",Measures!C174="Controls Only",Measures!C174="Decommissioning"),"",Measures!M174)</f>
        <v/>
      </c>
      <c r="I174" s="443" t="str">
        <f>IF(OR(Measures!AM174="Row Not Used",Measures!C174="Controls Only",Measures!C174="Decommissioning"),"",Measures!N174)</f>
        <v/>
      </c>
      <c r="J174" s="444" t="str">
        <f>IF(OR(Measures!AM174="Row Not Used",Measures!C174="Controls Only",Measures!C174="Decommissioning"),"",Measures!O174)</f>
        <v/>
      </c>
      <c r="K174" s="425" t="str">
        <f>IF(OR(Measures!AM174="Row Not Used",Measures!C174="Controls Only",Measures!C174="Decommissioning"),"",Measures!AS174)</f>
        <v/>
      </c>
      <c r="L174" s="426" t="str">
        <f>IF(OR(Measures!AM174="Row Not Used",Measures!AM174="Decommissioning",ISBLANK(Measures!R174)),"",Measures!R174)</f>
        <v/>
      </c>
      <c r="M174" s="431" t="str">
        <f>IF(OR(Measures!AM174="Row Not Used",Measures!AM174="Fixtures Only",Measures!AM174="Decommissioning"),"",Measures!S174)</f>
        <v/>
      </c>
      <c r="N174" s="432" t="str">
        <f>IF(Measures!AM174="Row Not Used","",Measures!AF174)</f>
        <v/>
      </c>
      <c r="O174" s="426" t="str">
        <f>IF(Measures!AM174="Row Not Used","",Measures!C174)</f>
        <v/>
      </c>
      <c r="P174" s="133" t="str">
        <f t="shared" si="2"/>
        <v>No</v>
      </c>
    </row>
    <row r="175" spans="1:16" ht="75.599999999999994" customHeight="1" x14ac:dyDescent="0.3">
      <c r="A175" s="454">
        <f>Measures!A175</f>
        <v>168</v>
      </c>
      <c r="B175" s="425" t="str">
        <f>IF(Measures!AM175="Row Not Used","",IF(ISBLANK(Measures!V175),Measures!B175,_xlfn.CONCAT(Measures!B175," - ",Measures!V175)))</f>
        <v/>
      </c>
      <c r="C175" s="426" t="str">
        <f>IF(Measures!AM175="Row Not Used","",_xlfn.CONCAT(Measures!D175," - ",Measures!E175," - ",Measures!F175))</f>
        <v/>
      </c>
      <c r="D175" s="442" t="str">
        <f>IF(Measures!AM175="Row Not Used","",Measures!G175)</f>
        <v/>
      </c>
      <c r="E175" s="443" t="str">
        <f>IF(Measures!AM175="Row Not Used","",Measures!H175)</f>
        <v/>
      </c>
      <c r="F175" s="450" t="str">
        <f>IF(Measures!AM175="Row Not Used","",Measures!I175)</f>
        <v/>
      </c>
      <c r="G175" s="426" t="str">
        <f>IF(OR(Measures!AM175="Row Not Used",Measures!C175="Controls Only",Measures!C175="Decommissioning"),"",_xlfn.CONCAT(Measures!K175," - ",Measures!L175))</f>
        <v/>
      </c>
      <c r="H175" s="442" t="str">
        <f>IF(OR(Measures!AM175="Row Not Used",Measures!C175="Controls Only",Measures!C175="Decommissioning"),"",Measures!M175)</f>
        <v/>
      </c>
      <c r="I175" s="443" t="str">
        <f>IF(OR(Measures!AM175="Row Not Used",Measures!C175="Controls Only",Measures!C175="Decommissioning"),"",Measures!N175)</f>
        <v/>
      </c>
      <c r="J175" s="444" t="str">
        <f>IF(OR(Measures!AM175="Row Not Used",Measures!C175="Controls Only",Measures!C175="Decommissioning"),"",Measures!O175)</f>
        <v/>
      </c>
      <c r="K175" s="425" t="str">
        <f>IF(OR(Measures!AM175="Row Not Used",Measures!C175="Controls Only",Measures!C175="Decommissioning"),"",Measures!AS175)</f>
        <v/>
      </c>
      <c r="L175" s="426" t="str">
        <f>IF(OR(Measures!AM175="Row Not Used",Measures!AM175="Decommissioning",ISBLANK(Measures!R175)),"",Measures!R175)</f>
        <v/>
      </c>
      <c r="M175" s="431" t="str">
        <f>IF(OR(Measures!AM175="Row Not Used",Measures!AM175="Fixtures Only",Measures!AM175="Decommissioning"),"",Measures!S175)</f>
        <v/>
      </c>
      <c r="N175" s="432" t="str">
        <f>IF(Measures!AM175="Row Not Used","",Measures!AF175)</f>
        <v/>
      </c>
      <c r="O175" s="426" t="str">
        <f>IF(Measures!AM175="Row Not Used","",Measures!C175)</f>
        <v/>
      </c>
      <c r="P175" s="133" t="str">
        <f t="shared" si="2"/>
        <v>No</v>
      </c>
    </row>
    <row r="176" spans="1:16" ht="75.599999999999994" customHeight="1" x14ac:dyDescent="0.3">
      <c r="A176" s="454">
        <f>Measures!A176</f>
        <v>169</v>
      </c>
      <c r="B176" s="425" t="str">
        <f>IF(Measures!AM176="Row Not Used","",IF(ISBLANK(Measures!V176),Measures!B176,_xlfn.CONCAT(Measures!B176," - ",Measures!V176)))</f>
        <v/>
      </c>
      <c r="C176" s="426" t="str">
        <f>IF(Measures!AM176="Row Not Used","",_xlfn.CONCAT(Measures!D176," - ",Measures!E176," - ",Measures!F176))</f>
        <v/>
      </c>
      <c r="D176" s="442" t="str">
        <f>IF(Measures!AM176="Row Not Used","",Measures!G176)</f>
        <v/>
      </c>
      <c r="E176" s="443" t="str">
        <f>IF(Measures!AM176="Row Not Used","",Measures!H176)</f>
        <v/>
      </c>
      <c r="F176" s="450" t="str">
        <f>IF(Measures!AM176="Row Not Used","",Measures!I176)</f>
        <v/>
      </c>
      <c r="G176" s="426" t="str">
        <f>IF(OR(Measures!AM176="Row Not Used",Measures!C176="Controls Only",Measures!C176="Decommissioning"),"",_xlfn.CONCAT(Measures!K176," - ",Measures!L176))</f>
        <v/>
      </c>
      <c r="H176" s="442" t="str">
        <f>IF(OR(Measures!AM176="Row Not Used",Measures!C176="Controls Only",Measures!C176="Decommissioning"),"",Measures!M176)</f>
        <v/>
      </c>
      <c r="I176" s="443" t="str">
        <f>IF(OR(Measures!AM176="Row Not Used",Measures!C176="Controls Only",Measures!C176="Decommissioning"),"",Measures!N176)</f>
        <v/>
      </c>
      <c r="J176" s="444" t="str">
        <f>IF(OR(Measures!AM176="Row Not Used",Measures!C176="Controls Only",Measures!C176="Decommissioning"),"",Measures!O176)</f>
        <v/>
      </c>
      <c r="K176" s="425" t="str">
        <f>IF(OR(Measures!AM176="Row Not Used",Measures!C176="Controls Only",Measures!C176="Decommissioning"),"",Measures!AS176)</f>
        <v/>
      </c>
      <c r="L176" s="426" t="str">
        <f>IF(OR(Measures!AM176="Row Not Used",Measures!AM176="Decommissioning",ISBLANK(Measures!R176)),"",Measures!R176)</f>
        <v/>
      </c>
      <c r="M176" s="431" t="str">
        <f>IF(OR(Measures!AM176="Row Not Used",Measures!AM176="Fixtures Only",Measures!AM176="Decommissioning"),"",Measures!S176)</f>
        <v/>
      </c>
      <c r="N176" s="432" t="str">
        <f>IF(Measures!AM176="Row Not Used","",Measures!AF176)</f>
        <v/>
      </c>
      <c r="O176" s="426" t="str">
        <f>IF(Measures!AM176="Row Not Used","",Measures!C176)</f>
        <v/>
      </c>
      <c r="P176" s="133" t="str">
        <f t="shared" si="2"/>
        <v>No</v>
      </c>
    </row>
    <row r="177" spans="1:16" ht="75.599999999999994" customHeight="1" x14ac:dyDescent="0.3">
      <c r="A177" s="454">
        <f>Measures!A177</f>
        <v>170</v>
      </c>
      <c r="B177" s="425" t="str">
        <f>IF(Measures!AM177="Row Not Used","",IF(ISBLANK(Measures!V177),Measures!B177,_xlfn.CONCAT(Measures!B177," - ",Measures!V177)))</f>
        <v/>
      </c>
      <c r="C177" s="426" t="str">
        <f>IF(Measures!AM177="Row Not Used","",_xlfn.CONCAT(Measures!D177," - ",Measures!E177," - ",Measures!F177))</f>
        <v/>
      </c>
      <c r="D177" s="442" t="str">
        <f>IF(Measures!AM177="Row Not Used","",Measures!G177)</f>
        <v/>
      </c>
      <c r="E177" s="443" t="str">
        <f>IF(Measures!AM177="Row Not Used","",Measures!H177)</f>
        <v/>
      </c>
      <c r="F177" s="450" t="str">
        <f>IF(Measures!AM177="Row Not Used","",Measures!I177)</f>
        <v/>
      </c>
      <c r="G177" s="426" t="str">
        <f>IF(OR(Measures!AM177="Row Not Used",Measures!C177="Controls Only",Measures!C177="Decommissioning"),"",_xlfn.CONCAT(Measures!K177," - ",Measures!L177))</f>
        <v/>
      </c>
      <c r="H177" s="442" t="str">
        <f>IF(OR(Measures!AM177="Row Not Used",Measures!C177="Controls Only",Measures!C177="Decommissioning"),"",Measures!M177)</f>
        <v/>
      </c>
      <c r="I177" s="443" t="str">
        <f>IF(OR(Measures!AM177="Row Not Used",Measures!C177="Controls Only",Measures!C177="Decommissioning"),"",Measures!N177)</f>
        <v/>
      </c>
      <c r="J177" s="444" t="str">
        <f>IF(OR(Measures!AM177="Row Not Used",Measures!C177="Controls Only",Measures!C177="Decommissioning"),"",Measures!O177)</f>
        <v/>
      </c>
      <c r="K177" s="425" t="str">
        <f>IF(OR(Measures!AM177="Row Not Used",Measures!C177="Controls Only",Measures!C177="Decommissioning"),"",Measures!AS177)</f>
        <v/>
      </c>
      <c r="L177" s="426" t="str">
        <f>IF(OR(Measures!AM177="Row Not Used",Measures!AM177="Decommissioning",ISBLANK(Measures!R177)),"",Measures!R177)</f>
        <v/>
      </c>
      <c r="M177" s="431" t="str">
        <f>IF(OR(Measures!AM177="Row Not Used",Measures!AM177="Fixtures Only",Measures!AM177="Decommissioning"),"",Measures!S177)</f>
        <v/>
      </c>
      <c r="N177" s="432" t="str">
        <f>IF(Measures!AM177="Row Not Used","",Measures!AF177)</f>
        <v/>
      </c>
      <c r="O177" s="426" t="str">
        <f>IF(Measures!AM177="Row Not Used","",Measures!C177)</f>
        <v/>
      </c>
      <c r="P177" s="133" t="str">
        <f t="shared" si="2"/>
        <v>No</v>
      </c>
    </row>
    <row r="178" spans="1:16" ht="75.599999999999994" customHeight="1" x14ac:dyDescent="0.3">
      <c r="A178" s="454">
        <f>Measures!A178</f>
        <v>171</v>
      </c>
      <c r="B178" s="425" t="str">
        <f>IF(Measures!AM178="Row Not Used","",IF(ISBLANK(Measures!V178),Measures!B178,_xlfn.CONCAT(Measures!B178," - ",Measures!V178)))</f>
        <v/>
      </c>
      <c r="C178" s="426" t="str">
        <f>IF(Measures!AM178="Row Not Used","",_xlfn.CONCAT(Measures!D178," - ",Measures!E178," - ",Measures!F178))</f>
        <v/>
      </c>
      <c r="D178" s="442" t="str">
        <f>IF(Measures!AM178="Row Not Used","",Measures!G178)</f>
        <v/>
      </c>
      <c r="E178" s="443" t="str">
        <f>IF(Measures!AM178="Row Not Used","",Measures!H178)</f>
        <v/>
      </c>
      <c r="F178" s="450" t="str">
        <f>IF(Measures!AM178="Row Not Used","",Measures!I178)</f>
        <v/>
      </c>
      <c r="G178" s="426" t="str">
        <f>IF(OR(Measures!AM178="Row Not Used",Measures!C178="Controls Only",Measures!C178="Decommissioning"),"",_xlfn.CONCAT(Measures!K178," - ",Measures!L178))</f>
        <v/>
      </c>
      <c r="H178" s="442" t="str">
        <f>IF(OR(Measures!AM178="Row Not Used",Measures!C178="Controls Only",Measures!C178="Decommissioning"),"",Measures!M178)</f>
        <v/>
      </c>
      <c r="I178" s="443" t="str">
        <f>IF(OR(Measures!AM178="Row Not Used",Measures!C178="Controls Only",Measures!C178="Decommissioning"),"",Measures!N178)</f>
        <v/>
      </c>
      <c r="J178" s="444" t="str">
        <f>IF(OR(Measures!AM178="Row Not Used",Measures!C178="Controls Only",Measures!C178="Decommissioning"),"",Measures!O178)</f>
        <v/>
      </c>
      <c r="K178" s="425" t="str">
        <f>IF(OR(Measures!AM178="Row Not Used",Measures!C178="Controls Only",Measures!C178="Decommissioning"),"",Measures!AS178)</f>
        <v/>
      </c>
      <c r="L178" s="426" t="str">
        <f>IF(OR(Measures!AM178="Row Not Used",Measures!AM178="Decommissioning",ISBLANK(Measures!R178)),"",Measures!R178)</f>
        <v/>
      </c>
      <c r="M178" s="431" t="str">
        <f>IF(OR(Measures!AM178="Row Not Used",Measures!AM178="Fixtures Only",Measures!AM178="Decommissioning"),"",Measures!S178)</f>
        <v/>
      </c>
      <c r="N178" s="432" t="str">
        <f>IF(Measures!AM178="Row Not Used","",Measures!AF178)</f>
        <v/>
      </c>
      <c r="O178" s="426" t="str">
        <f>IF(Measures!AM178="Row Not Used","",Measures!C178)</f>
        <v/>
      </c>
      <c r="P178" s="133" t="str">
        <f t="shared" si="2"/>
        <v>No</v>
      </c>
    </row>
    <row r="179" spans="1:16" ht="75.599999999999994" customHeight="1" x14ac:dyDescent="0.3">
      <c r="A179" s="454">
        <f>Measures!A179</f>
        <v>172</v>
      </c>
      <c r="B179" s="425" t="str">
        <f>IF(Measures!AM179="Row Not Used","",IF(ISBLANK(Measures!V179),Measures!B179,_xlfn.CONCAT(Measures!B179," - ",Measures!V179)))</f>
        <v/>
      </c>
      <c r="C179" s="426" t="str">
        <f>IF(Measures!AM179="Row Not Used","",_xlfn.CONCAT(Measures!D179," - ",Measures!E179," - ",Measures!F179))</f>
        <v/>
      </c>
      <c r="D179" s="442" t="str">
        <f>IF(Measures!AM179="Row Not Used","",Measures!G179)</f>
        <v/>
      </c>
      <c r="E179" s="443" t="str">
        <f>IF(Measures!AM179="Row Not Used","",Measures!H179)</f>
        <v/>
      </c>
      <c r="F179" s="450" t="str">
        <f>IF(Measures!AM179="Row Not Used","",Measures!I179)</f>
        <v/>
      </c>
      <c r="G179" s="426" t="str">
        <f>IF(OR(Measures!AM179="Row Not Used",Measures!C179="Controls Only",Measures!C179="Decommissioning"),"",_xlfn.CONCAT(Measures!K179," - ",Measures!L179))</f>
        <v/>
      </c>
      <c r="H179" s="442" t="str">
        <f>IF(OR(Measures!AM179="Row Not Used",Measures!C179="Controls Only",Measures!C179="Decommissioning"),"",Measures!M179)</f>
        <v/>
      </c>
      <c r="I179" s="443" t="str">
        <f>IF(OR(Measures!AM179="Row Not Used",Measures!C179="Controls Only",Measures!C179="Decommissioning"),"",Measures!N179)</f>
        <v/>
      </c>
      <c r="J179" s="444" t="str">
        <f>IF(OR(Measures!AM179="Row Not Used",Measures!C179="Controls Only",Measures!C179="Decommissioning"),"",Measures!O179)</f>
        <v/>
      </c>
      <c r="K179" s="425" t="str">
        <f>IF(OR(Measures!AM179="Row Not Used",Measures!C179="Controls Only",Measures!C179="Decommissioning"),"",Measures!AS179)</f>
        <v/>
      </c>
      <c r="L179" s="426" t="str">
        <f>IF(OR(Measures!AM179="Row Not Used",Measures!AM179="Decommissioning",ISBLANK(Measures!R179)),"",Measures!R179)</f>
        <v/>
      </c>
      <c r="M179" s="431" t="str">
        <f>IF(OR(Measures!AM179="Row Not Used",Measures!AM179="Fixtures Only",Measures!AM179="Decommissioning"),"",Measures!S179)</f>
        <v/>
      </c>
      <c r="N179" s="432" t="str">
        <f>IF(Measures!AM179="Row Not Used","",Measures!AF179)</f>
        <v/>
      </c>
      <c r="O179" s="426" t="str">
        <f>IF(Measures!AM179="Row Not Used","",Measures!C179)</f>
        <v/>
      </c>
      <c r="P179" s="133" t="str">
        <f t="shared" si="2"/>
        <v>No</v>
      </c>
    </row>
    <row r="180" spans="1:16" ht="75.599999999999994" customHeight="1" x14ac:dyDescent="0.3">
      <c r="A180" s="454">
        <f>Measures!A180</f>
        <v>173</v>
      </c>
      <c r="B180" s="425" t="str">
        <f>IF(Measures!AM180="Row Not Used","",IF(ISBLANK(Measures!V180),Measures!B180,_xlfn.CONCAT(Measures!B180," - ",Measures!V180)))</f>
        <v/>
      </c>
      <c r="C180" s="426" t="str">
        <f>IF(Measures!AM180="Row Not Used","",_xlfn.CONCAT(Measures!D180," - ",Measures!E180," - ",Measures!F180))</f>
        <v/>
      </c>
      <c r="D180" s="442" t="str">
        <f>IF(Measures!AM180="Row Not Used","",Measures!G180)</f>
        <v/>
      </c>
      <c r="E180" s="443" t="str">
        <f>IF(Measures!AM180="Row Not Used","",Measures!H180)</f>
        <v/>
      </c>
      <c r="F180" s="450" t="str">
        <f>IF(Measures!AM180="Row Not Used","",Measures!I180)</f>
        <v/>
      </c>
      <c r="G180" s="426" t="str">
        <f>IF(OR(Measures!AM180="Row Not Used",Measures!C180="Controls Only",Measures!C180="Decommissioning"),"",_xlfn.CONCAT(Measures!K180," - ",Measures!L180))</f>
        <v/>
      </c>
      <c r="H180" s="442" t="str">
        <f>IF(OR(Measures!AM180="Row Not Used",Measures!C180="Controls Only",Measures!C180="Decommissioning"),"",Measures!M180)</f>
        <v/>
      </c>
      <c r="I180" s="443" t="str">
        <f>IF(OR(Measures!AM180="Row Not Used",Measures!C180="Controls Only",Measures!C180="Decommissioning"),"",Measures!N180)</f>
        <v/>
      </c>
      <c r="J180" s="444" t="str">
        <f>IF(OR(Measures!AM180="Row Not Used",Measures!C180="Controls Only",Measures!C180="Decommissioning"),"",Measures!O180)</f>
        <v/>
      </c>
      <c r="K180" s="425" t="str">
        <f>IF(OR(Measures!AM180="Row Not Used",Measures!C180="Controls Only",Measures!C180="Decommissioning"),"",Measures!AS180)</f>
        <v/>
      </c>
      <c r="L180" s="426" t="str">
        <f>IF(OR(Measures!AM180="Row Not Used",Measures!AM180="Decommissioning",ISBLANK(Measures!R180)),"",Measures!R180)</f>
        <v/>
      </c>
      <c r="M180" s="431" t="str">
        <f>IF(OR(Measures!AM180="Row Not Used",Measures!AM180="Fixtures Only",Measures!AM180="Decommissioning"),"",Measures!S180)</f>
        <v/>
      </c>
      <c r="N180" s="432" t="str">
        <f>IF(Measures!AM180="Row Not Used","",Measures!AF180)</f>
        <v/>
      </c>
      <c r="O180" s="426" t="str">
        <f>IF(Measures!AM180="Row Not Used","",Measures!C180)</f>
        <v/>
      </c>
      <c r="P180" s="133" t="str">
        <f t="shared" si="2"/>
        <v>No</v>
      </c>
    </row>
    <row r="181" spans="1:16" ht="75.599999999999994" customHeight="1" x14ac:dyDescent="0.3">
      <c r="A181" s="454">
        <f>Measures!A181</f>
        <v>174</v>
      </c>
      <c r="B181" s="425" t="str">
        <f>IF(Measures!AM181="Row Not Used","",IF(ISBLANK(Measures!V181),Measures!B181,_xlfn.CONCAT(Measures!B181," - ",Measures!V181)))</f>
        <v/>
      </c>
      <c r="C181" s="426" t="str">
        <f>IF(Measures!AM181="Row Not Used","",_xlfn.CONCAT(Measures!D181," - ",Measures!E181," - ",Measures!F181))</f>
        <v/>
      </c>
      <c r="D181" s="442" t="str">
        <f>IF(Measures!AM181="Row Not Used","",Measures!G181)</f>
        <v/>
      </c>
      <c r="E181" s="443" t="str">
        <f>IF(Measures!AM181="Row Not Used","",Measures!H181)</f>
        <v/>
      </c>
      <c r="F181" s="450" t="str">
        <f>IF(Measures!AM181="Row Not Used","",Measures!I181)</f>
        <v/>
      </c>
      <c r="G181" s="426" t="str">
        <f>IF(OR(Measures!AM181="Row Not Used",Measures!C181="Controls Only",Measures!C181="Decommissioning"),"",_xlfn.CONCAT(Measures!K181," - ",Measures!L181))</f>
        <v/>
      </c>
      <c r="H181" s="442" t="str">
        <f>IF(OR(Measures!AM181="Row Not Used",Measures!C181="Controls Only",Measures!C181="Decommissioning"),"",Measures!M181)</f>
        <v/>
      </c>
      <c r="I181" s="443" t="str">
        <f>IF(OR(Measures!AM181="Row Not Used",Measures!C181="Controls Only",Measures!C181="Decommissioning"),"",Measures!N181)</f>
        <v/>
      </c>
      <c r="J181" s="444" t="str">
        <f>IF(OR(Measures!AM181="Row Not Used",Measures!C181="Controls Only",Measures!C181="Decommissioning"),"",Measures!O181)</f>
        <v/>
      </c>
      <c r="K181" s="425" t="str">
        <f>IF(OR(Measures!AM181="Row Not Used",Measures!C181="Controls Only",Measures!C181="Decommissioning"),"",Measures!AS181)</f>
        <v/>
      </c>
      <c r="L181" s="426" t="str">
        <f>IF(OR(Measures!AM181="Row Not Used",Measures!AM181="Decommissioning",ISBLANK(Measures!R181)),"",Measures!R181)</f>
        <v/>
      </c>
      <c r="M181" s="431" t="str">
        <f>IF(OR(Measures!AM181="Row Not Used",Measures!AM181="Fixtures Only",Measures!AM181="Decommissioning"),"",Measures!S181)</f>
        <v/>
      </c>
      <c r="N181" s="432" t="str">
        <f>IF(Measures!AM181="Row Not Used","",Measures!AF181)</f>
        <v/>
      </c>
      <c r="O181" s="426" t="str">
        <f>IF(Measures!AM181="Row Not Used","",Measures!C181)</f>
        <v/>
      </c>
      <c r="P181" s="133" t="str">
        <f t="shared" si="2"/>
        <v>No</v>
      </c>
    </row>
    <row r="182" spans="1:16" ht="75.599999999999994" customHeight="1" x14ac:dyDescent="0.3">
      <c r="A182" s="454">
        <f>Measures!A182</f>
        <v>175</v>
      </c>
      <c r="B182" s="425" t="str">
        <f>IF(Measures!AM182="Row Not Used","",IF(ISBLANK(Measures!V182),Measures!B182,_xlfn.CONCAT(Measures!B182," - ",Measures!V182)))</f>
        <v/>
      </c>
      <c r="C182" s="426" t="str">
        <f>IF(Measures!AM182="Row Not Used","",_xlfn.CONCAT(Measures!D182," - ",Measures!E182," - ",Measures!F182))</f>
        <v/>
      </c>
      <c r="D182" s="442" t="str">
        <f>IF(Measures!AM182="Row Not Used","",Measures!G182)</f>
        <v/>
      </c>
      <c r="E182" s="443" t="str">
        <f>IF(Measures!AM182="Row Not Used","",Measures!H182)</f>
        <v/>
      </c>
      <c r="F182" s="450" t="str">
        <f>IF(Measures!AM182="Row Not Used","",Measures!I182)</f>
        <v/>
      </c>
      <c r="G182" s="426" t="str">
        <f>IF(OR(Measures!AM182="Row Not Used",Measures!C182="Controls Only",Measures!C182="Decommissioning"),"",_xlfn.CONCAT(Measures!K182," - ",Measures!L182))</f>
        <v/>
      </c>
      <c r="H182" s="442" t="str">
        <f>IF(OR(Measures!AM182="Row Not Used",Measures!C182="Controls Only",Measures!C182="Decommissioning"),"",Measures!M182)</f>
        <v/>
      </c>
      <c r="I182" s="443" t="str">
        <f>IF(OR(Measures!AM182="Row Not Used",Measures!C182="Controls Only",Measures!C182="Decommissioning"),"",Measures!N182)</f>
        <v/>
      </c>
      <c r="J182" s="444" t="str">
        <f>IF(OR(Measures!AM182="Row Not Used",Measures!C182="Controls Only",Measures!C182="Decommissioning"),"",Measures!O182)</f>
        <v/>
      </c>
      <c r="K182" s="425" t="str">
        <f>IF(OR(Measures!AM182="Row Not Used",Measures!C182="Controls Only",Measures!C182="Decommissioning"),"",Measures!AS182)</f>
        <v/>
      </c>
      <c r="L182" s="426" t="str">
        <f>IF(OR(Measures!AM182="Row Not Used",Measures!AM182="Decommissioning",ISBLANK(Measures!R182)),"",Measures!R182)</f>
        <v/>
      </c>
      <c r="M182" s="431" t="str">
        <f>IF(OR(Measures!AM182="Row Not Used",Measures!AM182="Fixtures Only",Measures!AM182="Decommissioning"),"",Measures!S182)</f>
        <v/>
      </c>
      <c r="N182" s="432" t="str">
        <f>IF(Measures!AM182="Row Not Used","",Measures!AF182)</f>
        <v/>
      </c>
      <c r="O182" s="426" t="str">
        <f>IF(Measures!AM182="Row Not Used","",Measures!C182)</f>
        <v/>
      </c>
      <c r="P182" s="133" t="str">
        <f t="shared" si="2"/>
        <v>No</v>
      </c>
    </row>
    <row r="183" spans="1:16" ht="75.599999999999994" customHeight="1" x14ac:dyDescent="0.3">
      <c r="A183" s="454">
        <f>Measures!A183</f>
        <v>176</v>
      </c>
      <c r="B183" s="425" t="str">
        <f>IF(Measures!AM183="Row Not Used","",IF(ISBLANK(Measures!V183),Measures!B183,_xlfn.CONCAT(Measures!B183," - ",Measures!V183)))</f>
        <v/>
      </c>
      <c r="C183" s="426" t="str">
        <f>IF(Measures!AM183="Row Not Used","",_xlfn.CONCAT(Measures!D183," - ",Measures!E183," - ",Measures!F183))</f>
        <v/>
      </c>
      <c r="D183" s="442" t="str">
        <f>IF(Measures!AM183="Row Not Used","",Measures!G183)</f>
        <v/>
      </c>
      <c r="E183" s="443" t="str">
        <f>IF(Measures!AM183="Row Not Used","",Measures!H183)</f>
        <v/>
      </c>
      <c r="F183" s="450" t="str">
        <f>IF(Measures!AM183="Row Not Used","",Measures!I183)</f>
        <v/>
      </c>
      <c r="G183" s="426" t="str">
        <f>IF(OR(Measures!AM183="Row Not Used",Measures!C183="Controls Only",Measures!C183="Decommissioning"),"",_xlfn.CONCAT(Measures!K183," - ",Measures!L183))</f>
        <v/>
      </c>
      <c r="H183" s="442" t="str">
        <f>IF(OR(Measures!AM183="Row Not Used",Measures!C183="Controls Only",Measures!C183="Decommissioning"),"",Measures!M183)</f>
        <v/>
      </c>
      <c r="I183" s="443" t="str">
        <f>IF(OR(Measures!AM183="Row Not Used",Measures!C183="Controls Only",Measures!C183="Decommissioning"),"",Measures!N183)</f>
        <v/>
      </c>
      <c r="J183" s="444" t="str">
        <f>IF(OR(Measures!AM183="Row Not Used",Measures!C183="Controls Only",Measures!C183="Decommissioning"),"",Measures!O183)</f>
        <v/>
      </c>
      <c r="K183" s="425" t="str">
        <f>IF(OR(Measures!AM183="Row Not Used",Measures!C183="Controls Only",Measures!C183="Decommissioning"),"",Measures!AS183)</f>
        <v/>
      </c>
      <c r="L183" s="426" t="str">
        <f>IF(OR(Measures!AM183="Row Not Used",Measures!AM183="Decommissioning",ISBLANK(Measures!R183)),"",Measures!R183)</f>
        <v/>
      </c>
      <c r="M183" s="431" t="str">
        <f>IF(OR(Measures!AM183="Row Not Used",Measures!AM183="Fixtures Only",Measures!AM183="Decommissioning"),"",Measures!S183)</f>
        <v/>
      </c>
      <c r="N183" s="432" t="str">
        <f>IF(Measures!AM183="Row Not Used","",Measures!AF183)</f>
        <v/>
      </c>
      <c r="O183" s="426" t="str">
        <f>IF(Measures!AM183="Row Not Used","",Measures!C183)</f>
        <v/>
      </c>
      <c r="P183" s="133" t="str">
        <f t="shared" si="2"/>
        <v>No</v>
      </c>
    </row>
    <row r="184" spans="1:16" ht="75.599999999999994" customHeight="1" x14ac:dyDescent="0.3">
      <c r="A184" s="454">
        <f>Measures!A184</f>
        <v>177</v>
      </c>
      <c r="B184" s="425" t="str">
        <f>IF(Measures!AM184="Row Not Used","",IF(ISBLANK(Measures!V184),Measures!B184,_xlfn.CONCAT(Measures!B184," - ",Measures!V184)))</f>
        <v/>
      </c>
      <c r="C184" s="426" t="str">
        <f>IF(Measures!AM184="Row Not Used","",_xlfn.CONCAT(Measures!D184," - ",Measures!E184," - ",Measures!F184))</f>
        <v/>
      </c>
      <c r="D184" s="442" t="str">
        <f>IF(Measures!AM184="Row Not Used","",Measures!G184)</f>
        <v/>
      </c>
      <c r="E184" s="443" t="str">
        <f>IF(Measures!AM184="Row Not Used","",Measures!H184)</f>
        <v/>
      </c>
      <c r="F184" s="450" t="str">
        <f>IF(Measures!AM184="Row Not Used","",Measures!I184)</f>
        <v/>
      </c>
      <c r="G184" s="426" t="str">
        <f>IF(OR(Measures!AM184="Row Not Used",Measures!C184="Controls Only",Measures!C184="Decommissioning"),"",_xlfn.CONCAT(Measures!K184," - ",Measures!L184))</f>
        <v/>
      </c>
      <c r="H184" s="442" t="str">
        <f>IF(OR(Measures!AM184="Row Not Used",Measures!C184="Controls Only",Measures!C184="Decommissioning"),"",Measures!M184)</f>
        <v/>
      </c>
      <c r="I184" s="443" t="str">
        <f>IF(OR(Measures!AM184="Row Not Used",Measures!C184="Controls Only",Measures!C184="Decommissioning"),"",Measures!N184)</f>
        <v/>
      </c>
      <c r="J184" s="444" t="str">
        <f>IF(OR(Measures!AM184="Row Not Used",Measures!C184="Controls Only",Measures!C184="Decommissioning"),"",Measures!O184)</f>
        <v/>
      </c>
      <c r="K184" s="425" t="str">
        <f>IF(OR(Measures!AM184="Row Not Used",Measures!C184="Controls Only",Measures!C184="Decommissioning"),"",Measures!AS184)</f>
        <v/>
      </c>
      <c r="L184" s="426" t="str">
        <f>IF(OR(Measures!AM184="Row Not Used",Measures!AM184="Decommissioning",ISBLANK(Measures!R184)),"",Measures!R184)</f>
        <v/>
      </c>
      <c r="M184" s="431" t="str">
        <f>IF(OR(Measures!AM184="Row Not Used",Measures!AM184="Fixtures Only",Measures!AM184="Decommissioning"),"",Measures!S184)</f>
        <v/>
      </c>
      <c r="N184" s="432" t="str">
        <f>IF(Measures!AM184="Row Not Used","",Measures!AF184)</f>
        <v/>
      </c>
      <c r="O184" s="426" t="str">
        <f>IF(Measures!AM184="Row Not Used","",Measures!C184)</f>
        <v/>
      </c>
      <c r="P184" s="133" t="str">
        <f t="shared" si="2"/>
        <v>No</v>
      </c>
    </row>
    <row r="185" spans="1:16" ht="75.599999999999994" customHeight="1" x14ac:dyDescent="0.3">
      <c r="A185" s="454">
        <f>Measures!A185</f>
        <v>178</v>
      </c>
      <c r="B185" s="425" t="str">
        <f>IF(Measures!AM185="Row Not Used","",IF(ISBLANK(Measures!V185),Measures!B185,_xlfn.CONCAT(Measures!B185," - ",Measures!V185)))</f>
        <v/>
      </c>
      <c r="C185" s="426" t="str">
        <f>IF(Measures!AM185="Row Not Used","",_xlfn.CONCAT(Measures!D185," - ",Measures!E185," - ",Measures!F185))</f>
        <v/>
      </c>
      <c r="D185" s="442" t="str">
        <f>IF(Measures!AM185="Row Not Used","",Measures!G185)</f>
        <v/>
      </c>
      <c r="E185" s="443" t="str">
        <f>IF(Measures!AM185="Row Not Used","",Measures!H185)</f>
        <v/>
      </c>
      <c r="F185" s="450" t="str">
        <f>IF(Measures!AM185="Row Not Used","",Measures!I185)</f>
        <v/>
      </c>
      <c r="G185" s="426" t="str">
        <f>IF(OR(Measures!AM185="Row Not Used",Measures!C185="Controls Only",Measures!C185="Decommissioning"),"",_xlfn.CONCAT(Measures!K185," - ",Measures!L185))</f>
        <v/>
      </c>
      <c r="H185" s="442" t="str">
        <f>IF(OR(Measures!AM185="Row Not Used",Measures!C185="Controls Only",Measures!C185="Decommissioning"),"",Measures!M185)</f>
        <v/>
      </c>
      <c r="I185" s="443" t="str">
        <f>IF(OR(Measures!AM185="Row Not Used",Measures!C185="Controls Only",Measures!C185="Decommissioning"),"",Measures!N185)</f>
        <v/>
      </c>
      <c r="J185" s="444" t="str">
        <f>IF(OR(Measures!AM185="Row Not Used",Measures!C185="Controls Only",Measures!C185="Decommissioning"),"",Measures!O185)</f>
        <v/>
      </c>
      <c r="K185" s="425" t="str">
        <f>IF(OR(Measures!AM185="Row Not Used",Measures!C185="Controls Only",Measures!C185="Decommissioning"),"",Measures!AS185)</f>
        <v/>
      </c>
      <c r="L185" s="426" t="str">
        <f>IF(OR(Measures!AM185="Row Not Used",Measures!AM185="Decommissioning",ISBLANK(Measures!R185)),"",Measures!R185)</f>
        <v/>
      </c>
      <c r="M185" s="431" t="str">
        <f>IF(OR(Measures!AM185="Row Not Used",Measures!AM185="Fixtures Only",Measures!AM185="Decommissioning"),"",Measures!S185)</f>
        <v/>
      </c>
      <c r="N185" s="432" t="str">
        <f>IF(Measures!AM185="Row Not Used","",Measures!AF185)</f>
        <v/>
      </c>
      <c r="O185" s="426" t="str">
        <f>IF(Measures!AM185="Row Not Used","",Measures!C185)</f>
        <v/>
      </c>
      <c r="P185" s="133" t="str">
        <f t="shared" si="2"/>
        <v>No</v>
      </c>
    </row>
    <row r="186" spans="1:16" ht="75.599999999999994" customHeight="1" x14ac:dyDescent="0.3">
      <c r="A186" s="454">
        <f>Measures!A186</f>
        <v>179</v>
      </c>
      <c r="B186" s="425" t="str">
        <f>IF(Measures!AM186="Row Not Used","",IF(ISBLANK(Measures!V186),Measures!B186,_xlfn.CONCAT(Measures!B186," - ",Measures!V186)))</f>
        <v/>
      </c>
      <c r="C186" s="426" t="str">
        <f>IF(Measures!AM186="Row Not Used","",_xlfn.CONCAT(Measures!D186," - ",Measures!E186," - ",Measures!F186))</f>
        <v/>
      </c>
      <c r="D186" s="442" t="str">
        <f>IF(Measures!AM186="Row Not Used","",Measures!G186)</f>
        <v/>
      </c>
      <c r="E186" s="443" t="str">
        <f>IF(Measures!AM186="Row Not Used","",Measures!H186)</f>
        <v/>
      </c>
      <c r="F186" s="450" t="str">
        <f>IF(Measures!AM186="Row Not Used","",Measures!I186)</f>
        <v/>
      </c>
      <c r="G186" s="426" t="str">
        <f>IF(OR(Measures!AM186="Row Not Used",Measures!C186="Controls Only",Measures!C186="Decommissioning"),"",_xlfn.CONCAT(Measures!K186," - ",Measures!L186))</f>
        <v/>
      </c>
      <c r="H186" s="442" t="str">
        <f>IF(OR(Measures!AM186="Row Not Used",Measures!C186="Controls Only",Measures!C186="Decommissioning"),"",Measures!M186)</f>
        <v/>
      </c>
      <c r="I186" s="443" t="str">
        <f>IF(OR(Measures!AM186="Row Not Used",Measures!C186="Controls Only",Measures!C186="Decommissioning"),"",Measures!N186)</f>
        <v/>
      </c>
      <c r="J186" s="444" t="str">
        <f>IF(OR(Measures!AM186="Row Not Used",Measures!C186="Controls Only",Measures!C186="Decommissioning"),"",Measures!O186)</f>
        <v/>
      </c>
      <c r="K186" s="425" t="str">
        <f>IF(OR(Measures!AM186="Row Not Used",Measures!C186="Controls Only",Measures!C186="Decommissioning"),"",Measures!AS186)</f>
        <v/>
      </c>
      <c r="L186" s="426" t="str">
        <f>IF(OR(Measures!AM186="Row Not Used",Measures!AM186="Decommissioning",ISBLANK(Measures!R186)),"",Measures!R186)</f>
        <v/>
      </c>
      <c r="M186" s="431" t="str">
        <f>IF(OR(Measures!AM186="Row Not Used",Measures!AM186="Fixtures Only",Measures!AM186="Decommissioning"),"",Measures!S186)</f>
        <v/>
      </c>
      <c r="N186" s="432" t="str">
        <f>IF(Measures!AM186="Row Not Used","",Measures!AF186)</f>
        <v/>
      </c>
      <c r="O186" s="426" t="str">
        <f>IF(Measures!AM186="Row Not Used","",Measures!C186)</f>
        <v/>
      </c>
      <c r="P186" s="133" t="str">
        <f t="shared" si="2"/>
        <v>No</v>
      </c>
    </row>
    <row r="187" spans="1:16" ht="75.599999999999994" customHeight="1" x14ac:dyDescent="0.3">
      <c r="A187" s="454">
        <f>Measures!A187</f>
        <v>180</v>
      </c>
      <c r="B187" s="425" t="str">
        <f>IF(Measures!AM187="Row Not Used","",IF(ISBLANK(Measures!V187),Measures!B187,_xlfn.CONCAT(Measures!B187," - ",Measures!V187)))</f>
        <v/>
      </c>
      <c r="C187" s="426" t="str">
        <f>IF(Measures!AM187="Row Not Used","",_xlfn.CONCAT(Measures!D187," - ",Measures!E187," - ",Measures!F187))</f>
        <v/>
      </c>
      <c r="D187" s="442" t="str">
        <f>IF(Measures!AM187="Row Not Used","",Measures!G187)</f>
        <v/>
      </c>
      <c r="E187" s="443" t="str">
        <f>IF(Measures!AM187="Row Not Used","",Measures!H187)</f>
        <v/>
      </c>
      <c r="F187" s="450" t="str">
        <f>IF(Measures!AM187="Row Not Used","",Measures!I187)</f>
        <v/>
      </c>
      <c r="G187" s="426" t="str">
        <f>IF(OR(Measures!AM187="Row Not Used",Measures!C187="Controls Only",Measures!C187="Decommissioning"),"",_xlfn.CONCAT(Measures!K187," - ",Measures!L187))</f>
        <v/>
      </c>
      <c r="H187" s="442" t="str">
        <f>IF(OR(Measures!AM187="Row Not Used",Measures!C187="Controls Only",Measures!C187="Decommissioning"),"",Measures!M187)</f>
        <v/>
      </c>
      <c r="I187" s="443" t="str">
        <f>IF(OR(Measures!AM187="Row Not Used",Measures!C187="Controls Only",Measures!C187="Decommissioning"),"",Measures!N187)</f>
        <v/>
      </c>
      <c r="J187" s="444" t="str">
        <f>IF(OR(Measures!AM187="Row Not Used",Measures!C187="Controls Only",Measures!C187="Decommissioning"),"",Measures!O187)</f>
        <v/>
      </c>
      <c r="K187" s="425" t="str">
        <f>IF(OR(Measures!AM187="Row Not Used",Measures!C187="Controls Only",Measures!C187="Decommissioning"),"",Measures!AS187)</f>
        <v/>
      </c>
      <c r="L187" s="426" t="str">
        <f>IF(OR(Measures!AM187="Row Not Used",Measures!AM187="Decommissioning",ISBLANK(Measures!R187)),"",Measures!R187)</f>
        <v/>
      </c>
      <c r="M187" s="431" t="str">
        <f>IF(OR(Measures!AM187="Row Not Used",Measures!AM187="Fixtures Only",Measures!AM187="Decommissioning"),"",Measures!S187)</f>
        <v/>
      </c>
      <c r="N187" s="432" t="str">
        <f>IF(Measures!AM187="Row Not Used","",Measures!AF187)</f>
        <v/>
      </c>
      <c r="O187" s="426" t="str">
        <f>IF(Measures!AM187="Row Not Used","",Measures!C187)</f>
        <v/>
      </c>
      <c r="P187" s="133" t="str">
        <f t="shared" si="2"/>
        <v>No</v>
      </c>
    </row>
    <row r="188" spans="1:16" ht="75.599999999999994" customHeight="1" x14ac:dyDescent="0.3">
      <c r="A188" s="454">
        <f>Measures!A188</f>
        <v>181</v>
      </c>
      <c r="B188" s="425" t="str">
        <f>IF(Measures!AM188="Row Not Used","",IF(ISBLANK(Measures!V188),Measures!B188,_xlfn.CONCAT(Measures!B188," - ",Measures!V188)))</f>
        <v/>
      </c>
      <c r="C188" s="426" t="str">
        <f>IF(Measures!AM188="Row Not Used","",_xlfn.CONCAT(Measures!D188," - ",Measures!E188," - ",Measures!F188))</f>
        <v/>
      </c>
      <c r="D188" s="442" t="str">
        <f>IF(Measures!AM188="Row Not Used","",Measures!G188)</f>
        <v/>
      </c>
      <c r="E188" s="443" t="str">
        <f>IF(Measures!AM188="Row Not Used","",Measures!H188)</f>
        <v/>
      </c>
      <c r="F188" s="450" t="str">
        <f>IF(Measures!AM188="Row Not Used","",Measures!I188)</f>
        <v/>
      </c>
      <c r="G188" s="426" t="str">
        <f>IF(OR(Measures!AM188="Row Not Used",Measures!C188="Controls Only",Measures!C188="Decommissioning"),"",_xlfn.CONCAT(Measures!K188," - ",Measures!L188))</f>
        <v/>
      </c>
      <c r="H188" s="442" t="str">
        <f>IF(OR(Measures!AM188="Row Not Used",Measures!C188="Controls Only",Measures!C188="Decommissioning"),"",Measures!M188)</f>
        <v/>
      </c>
      <c r="I188" s="443" t="str">
        <f>IF(OR(Measures!AM188="Row Not Used",Measures!C188="Controls Only",Measures!C188="Decommissioning"),"",Measures!N188)</f>
        <v/>
      </c>
      <c r="J188" s="444" t="str">
        <f>IF(OR(Measures!AM188="Row Not Used",Measures!C188="Controls Only",Measures!C188="Decommissioning"),"",Measures!O188)</f>
        <v/>
      </c>
      <c r="K188" s="425" t="str">
        <f>IF(OR(Measures!AM188="Row Not Used",Measures!C188="Controls Only",Measures!C188="Decommissioning"),"",Measures!AS188)</f>
        <v/>
      </c>
      <c r="L188" s="426" t="str">
        <f>IF(OR(Measures!AM188="Row Not Used",Measures!AM188="Decommissioning",ISBLANK(Measures!R188)),"",Measures!R188)</f>
        <v/>
      </c>
      <c r="M188" s="431" t="str">
        <f>IF(OR(Measures!AM188="Row Not Used",Measures!AM188="Fixtures Only",Measures!AM188="Decommissioning"),"",Measures!S188)</f>
        <v/>
      </c>
      <c r="N188" s="432" t="str">
        <f>IF(Measures!AM188="Row Not Used","",Measures!AF188)</f>
        <v/>
      </c>
      <c r="O188" s="426" t="str">
        <f>IF(Measures!AM188="Row Not Used","",Measures!C188)</f>
        <v/>
      </c>
      <c r="P188" s="133" t="str">
        <f t="shared" si="2"/>
        <v>No</v>
      </c>
    </row>
    <row r="189" spans="1:16" ht="75.599999999999994" customHeight="1" x14ac:dyDescent="0.3">
      <c r="A189" s="454">
        <f>Measures!A189</f>
        <v>182</v>
      </c>
      <c r="B189" s="425" t="str">
        <f>IF(Measures!AM189="Row Not Used","",IF(ISBLANK(Measures!V189),Measures!B189,_xlfn.CONCAT(Measures!B189," - ",Measures!V189)))</f>
        <v/>
      </c>
      <c r="C189" s="426" t="str">
        <f>IF(Measures!AM189="Row Not Used","",_xlfn.CONCAT(Measures!D189," - ",Measures!E189," - ",Measures!F189))</f>
        <v/>
      </c>
      <c r="D189" s="442" t="str">
        <f>IF(Measures!AM189="Row Not Used","",Measures!G189)</f>
        <v/>
      </c>
      <c r="E189" s="443" t="str">
        <f>IF(Measures!AM189="Row Not Used","",Measures!H189)</f>
        <v/>
      </c>
      <c r="F189" s="450" t="str">
        <f>IF(Measures!AM189="Row Not Used","",Measures!I189)</f>
        <v/>
      </c>
      <c r="G189" s="426" t="str">
        <f>IF(OR(Measures!AM189="Row Not Used",Measures!C189="Controls Only",Measures!C189="Decommissioning"),"",_xlfn.CONCAT(Measures!K189," - ",Measures!L189))</f>
        <v/>
      </c>
      <c r="H189" s="442" t="str">
        <f>IF(OR(Measures!AM189="Row Not Used",Measures!C189="Controls Only",Measures!C189="Decommissioning"),"",Measures!M189)</f>
        <v/>
      </c>
      <c r="I189" s="443" t="str">
        <f>IF(OR(Measures!AM189="Row Not Used",Measures!C189="Controls Only",Measures!C189="Decommissioning"),"",Measures!N189)</f>
        <v/>
      </c>
      <c r="J189" s="444" t="str">
        <f>IF(OR(Measures!AM189="Row Not Used",Measures!C189="Controls Only",Measures!C189="Decommissioning"),"",Measures!O189)</f>
        <v/>
      </c>
      <c r="K189" s="425" t="str">
        <f>IF(OR(Measures!AM189="Row Not Used",Measures!C189="Controls Only",Measures!C189="Decommissioning"),"",Measures!AS189)</f>
        <v/>
      </c>
      <c r="L189" s="426" t="str">
        <f>IF(OR(Measures!AM189="Row Not Used",Measures!AM189="Decommissioning",ISBLANK(Measures!R189)),"",Measures!R189)</f>
        <v/>
      </c>
      <c r="M189" s="431" t="str">
        <f>IF(OR(Measures!AM189="Row Not Used",Measures!AM189="Fixtures Only",Measures!AM189="Decommissioning"),"",Measures!S189)</f>
        <v/>
      </c>
      <c r="N189" s="432" t="str">
        <f>IF(Measures!AM189="Row Not Used","",Measures!AF189)</f>
        <v/>
      </c>
      <c r="O189" s="426" t="str">
        <f>IF(Measures!AM189="Row Not Used","",Measures!C189)</f>
        <v/>
      </c>
      <c r="P189" s="133" t="str">
        <f t="shared" si="2"/>
        <v>No</v>
      </c>
    </row>
    <row r="190" spans="1:16" ht="75.599999999999994" customHeight="1" x14ac:dyDescent="0.3">
      <c r="A190" s="454">
        <f>Measures!A190</f>
        <v>183</v>
      </c>
      <c r="B190" s="425" t="str">
        <f>IF(Measures!AM190="Row Not Used","",IF(ISBLANK(Measures!V190),Measures!B190,_xlfn.CONCAT(Measures!B190," - ",Measures!V190)))</f>
        <v/>
      </c>
      <c r="C190" s="426" t="str">
        <f>IF(Measures!AM190="Row Not Used","",_xlfn.CONCAT(Measures!D190," - ",Measures!E190," - ",Measures!F190))</f>
        <v/>
      </c>
      <c r="D190" s="442" t="str">
        <f>IF(Measures!AM190="Row Not Used","",Measures!G190)</f>
        <v/>
      </c>
      <c r="E190" s="443" t="str">
        <f>IF(Measures!AM190="Row Not Used","",Measures!H190)</f>
        <v/>
      </c>
      <c r="F190" s="450" t="str">
        <f>IF(Measures!AM190="Row Not Used","",Measures!I190)</f>
        <v/>
      </c>
      <c r="G190" s="426" t="str">
        <f>IF(OR(Measures!AM190="Row Not Used",Measures!C190="Controls Only",Measures!C190="Decommissioning"),"",_xlfn.CONCAT(Measures!K190," - ",Measures!L190))</f>
        <v/>
      </c>
      <c r="H190" s="442" t="str">
        <f>IF(OR(Measures!AM190="Row Not Used",Measures!C190="Controls Only",Measures!C190="Decommissioning"),"",Measures!M190)</f>
        <v/>
      </c>
      <c r="I190" s="443" t="str">
        <f>IF(OR(Measures!AM190="Row Not Used",Measures!C190="Controls Only",Measures!C190="Decommissioning"),"",Measures!N190)</f>
        <v/>
      </c>
      <c r="J190" s="444" t="str">
        <f>IF(OR(Measures!AM190="Row Not Used",Measures!C190="Controls Only",Measures!C190="Decommissioning"),"",Measures!O190)</f>
        <v/>
      </c>
      <c r="K190" s="425" t="str">
        <f>IF(OR(Measures!AM190="Row Not Used",Measures!C190="Controls Only",Measures!C190="Decommissioning"),"",Measures!AS190)</f>
        <v/>
      </c>
      <c r="L190" s="426" t="str">
        <f>IF(OR(Measures!AM190="Row Not Used",Measures!AM190="Decommissioning",ISBLANK(Measures!R190)),"",Measures!R190)</f>
        <v/>
      </c>
      <c r="M190" s="431" t="str">
        <f>IF(OR(Measures!AM190="Row Not Used",Measures!AM190="Fixtures Only",Measures!AM190="Decommissioning"),"",Measures!S190)</f>
        <v/>
      </c>
      <c r="N190" s="432" t="str">
        <f>IF(Measures!AM190="Row Not Used","",Measures!AF190)</f>
        <v/>
      </c>
      <c r="O190" s="426" t="str">
        <f>IF(Measures!AM190="Row Not Used","",Measures!C190)</f>
        <v/>
      </c>
      <c r="P190" s="133" t="str">
        <f t="shared" si="2"/>
        <v>No</v>
      </c>
    </row>
    <row r="191" spans="1:16" ht="75.599999999999994" customHeight="1" x14ac:dyDescent="0.3">
      <c r="A191" s="454">
        <f>Measures!A191</f>
        <v>184</v>
      </c>
      <c r="B191" s="425" t="str">
        <f>IF(Measures!AM191="Row Not Used","",IF(ISBLANK(Measures!V191),Measures!B191,_xlfn.CONCAT(Measures!B191," - ",Measures!V191)))</f>
        <v/>
      </c>
      <c r="C191" s="426" t="str">
        <f>IF(Measures!AM191="Row Not Used","",_xlfn.CONCAT(Measures!D191," - ",Measures!E191," - ",Measures!F191))</f>
        <v/>
      </c>
      <c r="D191" s="442" t="str">
        <f>IF(Measures!AM191="Row Not Used","",Measures!G191)</f>
        <v/>
      </c>
      <c r="E191" s="443" t="str">
        <f>IF(Measures!AM191="Row Not Used","",Measures!H191)</f>
        <v/>
      </c>
      <c r="F191" s="450" t="str">
        <f>IF(Measures!AM191="Row Not Used","",Measures!I191)</f>
        <v/>
      </c>
      <c r="G191" s="426" t="str">
        <f>IF(OR(Measures!AM191="Row Not Used",Measures!C191="Controls Only",Measures!C191="Decommissioning"),"",_xlfn.CONCAT(Measures!K191," - ",Measures!L191))</f>
        <v/>
      </c>
      <c r="H191" s="442" t="str">
        <f>IF(OR(Measures!AM191="Row Not Used",Measures!C191="Controls Only",Measures!C191="Decommissioning"),"",Measures!M191)</f>
        <v/>
      </c>
      <c r="I191" s="443" t="str">
        <f>IF(OR(Measures!AM191="Row Not Used",Measures!C191="Controls Only",Measures!C191="Decommissioning"),"",Measures!N191)</f>
        <v/>
      </c>
      <c r="J191" s="444" t="str">
        <f>IF(OR(Measures!AM191="Row Not Used",Measures!C191="Controls Only",Measures!C191="Decommissioning"),"",Measures!O191)</f>
        <v/>
      </c>
      <c r="K191" s="425" t="str">
        <f>IF(OR(Measures!AM191="Row Not Used",Measures!C191="Controls Only",Measures!C191="Decommissioning"),"",Measures!AS191)</f>
        <v/>
      </c>
      <c r="L191" s="426" t="str">
        <f>IF(OR(Measures!AM191="Row Not Used",Measures!AM191="Decommissioning",ISBLANK(Measures!R191)),"",Measures!R191)</f>
        <v/>
      </c>
      <c r="M191" s="431" t="str">
        <f>IF(OR(Measures!AM191="Row Not Used",Measures!AM191="Fixtures Only",Measures!AM191="Decommissioning"),"",Measures!S191)</f>
        <v/>
      </c>
      <c r="N191" s="432" t="str">
        <f>IF(Measures!AM191="Row Not Used","",Measures!AF191)</f>
        <v/>
      </c>
      <c r="O191" s="426" t="str">
        <f>IF(Measures!AM191="Row Not Used","",Measures!C191)</f>
        <v/>
      </c>
      <c r="P191" s="133" t="str">
        <f t="shared" si="2"/>
        <v>No</v>
      </c>
    </row>
    <row r="192" spans="1:16" ht="75.599999999999994" customHeight="1" x14ac:dyDescent="0.3">
      <c r="A192" s="454">
        <f>Measures!A192</f>
        <v>185</v>
      </c>
      <c r="B192" s="425" t="str">
        <f>IF(Measures!AM192="Row Not Used","",IF(ISBLANK(Measures!V192),Measures!B192,_xlfn.CONCAT(Measures!B192," - ",Measures!V192)))</f>
        <v/>
      </c>
      <c r="C192" s="426" t="str">
        <f>IF(Measures!AM192="Row Not Used","",_xlfn.CONCAT(Measures!D192," - ",Measures!E192," - ",Measures!F192))</f>
        <v/>
      </c>
      <c r="D192" s="442" t="str">
        <f>IF(Measures!AM192="Row Not Used","",Measures!G192)</f>
        <v/>
      </c>
      <c r="E192" s="443" t="str">
        <f>IF(Measures!AM192="Row Not Used","",Measures!H192)</f>
        <v/>
      </c>
      <c r="F192" s="450" t="str">
        <f>IF(Measures!AM192="Row Not Used","",Measures!I192)</f>
        <v/>
      </c>
      <c r="G192" s="426" t="str">
        <f>IF(OR(Measures!AM192="Row Not Used",Measures!C192="Controls Only",Measures!C192="Decommissioning"),"",_xlfn.CONCAT(Measures!K192," - ",Measures!L192))</f>
        <v/>
      </c>
      <c r="H192" s="442" t="str">
        <f>IF(OR(Measures!AM192="Row Not Used",Measures!C192="Controls Only",Measures!C192="Decommissioning"),"",Measures!M192)</f>
        <v/>
      </c>
      <c r="I192" s="443" t="str">
        <f>IF(OR(Measures!AM192="Row Not Used",Measures!C192="Controls Only",Measures!C192="Decommissioning"),"",Measures!N192)</f>
        <v/>
      </c>
      <c r="J192" s="444" t="str">
        <f>IF(OR(Measures!AM192="Row Not Used",Measures!C192="Controls Only",Measures!C192="Decommissioning"),"",Measures!O192)</f>
        <v/>
      </c>
      <c r="K192" s="425" t="str">
        <f>IF(OR(Measures!AM192="Row Not Used",Measures!C192="Controls Only",Measures!C192="Decommissioning"),"",Measures!AS192)</f>
        <v/>
      </c>
      <c r="L192" s="426" t="str">
        <f>IF(OR(Measures!AM192="Row Not Used",Measures!AM192="Decommissioning",ISBLANK(Measures!R192)),"",Measures!R192)</f>
        <v/>
      </c>
      <c r="M192" s="431" t="str">
        <f>IF(OR(Measures!AM192="Row Not Used",Measures!AM192="Fixtures Only",Measures!AM192="Decommissioning"),"",Measures!S192)</f>
        <v/>
      </c>
      <c r="N192" s="432" t="str">
        <f>IF(Measures!AM192="Row Not Used","",Measures!AF192)</f>
        <v/>
      </c>
      <c r="O192" s="426" t="str">
        <f>IF(Measures!AM192="Row Not Used","",Measures!C192)</f>
        <v/>
      </c>
      <c r="P192" s="133" t="str">
        <f t="shared" si="2"/>
        <v>No</v>
      </c>
    </row>
    <row r="193" spans="1:16" ht="75.599999999999994" customHeight="1" x14ac:dyDescent="0.3">
      <c r="A193" s="454">
        <f>Measures!A193</f>
        <v>186</v>
      </c>
      <c r="B193" s="425" t="str">
        <f>IF(Measures!AM193="Row Not Used","",IF(ISBLANK(Measures!V193),Measures!B193,_xlfn.CONCAT(Measures!B193," - ",Measures!V193)))</f>
        <v/>
      </c>
      <c r="C193" s="426" t="str">
        <f>IF(Measures!AM193="Row Not Used","",_xlfn.CONCAT(Measures!D193," - ",Measures!E193," - ",Measures!F193))</f>
        <v/>
      </c>
      <c r="D193" s="442" t="str">
        <f>IF(Measures!AM193="Row Not Used","",Measures!G193)</f>
        <v/>
      </c>
      <c r="E193" s="443" t="str">
        <f>IF(Measures!AM193="Row Not Used","",Measures!H193)</f>
        <v/>
      </c>
      <c r="F193" s="450" t="str">
        <f>IF(Measures!AM193="Row Not Used","",Measures!I193)</f>
        <v/>
      </c>
      <c r="G193" s="426" t="str">
        <f>IF(OR(Measures!AM193="Row Not Used",Measures!C193="Controls Only",Measures!C193="Decommissioning"),"",_xlfn.CONCAT(Measures!K193," - ",Measures!L193))</f>
        <v/>
      </c>
      <c r="H193" s="442" t="str">
        <f>IF(OR(Measures!AM193="Row Not Used",Measures!C193="Controls Only",Measures!C193="Decommissioning"),"",Measures!M193)</f>
        <v/>
      </c>
      <c r="I193" s="443" t="str">
        <f>IF(OR(Measures!AM193="Row Not Used",Measures!C193="Controls Only",Measures!C193="Decommissioning"),"",Measures!N193)</f>
        <v/>
      </c>
      <c r="J193" s="444" t="str">
        <f>IF(OR(Measures!AM193="Row Not Used",Measures!C193="Controls Only",Measures!C193="Decommissioning"),"",Measures!O193)</f>
        <v/>
      </c>
      <c r="K193" s="425" t="str">
        <f>IF(OR(Measures!AM193="Row Not Used",Measures!C193="Controls Only",Measures!C193="Decommissioning"),"",Measures!AS193)</f>
        <v/>
      </c>
      <c r="L193" s="426" t="str">
        <f>IF(OR(Measures!AM193="Row Not Used",Measures!AM193="Decommissioning",ISBLANK(Measures!R193)),"",Measures!R193)</f>
        <v/>
      </c>
      <c r="M193" s="431" t="str">
        <f>IF(OR(Measures!AM193="Row Not Used",Measures!AM193="Fixtures Only",Measures!AM193="Decommissioning"),"",Measures!S193)</f>
        <v/>
      </c>
      <c r="N193" s="432" t="str">
        <f>IF(Measures!AM193="Row Not Used","",Measures!AF193)</f>
        <v/>
      </c>
      <c r="O193" s="426" t="str">
        <f>IF(Measures!AM193="Row Not Used","",Measures!C193)</f>
        <v/>
      </c>
      <c r="P193" s="133" t="str">
        <f t="shared" si="2"/>
        <v>No</v>
      </c>
    </row>
    <row r="194" spans="1:16" ht="75.599999999999994" customHeight="1" x14ac:dyDescent="0.3">
      <c r="A194" s="454">
        <f>Measures!A194</f>
        <v>187</v>
      </c>
      <c r="B194" s="425" t="str">
        <f>IF(Measures!AM194="Row Not Used","",IF(ISBLANK(Measures!V194),Measures!B194,_xlfn.CONCAT(Measures!B194," - ",Measures!V194)))</f>
        <v/>
      </c>
      <c r="C194" s="426" t="str">
        <f>IF(Measures!AM194="Row Not Used","",_xlfn.CONCAT(Measures!D194," - ",Measures!E194," - ",Measures!F194))</f>
        <v/>
      </c>
      <c r="D194" s="442" t="str">
        <f>IF(Measures!AM194="Row Not Used","",Measures!G194)</f>
        <v/>
      </c>
      <c r="E194" s="443" t="str">
        <f>IF(Measures!AM194="Row Not Used","",Measures!H194)</f>
        <v/>
      </c>
      <c r="F194" s="450" t="str">
        <f>IF(Measures!AM194="Row Not Used","",Measures!I194)</f>
        <v/>
      </c>
      <c r="G194" s="426" t="str">
        <f>IF(OR(Measures!AM194="Row Not Used",Measures!C194="Controls Only",Measures!C194="Decommissioning"),"",_xlfn.CONCAT(Measures!K194," - ",Measures!L194))</f>
        <v/>
      </c>
      <c r="H194" s="442" t="str">
        <f>IF(OR(Measures!AM194="Row Not Used",Measures!C194="Controls Only",Measures!C194="Decommissioning"),"",Measures!M194)</f>
        <v/>
      </c>
      <c r="I194" s="443" t="str">
        <f>IF(OR(Measures!AM194="Row Not Used",Measures!C194="Controls Only",Measures!C194="Decommissioning"),"",Measures!N194)</f>
        <v/>
      </c>
      <c r="J194" s="444" t="str">
        <f>IF(OR(Measures!AM194="Row Not Used",Measures!C194="Controls Only",Measures!C194="Decommissioning"),"",Measures!O194)</f>
        <v/>
      </c>
      <c r="K194" s="425" t="str">
        <f>IF(OR(Measures!AM194="Row Not Used",Measures!C194="Controls Only",Measures!C194="Decommissioning"),"",Measures!AS194)</f>
        <v/>
      </c>
      <c r="L194" s="426" t="str">
        <f>IF(OR(Measures!AM194="Row Not Used",Measures!AM194="Decommissioning",ISBLANK(Measures!R194)),"",Measures!R194)</f>
        <v/>
      </c>
      <c r="M194" s="431" t="str">
        <f>IF(OR(Measures!AM194="Row Not Used",Measures!AM194="Fixtures Only",Measures!AM194="Decommissioning"),"",Measures!S194)</f>
        <v/>
      </c>
      <c r="N194" s="432" t="str">
        <f>IF(Measures!AM194="Row Not Used","",Measures!AF194)</f>
        <v/>
      </c>
      <c r="O194" s="426" t="str">
        <f>IF(Measures!AM194="Row Not Used","",Measures!C194)</f>
        <v/>
      </c>
      <c r="P194" s="133" t="str">
        <f t="shared" si="2"/>
        <v>No</v>
      </c>
    </row>
    <row r="195" spans="1:16" ht="75.599999999999994" customHeight="1" x14ac:dyDescent="0.3">
      <c r="A195" s="454">
        <f>Measures!A195</f>
        <v>188</v>
      </c>
      <c r="B195" s="425" t="str">
        <f>IF(Measures!AM195="Row Not Used","",IF(ISBLANK(Measures!V195),Measures!B195,_xlfn.CONCAT(Measures!B195," - ",Measures!V195)))</f>
        <v/>
      </c>
      <c r="C195" s="426" t="str">
        <f>IF(Measures!AM195="Row Not Used","",_xlfn.CONCAT(Measures!D195," - ",Measures!E195," - ",Measures!F195))</f>
        <v/>
      </c>
      <c r="D195" s="442" t="str">
        <f>IF(Measures!AM195="Row Not Used","",Measures!G195)</f>
        <v/>
      </c>
      <c r="E195" s="443" t="str">
        <f>IF(Measures!AM195="Row Not Used","",Measures!H195)</f>
        <v/>
      </c>
      <c r="F195" s="450" t="str">
        <f>IF(Measures!AM195="Row Not Used","",Measures!I195)</f>
        <v/>
      </c>
      <c r="G195" s="426" t="str">
        <f>IF(OR(Measures!AM195="Row Not Used",Measures!C195="Controls Only",Measures!C195="Decommissioning"),"",_xlfn.CONCAT(Measures!K195," - ",Measures!L195))</f>
        <v/>
      </c>
      <c r="H195" s="442" t="str">
        <f>IF(OR(Measures!AM195="Row Not Used",Measures!C195="Controls Only",Measures!C195="Decommissioning"),"",Measures!M195)</f>
        <v/>
      </c>
      <c r="I195" s="443" t="str">
        <f>IF(OR(Measures!AM195="Row Not Used",Measures!C195="Controls Only",Measures!C195="Decommissioning"),"",Measures!N195)</f>
        <v/>
      </c>
      <c r="J195" s="444" t="str">
        <f>IF(OR(Measures!AM195="Row Not Used",Measures!C195="Controls Only",Measures!C195="Decommissioning"),"",Measures!O195)</f>
        <v/>
      </c>
      <c r="K195" s="425" t="str">
        <f>IF(OR(Measures!AM195="Row Not Used",Measures!C195="Controls Only",Measures!C195="Decommissioning"),"",Measures!AS195)</f>
        <v/>
      </c>
      <c r="L195" s="426" t="str">
        <f>IF(OR(Measures!AM195="Row Not Used",Measures!AM195="Decommissioning",ISBLANK(Measures!R195)),"",Measures!R195)</f>
        <v/>
      </c>
      <c r="M195" s="431" t="str">
        <f>IF(OR(Measures!AM195="Row Not Used",Measures!AM195="Fixtures Only",Measures!AM195="Decommissioning"),"",Measures!S195)</f>
        <v/>
      </c>
      <c r="N195" s="432" t="str">
        <f>IF(Measures!AM195="Row Not Used","",Measures!AF195)</f>
        <v/>
      </c>
      <c r="O195" s="426" t="str">
        <f>IF(Measures!AM195="Row Not Used","",Measures!C195)</f>
        <v/>
      </c>
      <c r="P195" s="133" t="str">
        <f t="shared" si="2"/>
        <v>No</v>
      </c>
    </row>
    <row r="196" spans="1:16" ht="75.599999999999994" customHeight="1" x14ac:dyDescent="0.3">
      <c r="A196" s="454">
        <f>Measures!A196</f>
        <v>189</v>
      </c>
      <c r="B196" s="425" t="str">
        <f>IF(Measures!AM196="Row Not Used","",IF(ISBLANK(Measures!V196),Measures!B196,_xlfn.CONCAT(Measures!B196," - ",Measures!V196)))</f>
        <v/>
      </c>
      <c r="C196" s="426" t="str">
        <f>IF(Measures!AM196="Row Not Used","",_xlfn.CONCAT(Measures!D196," - ",Measures!E196," - ",Measures!F196))</f>
        <v/>
      </c>
      <c r="D196" s="442" t="str">
        <f>IF(Measures!AM196="Row Not Used","",Measures!G196)</f>
        <v/>
      </c>
      <c r="E196" s="443" t="str">
        <f>IF(Measures!AM196="Row Not Used","",Measures!H196)</f>
        <v/>
      </c>
      <c r="F196" s="450" t="str">
        <f>IF(Measures!AM196="Row Not Used","",Measures!I196)</f>
        <v/>
      </c>
      <c r="G196" s="426" t="str">
        <f>IF(OR(Measures!AM196="Row Not Used",Measures!C196="Controls Only",Measures!C196="Decommissioning"),"",_xlfn.CONCAT(Measures!K196," - ",Measures!L196))</f>
        <v/>
      </c>
      <c r="H196" s="442" t="str">
        <f>IF(OR(Measures!AM196="Row Not Used",Measures!C196="Controls Only",Measures!C196="Decommissioning"),"",Measures!M196)</f>
        <v/>
      </c>
      <c r="I196" s="443" t="str">
        <f>IF(OR(Measures!AM196="Row Not Used",Measures!C196="Controls Only",Measures!C196="Decommissioning"),"",Measures!N196)</f>
        <v/>
      </c>
      <c r="J196" s="444" t="str">
        <f>IF(OR(Measures!AM196="Row Not Used",Measures!C196="Controls Only",Measures!C196="Decommissioning"),"",Measures!O196)</f>
        <v/>
      </c>
      <c r="K196" s="425" t="str">
        <f>IF(OR(Measures!AM196="Row Not Used",Measures!C196="Controls Only",Measures!C196="Decommissioning"),"",Measures!AS196)</f>
        <v/>
      </c>
      <c r="L196" s="426" t="str">
        <f>IF(OR(Measures!AM196="Row Not Used",Measures!AM196="Decommissioning",ISBLANK(Measures!R196)),"",Measures!R196)</f>
        <v/>
      </c>
      <c r="M196" s="431" t="str">
        <f>IF(OR(Measures!AM196="Row Not Used",Measures!AM196="Fixtures Only",Measures!AM196="Decommissioning"),"",Measures!S196)</f>
        <v/>
      </c>
      <c r="N196" s="432" t="str">
        <f>IF(Measures!AM196="Row Not Used","",Measures!AF196)</f>
        <v/>
      </c>
      <c r="O196" s="426" t="str">
        <f>IF(Measures!AM196="Row Not Used","",Measures!C196)</f>
        <v/>
      </c>
      <c r="P196" s="133" t="str">
        <f t="shared" si="2"/>
        <v>No</v>
      </c>
    </row>
    <row r="197" spans="1:16" ht="75.599999999999994" customHeight="1" x14ac:dyDescent="0.3">
      <c r="A197" s="454">
        <f>Measures!A197</f>
        <v>190</v>
      </c>
      <c r="B197" s="425" t="str">
        <f>IF(Measures!AM197="Row Not Used","",IF(ISBLANK(Measures!V197),Measures!B197,_xlfn.CONCAT(Measures!B197," - ",Measures!V197)))</f>
        <v/>
      </c>
      <c r="C197" s="426" t="str">
        <f>IF(Measures!AM197="Row Not Used","",_xlfn.CONCAT(Measures!D197," - ",Measures!E197," - ",Measures!F197))</f>
        <v/>
      </c>
      <c r="D197" s="442" t="str">
        <f>IF(Measures!AM197="Row Not Used","",Measures!G197)</f>
        <v/>
      </c>
      <c r="E197" s="443" t="str">
        <f>IF(Measures!AM197="Row Not Used","",Measures!H197)</f>
        <v/>
      </c>
      <c r="F197" s="450" t="str">
        <f>IF(Measures!AM197="Row Not Used","",Measures!I197)</f>
        <v/>
      </c>
      <c r="G197" s="426" t="str">
        <f>IF(OR(Measures!AM197="Row Not Used",Measures!C197="Controls Only",Measures!C197="Decommissioning"),"",_xlfn.CONCAT(Measures!K197," - ",Measures!L197))</f>
        <v/>
      </c>
      <c r="H197" s="442" t="str">
        <f>IF(OR(Measures!AM197="Row Not Used",Measures!C197="Controls Only",Measures!C197="Decommissioning"),"",Measures!M197)</f>
        <v/>
      </c>
      <c r="I197" s="443" t="str">
        <f>IF(OR(Measures!AM197="Row Not Used",Measures!C197="Controls Only",Measures!C197="Decommissioning"),"",Measures!N197)</f>
        <v/>
      </c>
      <c r="J197" s="444" t="str">
        <f>IF(OR(Measures!AM197="Row Not Used",Measures!C197="Controls Only",Measures!C197="Decommissioning"),"",Measures!O197)</f>
        <v/>
      </c>
      <c r="K197" s="425" t="str">
        <f>IF(OR(Measures!AM197="Row Not Used",Measures!C197="Controls Only",Measures!C197="Decommissioning"),"",Measures!AS197)</f>
        <v/>
      </c>
      <c r="L197" s="426" t="str">
        <f>IF(OR(Measures!AM197="Row Not Used",Measures!AM197="Decommissioning",ISBLANK(Measures!R197)),"",Measures!R197)</f>
        <v/>
      </c>
      <c r="M197" s="431" t="str">
        <f>IF(OR(Measures!AM197="Row Not Used",Measures!AM197="Fixtures Only",Measures!AM197="Decommissioning"),"",Measures!S197)</f>
        <v/>
      </c>
      <c r="N197" s="432" t="str">
        <f>IF(Measures!AM197="Row Not Used","",Measures!AF197)</f>
        <v/>
      </c>
      <c r="O197" s="426" t="str">
        <f>IF(Measures!AM197="Row Not Used","",Measures!C197)</f>
        <v/>
      </c>
      <c r="P197" s="133" t="str">
        <f t="shared" si="2"/>
        <v>No</v>
      </c>
    </row>
    <row r="198" spans="1:16" ht="75.599999999999994" customHeight="1" x14ac:dyDescent="0.3">
      <c r="A198" s="454">
        <f>Measures!A198</f>
        <v>191</v>
      </c>
      <c r="B198" s="425" t="str">
        <f>IF(Measures!AM198="Row Not Used","",IF(ISBLANK(Measures!V198),Measures!B198,_xlfn.CONCAT(Measures!B198," - ",Measures!V198)))</f>
        <v/>
      </c>
      <c r="C198" s="426" t="str">
        <f>IF(Measures!AM198="Row Not Used","",_xlfn.CONCAT(Measures!D198," - ",Measures!E198," - ",Measures!F198))</f>
        <v/>
      </c>
      <c r="D198" s="442" t="str">
        <f>IF(Measures!AM198="Row Not Used","",Measures!G198)</f>
        <v/>
      </c>
      <c r="E198" s="443" t="str">
        <f>IF(Measures!AM198="Row Not Used","",Measures!H198)</f>
        <v/>
      </c>
      <c r="F198" s="450" t="str">
        <f>IF(Measures!AM198="Row Not Used","",Measures!I198)</f>
        <v/>
      </c>
      <c r="G198" s="426" t="str">
        <f>IF(OR(Measures!AM198="Row Not Used",Measures!C198="Controls Only",Measures!C198="Decommissioning"),"",_xlfn.CONCAT(Measures!K198," - ",Measures!L198))</f>
        <v/>
      </c>
      <c r="H198" s="442" t="str">
        <f>IF(OR(Measures!AM198="Row Not Used",Measures!C198="Controls Only",Measures!C198="Decommissioning"),"",Measures!M198)</f>
        <v/>
      </c>
      <c r="I198" s="443" t="str">
        <f>IF(OR(Measures!AM198="Row Not Used",Measures!C198="Controls Only",Measures!C198="Decommissioning"),"",Measures!N198)</f>
        <v/>
      </c>
      <c r="J198" s="444" t="str">
        <f>IF(OR(Measures!AM198="Row Not Used",Measures!C198="Controls Only",Measures!C198="Decommissioning"),"",Measures!O198)</f>
        <v/>
      </c>
      <c r="K198" s="425" t="str">
        <f>IF(OR(Measures!AM198="Row Not Used",Measures!C198="Controls Only",Measures!C198="Decommissioning"),"",Measures!AS198)</f>
        <v/>
      </c>
      <c r="L198" s="426" t="str">
        <f>IF(OR(Measures!AM198="Row Not Used",Measures!AM198="Decommissioning",ISBLANK(Measures!R198)),"",Measures!R198)</f>
        <v/>
      </c>
      <c r="M198" s="431" t="str">
        <f>IF(OR(Measures!AM198="Row Not Used",Measures!AM198="Fixtures Only",Measures!AM198="Decommissioning"),"",Measures!S198)</f>
        <v/>
      </c>
      <c r="N198" s="432" t="str">
        <f>IF(Measures!AM198="Row Not Used","",Measures!AF198)</f>
        <v/>
      </c>
      <c r="O198" s="426" t="str">
        <f>IF(Measures!AM198="Row Not Used","",Measures!C198)</f>
        <v/>
      </c>
      <c r="P198" s="133" t="str">
        <f t="shared" si="2"/>
        <v>No</v>
      </c>
    </row>
    <row r="199" spans="1:16" ht="75.599999999999994" customHeight="1" x14ac:dyDescent="0.3">
      <c r="A199" s="454">
        <f>Measures!A199</f>
        <v>192</v>
      </c>
      <c r="B199" s="425" t="str">
        <f>IF(Measures!AM199="Row Not Used","",IF(ISBLANK(Measures!V199),Measures!B199,_xlfn.CONCAT(Measures!B199," - ",Measures!V199)))</f>
        <v/>
      </c>
      <c r="C199" s="426" t="str">
        <f>IF(Measures!AM199="Row Not Used","",_xlfn.CONCAT(Measures!D199," - ",Measures!E199," - ",Measures!F199))</f>
        <v/>
      </c>
      <c r="D199" s="442" t="str">
        <f>IF(Measures!AM199="Row Not Used","",Measures!G199)</f>
        <v/>
      </c>
      <c r="E199" s="443" t="str">
        <f>IF(Measures!AM199="Row Not Used","",Measures!H199)</f>
        <v/>
      </c>
      <c r="F199" s="450" t="str">
        <f>IF(Measures!AM199="Row Not Used","",Measures!I199)</f>
        <v/>
      </c>
      <c r="G199" s="426" t="str">
        <f>IF(OR(Measures!AM199="Row Not Used",Measures!C199="Controls Only",Measures!C199="Decommissioning"),"",_xlfn.CONCAT(Measures!K199," - ",Measures!L199))</f>
        <v/>
      </c>
      <c r="H199" s="442" t="str">
        <f>IF(OR(Measures!AM199="Row Not Used",Measures!C199="Controls Only",Measures!C199="Decommissioning"),"",Measures!M199)</f>
        <v/>
      </c>
      <c r="I199" s="443" t="str">
        <f>IF(OR(Measures!AM199="Row Not Used",Measures!C199="Controls Only",Measures!C199="Decommissioning"),"",Measures!N199)</f>
        <v/>
      </c>
      <c r="J199" s="444" t="str">
        <f>IF(OR(Measures!AM199="Row Not Used",Measures!C199="Controls Only",Measures!C199="Decommissioning"),"",Measures!O199)</f>
        <v/>
      </c>
      <c r="K199" s="425" t="str">
        <f>IF(OR(Measures!AM199="Row Not Used",Measures!C199="Controls Only",Measures!C199="Decommissioning"),"",Measures!AS199)</f>
        <v/>
      </c>
      <c r="L199" s="426" t="str">
        <f>IF(OR(Measures!AM199="Row Not Used",Measures!AM199="Decommissioning",ISBLANK(Measures!R199)),"",Measures!R199)</f>
        <v/>
      </c>
      <c r="M199" s="431" t="str">
        <f>IF(OR(Measures!AM199="Row Not Used",Measures!AM199="Fixtures Only",Measures!AM199="Decommissioning"),"",Measures!S199)</f>
        <v/>
      </c>
      <c r="N199" s="432" t="str">
        <f>IF(Measures!AM199="Row Not Used","",Measures!AF199)</f>
        <v/>
      </c>
      <c r="O199" s="426" t="str">
        <f>IF(Measures!AM199="Row Not Used","",Measures!C199)</f>
        <v/>
      </c>
      <c r="P199" s="133" t="str">
        <f t="shared" si="2"/>
        <v>No</v>
      </c>
    </row>
    <row r="200" spans="1:16" ht="75.599999999999994" customHeight="1" x14ac:dyDescent="0.3">
      <c r="A200" s="454">
        <f>Measures!A200</f>
        <v>193</v>
      </c>
      <c r="B200" s="425" t="str">
        <f>IF(Measures!AM200="Row Not Used","",IF(ISBLANK(Measures!V200),Measures!B200,_xlfn.CONCAT(Measures!B200," - ",Measures!V200)))</f>
        <v/>
      </c>
      <c r="C200" s="426" t="str">
        <f>IF(Measures!AM200="Row Not Used","",_xlfn.CONCAT(Measures!D200," - ",Measures!E200," - ",Measures!F200))</f>
        <v/>
      </c>
      <c r="D200" s="442" t="str">
        <f>IF(Measures!AM200="Row Not Used","",Measures!G200)</f>
        <v/>
      </c>
      <c r="E200" s="443" t="str">
        <f>IF(Measures!AM200="Row Not Used","",Measures!H200)</f>
        <v/>
      </c>
      <c r="F200" s="450" t="str">
        <f>IF(Measures!AM200="Row Not Used","",Measures!I200)</f>
        <v/>
      </c>
      <c r="G200" s="426" t="str">
        <f>IF(OR(Measures!AM200="Row Not Used",Measures!C200="Controls Only",Measures!C200="Decommissioning"),"",_xlfn.CONCAT(Measures!K200," - ",Measures!L200))</f>
        <v/>
      </c>
      <c r="H200" s="442" t="str">
        <f>IF(OR(Measures!AM200="Row Not Used",Measures!C200="Controls Only",Measures!C200="Decommissioning"),"",Measures!M200)</f>
        <v/>
      </c>
      <c r="I200" s="443" t="str">
        <f>IF(OR(Measures!AM200="Row Not Used",Measures!C200="Controls Only",Measures!C200="Decommissioning"),"",Measures!N200)</f>
        <v/>
      </c>
      <c r="J200" s="444" t="str">
        <f>IF(OR(Measures!AM200="Row Not Used",Measures!C200="Controls Only",Measures!C200="Decommissioning"),"",Measures!O200)</f>
        <v/>
      </c>
      <c r="K200" s="425" t="str">
        <f>IF(OR(Measures!AM200="Row Not Used",Measures!C200="Controls Only",Measures!C200="Decommissioning"),"",Measures!AS200)</f>
        <v/>
      </c>
      <c r="L200" s="426" t="str">
        <f>IF(OR(Measures!AM200="Row Not Used",Measures!AM200="Decommissioning",ISBLANK(Measures!R200)),"",Measures!R200)</f>
        <v/>
      </c>
      <c r="M200" s="431" t="str">
        <f>IF(OR(Measures!AM200="Row Not Used",Measures!AM200="Fixtures Only",Measures!AM200="Decommissioning"),"",Measures!S200)</f>
        <v/>
      </c>
      <c r="N200" s="432" t="str">
        <f>IF(Measures!AM200="Row Not Used","",Measures!AF200)</f>
        <v/>
      </c>
      <c r="O200" s="426" t="str">
        <f>IF(Measures!AM200="Row Not Used","",Measures!C200)</f>
        <v/>
      </c>
      <c r="P200" s="133" t="str">
        <f t="shared" si="2"/>
        <v>No</v>
      </c>
    </row>
    <row r="201" spans="1:16" ht="75.599999999999994" customHeight="1" x14ac:dyDescent="0.3">
      <c r="A201" s="454">
        <f>Measures!A201</f>
        <v>194</v>
      </c>
      <c r="B201" s="425" t="str">
        <f>IF(Measures!AM201="Row Not Used","",IF(ISBLANK(Measures!V201),Measures!B201,_xlfn.CONCAT(Measures!B201," - ",Measures!V201)))</f>
        <v/>
      </c>
      <c r="C201" s="426" t="str">
        <f>IF(Measures!AM201="Row Not Used","",_xlfn.CONCAT(Measures!D201," - ",Measures!E201," - ",Measures!F201))</f>
        <v/>
      </c>
      <c r="D201" s="442" t="str">
        <f>IF(Measures!AM201="Row Not Used","",Measures!G201)</f>
        <v/>
      </c>
      <c r="E201" s="443" t="str">
        <f>IF(Measures!AM201="Row Not Used","",Measures!H201)</f>
        <v/>
      </c>
      <c r="F201" s="450" t="str">
        <f>IF(Measures!AM201="Row Not Used","",Measures!I201)</f>
        <v/>
      </c>
      <c r="G201" s="426" t="str">
        <f>IF(OR(Measures!AM201="Row Not Used",Measures!C201="Controls Only",Measures!C201="Decommissioning"),"",_xlfn.CONCAT(Measures!K201," - ",Measures!L201))</f>
        <v/>
      </c>
      <c r="H201" s="442" t="str">
        <f>IF(OR(Measures!AM201="Row Not Used",Measures!C201="Controls Only",Measures!C201="Decommissioning"),"",Measures!M201)</f>
        <v/>
      </c>
      <c r="I201" s="443" t="str">
        <f>IF(OR(Measures!AM201="Row Not Used",Measures!C201="Controls Only",Measures!C201="Decommissioning"),"",Measures!N201)</f>
        <v/>
      </c>
      <c r="J201" s="444" t="str">
        <f>IF(OR(Measures!AM201="Row Not Used",Measures!C201="Controls Only",Measures!C201="Decommissioning"),"",Measures!O201)</f>
        <v/>
      </c>
      <c r="K201" s="425" t="str">
        <f>IF(OR(Measures!AM201="Row Not Used",Measures!C201="Controls Only",Measures!C201="Decommissioning"),"",Measures!AS201)</f>
        <v/>
      </c>
      <c r="L201" s="426" t="str">
        <f>IF(OR(Measures!AM201="Row Not Used",Measures!AM201="Decommissioning",ISBLANK(Measures!R201)),"",Measures!R201)</f>
        <v/>
      </c>
      <c r="M201" s="431" t="str">
        <f>IF(OR(Measures!AM201="Row Not Used",Measures!AM201="Fixtures Only",Measures!AM201="Decommissioning"),"",Measures!S201)</f>
        <v/>
      </c>
      <c r="N201" s="432" t="str">
        <f>IF(Measures!AM201="Row Not Used","",Measures!AF201)</f>
        <v/>
      </c>
      <c r="O201" s="426" t="str">
        <f>IF(Measures!AM201="Row Not Used","",Measures!C201)</f>
        <v/>
      </c>
      <c r="P201" s="133" t="str">
        <f t="shared" ref="P201:P264" si="3">IF(LEN(B201)&gt;0,"Yes","No")</f>
        <v>No</v>
      </c>
    </row>
    <row r="202" spans="1:16" ht="75.599999999999994" customHeight="1" x14ac:dyDescent="0.3">
      <c r="A202" s="454">
        <f>Measures!A202</f>
        <v>195</v>
      </c>
      <c r="B202" s="425" t="str">
        <f>IF(Measures!AM202="Row Not Used","",IF(ISBLANK(Measures!V202),Measures!B202,_xlfn.CONCAT(Measures!B202," - ",Measures!V202)))</f>
        <v/>
      </c>
      <c r="C202" s="426" t="str">
        <f>IF(Measures!AM202="Row Not Used","",_xlfn.CONCAT(Measures!D202," - ",Measures!E202," - ",Measures!F202))</f>
        <v/>
      </c>
      <c r="D202" s="442" t="str">
        <f>IF(Measures!AM202="Row Not Used","",Measures!G202)</f>
        <v/>
      </c>
      <c r="E202" s="443" t="str">
        <f>IF(Measures!AM202="Row Not Used","",Measures!H202)</f>
        <v/>
      </c>
      <c r="F202" s="450" t="str">
        <f>IF(Measures!AM202="Row Not Used","",Measures!I202)</f>
        <v/>
      </c>
      <c r="G202" s="426" t="str">
        <f>IF(OR(Measures!AM202="Row Not Used",Measures!C202="Controls Only",Measures!C202="Decommissioning"),"",_xlfn.CONCAT(Measures!K202," - ",Measures!L202))</f>
        <v/>
      </c>
      <c r="H202" s="442" t="str">
        <f>IF(OR(Measures!AM202="Row Not Used",Measures!C202="Controls Only",Measures!C202="Decommissioning"),"",Measures!M202)</f>
        <v/>
      </c>
      <c r="I202" s="443" t="str">
        <f>IF(OR(Measures!AM202="Row Not Used",Measures!C202="Controls Only",Measures!C202="Decommissioning"),"",Measures!N202)</f>
        <v/>
      </c>
      <c r="J202" s="444" t="str">
        <f>IF(OR(Measures!AM202="Row Not Used",Measures!C202="Controls Only",Measures!C202="Decommissioning"),"",Measures!O202)</f>
        <v/>
      </c>
      <c r="K202" s="425" t="str">
        <f>IF(OR(Measures!AM202="Row Not Used",Measures!C202="Controls Only",Measures!C202="Decommissioning"),"",Measures!AS202)</f>
        <v/>
      </c>
      <c r="L202" s="426" t="str">
        <f>IF(OR(Measures!AM202="Row Not Used",Measures!AM202="Decommissioning",ISBLANK(Measures!R202)),"",Measures!R202)</f>
        <v/>
      </c>
      <c r="M202" s="431" t="str">
        <f>IF(OR(Measures!AM202="Row Not Used",Measures!AM202="Fixtures Only",Measures!AM202="Decommissioning"),"",Measures!S202)</f>
        <v/>
      </c>
      <c r="N202" s="432" t="str">
        <f>IF(Measures!AM202="Row Not Used","",Measures!AF202)</f>
        <v/>
      </c>
      <c r="O202" s="426" t="str">
        <f>IF(Measures!AM202="Row Not Used","",Measures!C202)</f>
        <v/>
      </c>
      <c r="P202" s="133" t="str">
        <f t="shared" si="3"/>
        <v>No</v>
      </c>
    </row>
    <row r="203" spans="1:16" ht="75.599999999999994" customHeight="1" x14ac:dyDescent="0.3">
      <c r="A203" s="454">
        <f>Measures!A203</f>
        <v>196</v>
      </c>
      <c r="B203" s="425" t="str">
        <f>IF(Measures!AM203="Row Not Used","",IF(ISBLANK(Measures!V203),Measures!B203,_xlfn.CONCAT(Measures!B203," - ",Measures!V203)))</f>
        <v/>
      </c>
      <c r="C203" s="426" t="str">
        <f>IF(Measures!AM203="Row Not Used","",_xlfn.CONCAT(Measures!D203," - ",Measures!E203," - ",Measures!F203))</f>
        <v/>
      </c>
      <c r="D203" s="442" t="str">
        <f>IF(Measures!AM203="Row Not Used","",Measures!G203)</f>
        <v/>
      </c>
      <c r="E203" s="443" t="str">
        <f>IF(Measures!AM203="Row Not Used","",Measures!H203)</f>
        <v/>
      </c>
      <c r="F203" s="450" t="str">
        <f>IF(Measures!AM203="Row Not Used","",Measures!I203)</f>
        <v/>
      </c>
      <c r="G203" s="426" t="str">
        <f>IF(OR(Measures!AM203="Row Not Used",Measures!C203="Controls Only",Measures!C203="Decommissioning"),"",_xlfn.CONCAT(Measures!K203," - ",Measures!L203))</f>
        <v/>
      </c>
      <c r="H203" s="442" t="str">
        <f>IF(OR(Measures!AM203="Row Not Used",Measures!C203="Controls Only",Measures!C203="Decommissioning"),"",Measures!M203)</f>
        <v/>
      </c>
      <c r="I203" s="443" t="str">
        <f>IF(OR(Measures!AM203="Row Not Used",Measures!C203="Controls Only",Measures!C203="Decommissioning"),"",Measures!N203)</f>
        <v/>
      </c>
      <c r="J203" s="444" t="str">
        <f>IF(OR(Measures!AM203="Row Not Used",Measures!C203="Controls Only",Measures!C203="Decommissioning"),"",Measures!O203)</f>
        <v/>
      </c>
      <c r="K203" s="425" t="str">
        <f>IF(OR(Measures!AM203="Row Not Used",Measures!C203="Controls Only",Measures!C203="Decommissioning"),"",Measures!AS203)</f>
        <v/>
      </c>
      <c r="L203" s="426" t="str">
        <f>IF(OR(Measures!AM203="Row Not Used",Measures!AM203="Decommissioning",ISBLANK(Measures!R203)),"",Measures!R203)</f>
        <v/>
      </c>
      <c r="M203" s="431" t="str">
        <f>IF(OR(Measures!AM203="Row Not Used",Measures!AM203="Fixtures Only",Measures!AM203="Decommissioning"),"",Measures!S203)</f>
        <v/>
      </c>
      <c r="N203" s="432" t="str">
        <f>IF(Measures!AM203="Row Not Used","",Measures!AF203)</f>
        <v/>
      </c>
      <c r="O203" s="426" t="str">
        <f>IF(Measures!AM203="Row Not Used","",Measures!C203)</f>
        <v/>
      </c>
      <c r="P203" s="133" t="str">
        <f t="shared" si="3"/>
        <v>No</v>
      </c>
    </row>
    <row r="204" spans="1:16" ht="75.599999999999994" customHeight="1" x14ac:dyDescent="0.3">
      <c r="A204" s="454">
        <f>Measures!A204</f>
        <v>197</v>
      </c>
      <c r="B204" s="425" t="str">
        <f>IF(Measures!AM204="Row Not Used","",IF(ISBLANK(Measures!V204),Measures!B204,_xlfn.CONCAT(Measures!B204," - ",Measures!V204)))</f>
        <v/>
      </c>
      <c r="C204" s="426" t="str">
        <f>IF(Measures!AM204="Row Not Used","",_xlfn.CONCAT(Measures!D204," - ",Measures!E204," - ",Measures!F204))</f>
        <v/>
      </c>
      <c r="D204" s="442" t="str">
        <f>IF(Measures!AM204="Row Not Used","",Measures!G204)</f>
        <v/>
      </c>
      <c r="E204" s="443" t="str">
        <f>IF(Measures!AM204="Row Not Used","",Measures!H204)</f>
        <v/>
      </c>
      <c r="F204" s="450" t="str">
        <f>IF(Measures!AM204="Row Not Used","",Measures!I204)</f>
        <v/>
      </c>
      <c r="G204" s="426" t="str">
        <f>IF(OR(Measures!AM204="Row Not Used",Measures!C204="Controls Only",Measures!C204="Decommissioning"),"",_xlfn.CONCAT(Measures!K204," - ",Measures!L204))</f>
        <v/>
      </c>
      <c r="H204" s="442" t="str">
        <f>IF(OR(Measures!AM204="Row Not Used",Measures!C204="Controls Only",Measures!C204="Decommissioning"),"",Measures!M204)</f>
        <v/>
      </c>
      <c r="I204" s="443" t="str">
        <f>IF(OR(Measures!AM204="Row Not Used",Measures!C204="Controls Only",Measures!C204="Decommissioning"),"",Measures!N204)</f>
        <v/>
      </c>
      <c r="J204" s="444" t="str">
        <f>IF(OR(Measures!AM204="Row Not Used",Measures!C204="Controls Only",Measures!C204="Decommissioning"),"",Measures!O204)</f>
        <v/>
      </c>
      <c r="K204" s="425" t="str">
        <f>IF(OR(Measures!AM204="Row Not Used",Measures!C204="Controls Only",Measures!C204="Decommissioning"),"",Measures!AS204)</f>
        <v/>
      </c>
      <c r="L204" s="426" t="str">
        <f>IF(OR(Measures!AM204="Row Not Used",Measures!AM204="Decommissioning",ISBLANK(Measures!R204)),"",Measures!R204)</f>
        <v/>
      </c>
      <c r="M204" s="431" t="str">
        <f>IF(OR(Measures!AM204="Row Not Used",Measures!AM204="Fixtures Only",Measures!AM204="Decommissioning"),"",Measures!S204)</f>
        <v/>
      </c>
      <c r="N204" s="432" t="str">
        <f>IF(Measures!AM204="Row Not Used","",Measures!AF204)</f>
        <v/>
      </c>
      <c r="O204" s="426" t="str">
        <f>IF(Measures!AM204="Row Not Used","",Measures!C204)</f>
        <v/>
      </c>
      <c r="P204" s="133" t="str">
        <f t="shared" si="3"/>
        <v>No</v>
      </c>
    </row>
    <row r="205" spans="1:16" ht="75.599999999999994" customHeight="1" x14ac:dyDescent="0.3">
      <c r="A205" s="454">
        <f>Measures!A205</f>
        <v>198</v>
      </c>
      <c r="B205" s="425" t="str">
        <f>IF(Measures!AM205="Row Not Used","",IF(ISBLANK(Measures!V205),Measures!B205,_xlfn.CONCAT(Measures!B205," - ",Measures!V205)))</f>
        <v/>
      </c>
      <c r="C205" s="426" t="str">
        <f>IF(Measures!AM205="Row Not Used","",_xlfn.CONCAT(Measures!D205," - ",Measures!E205," - ",Measures!F205))</f>
        <v/>
      </c>
      <c r="D205" s="442" t="str">
        <f>IF(Measures!AM205="Row Not Used","",Measures!G205)</f>
        <v/>
      </c>
      <c r="E205" s="443" t="str">
        <f>IF(Measures!AM205="Row Not Used","",Measures!H205)</f>
        <v/>
      </c>
      <c r="F205" s="450" t="str">
        <f>IF(Measures!AM205="Row Not Used","",Measures!I205)</f>
        <v/>
      </c>
      <c r="G205" s="426" t="str">
        <f>IF(OR(Measures!AM205="Row Not Used",Measures!C205="Controls Only",Measures!C205="Decommissioning"),"",_xlfn.CONCAT(Measures!K205," - ",Measures!L205))</f>
        <v/>
      </c>
      <c r="H205" s="442" t="str">
        <f>IF(OR(Measures!AM205="Row Not Used",Measures!C205="Controls Only",Measures!C205="Decommissioning"),"",Measures!M205)</f>
        <v/>
      </c>
      <c r="I205" s="443" t="str">
        <f>IF(OR(Measures!AM205="Row Not Used",Measures!C205="Controls Only",Measures!C205="Decommissioning"),"",Measures!N205)</f>
        <v/>
      </c>
      <c r="J205" s="444" t="str">
        <f>IF(OR(Measures!AM205="Row Not Used",Measures!C205="Controls Only",Measures!C205="Decommissioning"),"",Measures!O205)</f>
        <v/>
      </c>
      <c r="K205" s="425" t="str">
        <f>IF(OR(Measures!AM205="Row Not Used",Measures!C205="Controls Only",Measures!C205="Decommissioning"),"",Measures!AS205)</f>
        <v/>
      </c>
      <c r="L205" s="426" t="str">
        <f>IF(OR(Measures!AM205="Row Not Used",Measures!AM205="Decommissioning",ISBLANK(Measures!R205)),"",Measures!R205)</f>
        <v/>
      </c>
      <c r="M205" s="431" t="str">
        <f>IF(OR(Measures!AM205="Row Not Used",Measures!AM205="Fixtures Only",Measures!AM205="Decommissioning"),"",Measures!S205)</f>
        <v/>
      </c>
      <c r="N205" s="432" t="str">
        <f>IF(Measures!AM205="Row Not Used","",Measures!AF205)</f>
        <v/>
      </c>
      <c r="O205" s="426" t="str">
        <f>IF(Measures!AM205="Row Not Used","",Measures!C205)</f>
        <v/>
      </c>
      <c r="P205" s="133" t="str">
        <f t="shared" si="3"/>
        <v>No</v>
      </c>
    </row>
    <row r="206" spans="1:16" ht="75.599999999999994" customHeight="1" x14ac:dyDescent="0.3">
      <c r="A206" s="454">
        <f>Measures!A206</f>
        <v>199</v>
      </c>
      <c r="B206" s="425" t="str">
        <f>IF(Measures!AM206="Row Not Used","",IF(ISBLANK(Measures!V206),Measures!B206,_xlfn.CONCAT(Measures!B206," - ",Measures!V206)))</f>
        <v/>
      </c>
      <c r="C206" s="426" t="str">
        <f>IF(Measures!AM206="Row Not Used","",_xlfn.CONCAT(Measures!D206," - ",Measures!E206," - ",Measures!F206))</f>
        <v/>
      </c>
      <c r="D206" s="442" t="str">
        <f>IF(Measures!AM206="Row Not Used","",Measures!G206)</f>
        <v/>
      </c>
      <c r="E206" s="443" t="str">
        <f>IF(Measures!AM206="Row Not Used","",Measures!H206)</f>
        <v/>
      </c>
      <c r="F206" s="450" t="str">
        <f>IF(Measures!AM206="Row Not Used","",Measures!I206)</f>
        <v/>
      </c>
      <c r="G206" s="426" t="str">
        <f>IF(OR(Measures!AM206="Row Not Used",Measures!C206="Controls Only",Measures!C206="Decommissioning"),"",_xlfn.CONCAT(Measures!K206," - ",Measures!L206))</f>
        <v/>
      </c>
      <c r="H206" s="442" t="str">
        <f>IF(OR(Measures!AM206="Row Not Used",Measures!C206="Controls Only",Measures!C206="Decommissioning"),"",Measures!M206)</f>
        <v/>
      </c>
      <c r="I206" s="443" t="str">
        <f>IF(OR(Measures!AM206="Row Not Used",Measures!C206="Controls Only",Measures!C206="Decommissioning"),"",Measures!N206)</f>
        <v/>
      </c>
      <c r="J206" s="444" t="str">
        <f>IF(OR(Measures!AM206="Row Not Used",Measures!C206="Controls Only",Measures!C206="Decommissioning"),"",Measures!O206)</f>
        <v/>
      </c>
      <c r="K206" s="425" t="str">
        <f>IF(OR(Measures!AM206="Row Not Used",Measures!C206="Controls Only",Measures!C206="Decommissioning"),"",Measures!AS206)</f>
        <v/>
      </c>
      <c r="L206" s="426" t="str">
        <f>IF(OR(Measures!AM206="Row Not Used",Measures!AM206="Decommissioning",ISBLANK(Measures!R206)),"",Measures!R206)</f>
        <v/>
      </c>
      <c r="M206" s="431" t="str">
        <f>IF(OR(Measures!AM206="Row Not Used",Measures!AM206="Fixtures Only",Measures!AM206="Decommissioning"),"",Measures!S206)</f>
        <v/>
      </c>
      <c r="N206" s="432" t="str">
        <f>IF(Measures!AM206="Row Not Used","",Measures!AF206)</f>
        <v/>
      </c>
      <c r="O206" s="426" t="str">
        <f>IF(Measures!AM206="Row Not Used","",Measures!C206)</f>
        <v/>
      </c>
      <c r="P206" s="133" t="str">
        <f t="shared" si="3"/>
        <v>No</v>
      </c>
    </row>
    <row r="207" spans="1:16" ht="75.599999999999994" customHeight="1" x14ac:dyDescent="0.3">
      <c r="A207" s="454">
        <f>Measures!A207</f>
        <v>200</v>
      </c>
      <c r="B207" s="425" t="str">
        <f>IF(Measures!AM207="Row Not Used","",IF(ISBLANK(Measures!V207),Measures!B207,_xlfn.CONCAT(Measures!B207," - ",Measures!V207)))</f>
        <v/>
      </c>
      <c r="C207" s="426" t="str">
        <f>IF(Measures!AM207="Row Not Used","",_xlfn.CONCAT(Measures!D207," - ",Measures!E207," - ",Measures!F207))</f>
        <v/>
      </c>
      <c r="D207" s="442" t="str">
        <f>IF(Measures!AM207="Row Not Used","",Measures!G207)</f>
        <v/>
      </c>
      <c r="E207" s="443" t="str">
        <f>IF(Measures!AM207="Row Not Used","",Measures!H207)</f>
        <v/>
      </c>
      <c r="F207" s="450" t="str">
        <f>IF(Measures!AM207="Row Not Used","",Measures!I207)</f>
        <v/>
      </c>
      <c r="G207" s="426" t="str">
        <f>IF(OR(Measures!AM207="Row Not Used",Measures!C207="Controls Only",Measures!C207="Decommissioning"),"",_xlfn.CONCAT(Measures!K207," - ",Measures!L207))</f>
        <v/>
      </c>
      <c r="H207" s="442" t="str">
        <f>IF(OR(Measures!AM207="Row Not Used",Measures!C207="Controls Only",Measures!C207="Decommissioning"),"",Measures!M207)</f>
        <v/>
      </c>
      <c r="I207" s="443" t="str">
        <f>IF(OR(Measures!AM207="Row Not Used",Measures!C207="Controls Only",Measures!C207="Decommissioning"),"",Measures!N207)</f>
        <v/>
      </c>
      <c r="J207" s="444" t="str">
        <f>IF(OR(Measures!AM207="Row Not Used",Measures!C207="Controls Only",Measures!C207="Decommissioning"),"",Measures!O207)</f>
        <v/>
      </c>
      <c r="K207" s="425" t="str">
        <f>IF(OR(Measures!AM207="Row Not Used",Measures!C207="Controls Only",Measures!C207="Decommissioning"),"",Measures!AS207)</f>
        <v/>
      </c>
      <c r="L207" s="426" t="str">
        <f>IF(OR(Measures!AM207="Row Not Used",Measures!AM207="Decommissioning",ISBLANK(Measures!R207)),"",Measures!R207)</f>
        <v/>
      </c>
      <c r="M207" s="431" t="str">
        <f>IF(OR(Measures!AM207="Row Not Used",Measures!AM207="Fixtures Only",Measures!AM207="Decommissioning"),"",Measures!S207)</f>
        <v/>
      </c>
      <c r="N207" s="432" t="str">
        <f>IF(Measures!AM207="Row Not Used","",Measures!AF207)</f>
        <v/>
      </c>
      <c r="O207" s="426" t="str">
        <f>IF(Measures!AM207="Row Not Used","",Measures!C207)</f>
        <v/>
      </c>
      <c r="P207" s="133" t="str">
        <f t="shared" si="3"/>
        <v>No</v>
      </c>
    </row>
    <row r="208" spans="1:16" ht="75.599999999999994" customHeight="1" x14ac:dyDescent="0.3">
      <c r="A208" s="454">
        <f>Measures!A208</f>
        <v>201</v>
      </c>
      <c r="B208" s="425" t="str">
        <f>IF(Measures!AM208="Row Not Used","",IF(ISBLANK(Measures!V208),Measures!B208,_xlfn.CONCAT(Measures!B208," - ",Measures!V208)))</f>
        <v/>
      </c>
      <c r="C208" s="426" t="str">
        <f>IF(Measures!AM208="Row Not Used","",_xlfn.CONCAT(Measures!D208," - ",Measures!E208," - ",Measures!F208))</f>
        <v/>
      </c>
      <c r="D208" s="442" t="str">
        <f>IF(Measures!AM208="Row Not Used","",Measures!G208)</f>
        <v/>
      </c>
      <c r="E208" s="443" t="str">
        <f>IF(Measures!AM208="Row Not Used","",Measures!H208)</f>
        <v/>
      </c>
      <c r="F208" s="450" t="str">
        <f>IF(Measures!AM208="Row Not Used","",Measures!I208)</f>
        <v/>
      </c>
      <c r="G208" s="426" t="str">
        <f>IF(OR(Measures!AM208="Row Not Used",Measures!C208="Controls Only",Measures!C208="Decommissioning"),"",_xlfn.CONCAT(Measures!K208," - ",Measures!L208))</f>
        <v/>
      </c>
      <c r="H208" s="442" t="str">
        <f>IF(OR(Measures!AM208="Row Not Used",Measures!C208="Controls Only",Measures!C208="Decommissioning"),"",Measures!M208)</f>
        <v/>
      </c>
      <c r="I208" s="443" t="str">
        <f>IF(OR(Measures!AM208="Row Not Used",Measures!C208="Controls Only",Measures!C208="Decommissioning"),"",Measures!N208)</f>
        <v/>
      </c>
      <c r="J208" s="444" t="str">
        <f>IF(OR(Measures!AM208="Row Not Used",Measures!C208="Controls Only",Measures!C208="Decommissioning"),"",Measures!O208)</f>
        <v/>
      </c>
      <c r="K208" s="425" t="str">
        <f>IF(OR(Measures!AM208="Row Not Used",Measures!C208="Controls Only",Measures!C208="Decommissioning"),"",Measures!AS208)</f>
        <v/>
      </c>
      <c r="L208" s="426" t="str">
        <f>IF(OR(Measures!AM208="Row Not Used",Measures!AM208="Decommissioning",ISBLANK(Measures!R208)),"",Measures!R208)</f>
        <v/>
      </c>
      <c r="M208" s="431" t="str">
        <f>IF(OR(Measures!AM208="Row Not Used",Measures!AM208="Fixtures Only",Measures!AM208="Decommissioning"),"",Measures!S208)</f>
        <v/>
      </c>
      <c r="N208" s="432" t="str">
        <f>IF(Measures!AM208="Row Not Used","",Measures!AF208)</f>
        <v/>
      </c>
      <c r="O208" s="426" t="str">
        <f>IF(Measures!AM208="Row Not Used","",Measures!C208)</f>
        <v/>
      </c>
      <c r="P208" s="133" t="str">
        <f t="shared" si="3"/>
        <v>No</v>
      </c>
    </row>
    <row r="209" spans="1:16" ht="75.599999999999994" customHeight="1" x14ac:dyDescent="0.3">
      <c r="A209" s="454">
        <f>Measures!A209</f>
        <v>202</v>
      </c>
      <c r="B209" s="425" t="str">
        <f>IF(Measures!AM209="Row Not Used","",IF(ISBLANK(Measures!V209),Measures!B209,_xlfn.CONCAT(Measures!B209," - ",Measures!V209)))</f>
        <v/>
      </c>
      <c r="C209" s="426" t="str">
        <f>IF(Measures!AM209="Row Not Used","",_xlfn.CONCAT(Measures!D209," - ",Measures!E209," - ",Measures!F209))</f>
        <v/>
      </c>
      <c r="D209" s="442" t="str">
        <f>IF(Measures!AM209="Row Not Used","",Measures!G209)</f>
        <v/>
      </c>
      <c r="E209" s="443" t="str">
        <f>IF(Measures!AM209="Row Not Used","",Measures!H209)</f>
        <v/>
      </c>
      <c r="F209" s="450" t="str">
        <f>IF(Measures!AM209="Row Not Used","",Measures!I209)</f>
        <v/>
      </c>
      <c r="G209" s="426" t="str">
        <f>IF(OR(Measures!AM209="Row Not Used",Measures!C209="Controls Only",Measures!C209="Decommissioning"),"",_xlfn.CONCAT(Measures!K209," - ",Measures!L209))</f>
        <v/>
      </c>
      <c r="H209" s="442" t="str">
        <f>IF(OR(Measures!AM209="Row Not Used",Measures!C209="Controls Only",Measures!C209="Decommissioning"),"",Measures!M209)</f>
        <v/>
      </c>
      <c r="I209" s="443" t="str">
        <f>IF(OR(Measures!AM209="Row Not Used",Measures!C209="Controls Only",Measures!C209="Decommissioning"),"",Measures!N209)</f>
        <v/>
      </c>
      <c r="J209" s="444" t="str">
        <f>IF(OR(Measures!AM209="Row Not Used",Measures!C209="Controls Only",Measures!C209="Decommissioning"),"",Measures!O209)</f>
        <v/>
      </c>
      <c r="K209" s="425" t="str">
        <f>IF(OR(Measures!AM209="Row Not Used",Measures!C209="Controls Only",Measures!C209="Decommissioning"),"",Measures!AS209)</f>
        <v/>
      </c>
      <c r="L209" s="426" t="str">
        <f>IF(OR(Measures!AM209="Row Not Used",Measures!AM209="Decommissioning",ISBLANK(Measures!R209)),"",Measures!R209)</f>
        <v/>
      </c>
      <c r="M209" s="431" t="str">
        <f>IF(OR(Measures!AM209="Row Not Used",Measures!AM209="Fixtures Only",Measures!AM209="Decommissioning"),"",Measures!S209)</f>
        <v/>
      </c>
      <c r="N209" s="432" t="str">
        <f>IF(Measures!AM209="Row Not Used","",Measures!AF209)</f>
        <v/>
      </c>
      <c r="O209" s="426" t="str">
        <f>IF(Measures!AM209="Row Not Used","",Measures!C209)</f>
        <v/>
      </c>
      <c r="P209" s="133" t="str">
        <f t="shared" si="3"/>
        <v>No</v>
      </c>
    </row>
    <row r="210" spans="1:16" ht="75.599999999999994" customHeight="1" x14ac:dyDescent="0.3">
      <c r="A210" s="454">
        <f>Measures!A210</f>
        <v>203</v>
      </c>
      <c r="B210" s="425" t="str">
        <f>IF(Measures!AM210="Row Not Used","",IF(ISBLANK(Measures!V210),Measures!B210,_xlfn.CONCAT(Measures!B210," - ",Measures!V210)))</f>
        <v/>
      </c>
      <c r="C210" s="426" t="str">
        <f>IF(Measures!AM210="Row Not Used","",_xlfn.CONCAT(Measures!D210," - ",Measures!E210," - ",Measures!F210))</f>
        <v/>
      </c>
      <c r="D210" s="442" t="str">
        <f>IF(Measures!AM210="Row Not Used","",Measures!G210)</f>
        <v/>
      </c>
      <c r="E210" s="443" t="str">
        <f>IF(Measures!AM210="Row Not Used","",Measures!H210)</f>
        <v/>
      </c>
      <c r="F210" s="450" t="str">
        <f>IF(Measures!AM210="Row Not Used","",Measures!I210)</f>
        <v/>
      </c>
      <c r="G210" s="426" t="str">
        <f>IF(OR(Measures!AM210="Row Not Used",Measures!C210="Controls Only",Measures!C210="Decommissioning"),"",_xlfn.CONCAT(Measures!K210," - ",Measures!L210))</f>
        <v/>
      </c>
      <c r="H210" s="442" t="str">
        <f>IF(OR(Measures!AM210="Row Not Used",Measures!C210="Controls Only",Measures!C210="Decommissioning"),"",Measures!M210)</f>
        <v/>
      </c>
      <c r="I210" s="443" t="str">
        <f>IF(OR(Measures!AM210="Row Not Used",Measures!C210="Controls Only",Measures!C210="Decommissioning"),"",Measures!N210)</f>
        <v/>
      </c>
      <c r="J210" s="444" t="str">
        <f>IF(OR(Measures!AM210="Row Not Used",Measures!C210="Controls Only",Measures!C210="Decommissioning"),"",Measures!O210)</f>
        <v/>
      </c>
      <c r="K210" s="425" t="str">
        <f>IF(OR(Measures!AM210="Row Not Used",Measures!C210="Controls Only",Measures!C210="Decommissioning"),"",Measures!AS210)</f>
        <v/>
      </c>
      <c r="L210" s="426" t="str">
        <f>IF(OR(Measures!AM210="Row Not Used",Measures!AM210="Decommissioning",ISBLANK(Measures!R210)),"",Measures!R210)</f>
        <v/>
      </c>
      <c r="M210" s="431" t="str">
        <f>IF(OR(Measures!AM210="Row Not Used",Measures!AM210="Fixtures Only",Measures!AM210="Decommissioning"),"",Measures!S210)</f>
        <v/>
      </c>
      <c r="N210" s="432" t="str">
        <f>IF(Measures!AM210="Row Not Used","",Measures!AF210)</f>
        <v/>
      </c>
      <c r="O210" s="426" t="str">
        <f>IF(Measures!AM210="Row Not Used","",Measures!C210)</f>
        <v/>
      </c>
      <c r="P210" s="133" t="str">
        <f t="shared" si="3"/>
        <v>No</v>
      </c>
    </row>
    <row r="211" spans="1:16" ht="75.599999999999994" customHeight="1" x14ac:dyDescent="0.3">
      <c r="A211" s="454">
        <f>Measures!A211</f>
        <v>204</v>
      </c>
      <c r="B211" s="425" t="str">
        <f>IF(Measures!AM211="Row Not Used","",IF(ISBLANK(Measures!V211),Measures!B211,_xlfn.CONCAT(Measures!B211," - ",Measures!V211)))</f>
        <v/>
      </c>
      <c r="C211" s="426" t="str">
        <f>IF(Measures!AM211="Row Not Used","",_xlfn.CONCAT(Measures!D211," - ",Measures!E211," - ",Measures!F211))</f>
        <v/>
      </c>
      <c r="D211" s="442" t="str">
        <f>IF(Measures!AM211="Row Not Used","",Measures!G211)</f>
        <v/>
      </c>
      <c r="E211" s="443" t="str">
        <f>IF(Measures!AM211="Row Not Used","",Measures!H211)</f>
        <v/>
      </c>
      <c r="F211" s="450" t="str">
        <f>IF(Measures!AM211="Row Not Used","",Measures!I211)</f>
        <v/>
      </c>
      <c r="G211" s="426" t="str">
        <f>IF(OR(Measures!AM211="Row Not Used",Measures!C211="Controls Only",Measures!C211="Decommissioning"),"",_xlfn.CONCAT(Measures!K211," - ",Measures!L211))</f>
        <v/>
      </c>
      <c r="H211" s="442" t="str">
        <f>IF(OR(Measures!AM211="Row Not Used",Measures!C211="Controls Only",Measures!C211="Decommissioning"),"",Measures!M211)</f>
        <v/>
      </c>
      <c r="I211" s="443" t="str">
        <f>IF(OR(Measures!AM211="Row Not Used",Measures!C211="Controls Only",Measures!C211="Decommissioning"),"",Measures!N211)</f>
        <v/>
      </c>
      <c r="J211" s="444" t="str">
        <f>IF(OR(Measures!AM211="Row Not Used",Measures!C211="Controls Only",Measures!C211="Decommissioning"),"",Measures!O211)</f>
        <v/>
      </c>
      <c r="K211" s="425" t="str">
        <f>IF(OR(Measures!AM211="Row Not Used",Measures!C211="Controls Only",Measures!C211="Decommissioning"),"",Measures!AS211)</f>
        <v/>
      </c>
      <c r="L211" s="426" t="str">
        <f>IF(OR(Measures!AM211="Row Not Used",Measures!AM211="Decommissioning",ISBLANK(Measures!R211)),"",Measures!R211)</f>
        <v/>
      </c>
      <c r="M211" s="431" t="str">
        <f>IF(OR(Measures!AM211="Row Not Used",Measures!AM211="Fixtures Only",Measures!AM211="Decommissioning"),"",Measures!S211)</f>
        <v/>
      </c>
      <c r="N211" s="432" t="str">
        <f>IF(Measures!AM211="Row Not Used","",Measures!AF211)</f>
        <v/>
      </c>
      <c r="O211" s="426" t="str">
        <f>IF(Measures!AM211="Row Not Used","",Measures!C211)</f>
        <v/>
      </c>
      <c r="P211" s="133" t="str">
        <f t="shared" si="3"/>
        <v>No</v>
      </c>
    </row>
    <row r="212" spans="1:16" ht="75.599999999999994" customHeight="1" x14ac:dyDescent="0.3">
      <c r="A212" s="454">
        <f>Measures!A212</f>
        <v>205</v>
      </c>
      <c r="B212" s="425" t="str">
        <f>IF(Measures!AM212="Row Not Used","",IF(ISBLANK(Measures!V212),Measures!B212,_xlfn.CONCAT(Measures!B212," - ",Measures!V212)))</f>
        <v/>
      </c>
      <c r="C212" s="426" t="str">
        <f>IF(Measures!AM212="Row Not Used","",_xlfn.CONCAT(Measures!D212," - ",Measures!E212," - ",Measures!F212))</f>
        <v/>
      </c>
      <c r="D212" s="442" t="str">
        <f>IF(Measures!AM212="Row Not Used","",Measures!G212)</f>
        <v/>
      </c>
      <c r="E212" s="443" t="str">
        <f>IF(Measures!AM212="Row Not Used","",Measures!H212)</f>
        <v/>
      </c>
      <c r="F212" s="450" t="str">
        <f>IF(Measures!AM212="Row Not Used","",Measures!I212)</f>
        <v/>
      </c>
      <c r="G212" s="426" t="str">
        <f>IF(OR(Measures!AM212="Row Not Used",Measures!C212="Controls Only",Measures!C212="Decommissioning"),"",_xlfn.CONCAT(Measures!K212," - ",Measures!L212))</f>
        <v/>
      </c>
      <c r="H212" s="442" t="str">
        <f>IF(OR(Measures!AM212="Row Not Used",Measures!C212="Controls Only",Measures!C212="Decommissioning"),"",Measures!M212)</f>
        <v/>
      </c>
      <c r="I212" s="443" t="str">
        <f>IF(OR(Measures!AM212="Row Not Used",Measures!C212="Controls Only",Measures!C212="Decommissioning"),"",Measures!N212)</f>
        <v/>
      </c>
      <c r="J212" s="444" t="str">
        <f>IF(OR(Measures!AM212="Row Not Used",Measures!C212="Controls Only",Measures!C212="Decommissioning"),"",Measures!O212)</f>
        <v/>
      </c>
      <c r="K212" s="425" t="str">
        <f>IF(OR(Measures!AM212="Row Not Used",Measures!C212="Controls Only",Measures!C212="Decommissioning"),"",Measures!AS212)</f>
        <v/>
      </c>
      <c r="L212" s="426" t="str">
        <f>IF(OR(Measures!AM212="Row Not Used",Measures!AM212="Decommissioning",ISBLANK(Measures!R212)),"",Measures!R212)</f>
        <v/>
      </c>
      <c r="M212" s="431" t="str">
        <f>IF(OR(Measures!AM212="Row Not Used",Measures!AM212="Fixtures Only",Measures!AM212="Decommissioning"),"",Measures!S212)</f>
        <v/>
      </c>
      <c r="N212" s="432" t="str">
        <f>IF(Measures!AM212="Row Not Used","",Measures!AF212)</f>
        <v/>
      </c>
      <c r="O212" s="426" t="str">
        <f>IF(Measures!AM212="Row Not Used","",Measures!C212)</f>
        <v/>
      </c>
      <c r="P212" s="133" t="str">
        <f t="shared" si="3"/>
        <v>No</v>
      </c>
    </row>
    <row r="213" spans="1:16" ht="75.599999999999994" customHeight="1" x14ac:dyDescent="0.3">
      <c r="A213" s="454">
        <f>Measures!A213</f>
        <v>206</v>
      </c>
      <c r="B213" s="425" t="str">
        <f>IF(Measures!AM213="Row Not Used","",IF(ISBLANK(Measures!V213),Measures!B213,_xlfn.CONCAT(Measures!B213," - ",Measures!V213)))</f>
        <v/>
      </c>
      <c r="C213" s="426" t="str">
        <f>IF(Measures!AM213="Row Not Used","",_xlfn.CONCAT(Measures!D213," - ",Measures!E213," - ",Measures!F213))</f>
        <v/>
      </c>
      <c r="D213" s="442" t="str">
        <f>IF(Measures!AM213="Row Not Used","",Measures!G213)</f>
        <v/>
      </c>
      <c r="E213" s="443" t="str">
        <f>IF(Measures!AM213="Row Not Used","",Measures!H213)</f>
        <v/>
      </c>
      <c r="F213" s="450" t="str">
        <f>IF(Measures!AM213="Row Not Used","",Measures!I213)</f>
        <v/>
      </c>
      <c r="G213" s="426" t="str">
        <f>IF(OR(Measures!AM213="Row Not Used",Measures!C213="Controls Only",Measures!C213="Decommissioning"),"",_xlfn.CONCAT(Measures!K213," - ",Measures!L213))</f>
        <v/>
      </c>
      <c r="H213" s="442" t="str">
        <f>IF(OR(Measures!AM213="Row Not Used",Measures!C213="Controls Only",Measures!C213="Decommissioning"),"",Measures!M213)</f>
        <v/>
      </c>
      <c r="I213" s="443" t="str">
        <f>IF(OR(Measures!AM213="Row Not Used",Measures!C213="Controls Only",Measures!C213="Decommissioning"),"",Measures!N213)</f>
        <v/>
      </c>
      <c r="J213" s="444" t="str">
        <f>IF(OR(Measures!AM213="Row Not Used",Measures!C213="Controls Only",Measures!C213="Decommissioning"),"",Measures!O213)</f>
        <v/>
      </c>
      <c r="K213" s="425" t="str">
        <f>IF(OR(Measures!AM213="Row Not Used",Measures!C213="Controls Only",Measures!C213="Decommissioning"),"",Measures!AS213)</f>
        <v/>
      </c>
      <c r="L213" s="426" t="str">
        <f>IF(OR(Measures!AM213="Row Not Used",Measures!AM213="Decommissioning",ISBLANK(Measures!R213)),"",Measures!R213)</f>
        <v/>
      </c>
      <c r="M213" s="431" t="str">
        <f>IF(OR(Measures!AM213="Row Not Used",Measures!AM213="Fixtures Only",Measures!AM213="Decommissioning"),"",Measures!S213)</f>
        <v/>
      </c>
      <c r="N213" s="432" t="str">
        <f>IF(Measures!AM213="Row Not Used","",Measures!AF213)</f>
        <v/>
      </c>
      <c r="O213" s="426" t="str">
        <f>IF(Measures!AM213="Row Not Used","",Measures!C213)</f>
        <v/>
      </c>
      <c r="P213" s="133" t="str">
        <f t="shared" si="3"/>
        <v>No</v>
      </c>
    </row>
    <row r="214" spans="1:16" ht="75.599999999999994" customHeight="1" x14ac:dyDescent="0.3">
      <c r="A214" s="454">
        <f>Measures!A214</f>
        <v>207</v>
      </c>
      <c r="B214" s="425" t="str">
        <f>IF(Measures!AM214="Row Not Used","",IF(ISBLANK(Measures!V214),Measures!B214,_xlfn.CONCAT(Measures!B214," - ",Measures!V214)))</f>
        <v/>
      </c>
      <c r="C214" s="426" t="str">
        <f>IF(Measures!AM214="Row Not Used","",_xlfn.CONCAT(Measures!D214," - ",Measures!E214," - ",Measures!F214))</f>
        <v/>
      </c>
      <c r="D214" s="442" t="str">
        <f>IF(Measures!AM214="Row Not Used","",Measures!G214)</f>
        <v/>
      </c>
      <c r="E214" s="443" t="str">
        <f>IF(Measures!AM214="Row Not Used","",Measures!H214)</f>
        <v/>
      </c>
      <c r="F214" s="450" t="str">
        <f>IF(Measures!AM214="Row Not Used","",Measures!I214)</f>
        <v/>
      </c>
      <c r="G214" s="426" t="str">
        <f>IF(OR(Measures!AM214="Row Not Used",Measures!C214="Controls Only",Measures!C214="Decommissioning"),"",_xlfn.CONCAT(Measures!K214," - ",Measures!L214))</f>
        <v/>
      </c>
      <c r="H214" s="442" t="str">
        <f>IF(OR(Measures!AM214="Row Not Used",Measures!C214="Controls Only",Measures!C214="Decommissioning"),"",Measures!M214)</f>
        <v/>
      </c>
      <c r="I214" s="443" t="str">
        <f>IF(OR(Measures!AM214="Row Not Used",Measures!C214="Controls Only",Measures!C214="Decommissioning"),"",Measures!N214)</f>
        <v/>
      </c>
      <c r="J214" s="444" t="str">
        <f>IF(OR(Measures!AM214="Row Not Used",Measures!C214="Controls Only",Measures!C214="Decommissioning"),"",Measures!O214)</f>
        <v/>
      </c>
      <c r="K214" s="425" t="str">
        <f>IF(OR(Measures!AM214="Row Not Used",Measures!C214="Controls Only",Measures!C214="Decommissioning"),"",Measures!AS214)</f>
        <v/>
      </c>
      <c r="L214" s="426" t="str">
        <f>IF(OR(Measures!AM214="Row Not Used",Measures!AM214="Decommissioning",ISBLANK(Measures!R214)),"",Measures!R214)</f>
        <v/>
      </c>
      <c r="M214" s="431" t="str">
        <f>IF(OR(Measures!AM214="Row Not Used",Measures!AM214="Fixtures Only",Measures!AM214="Decommissioning"),"",Measures!S214)</f>
        <v/>
      </c>
      <c r="N214" s="432" t="str">
        <f>IF(Measures!AM214="Row Not Used","",Measures!AF214)</f>
        <v/>
      </c>
      <c r="O214" s="426" t="str">
        <f>IF(Measures!AM214="Row Not Used","",Measures!C214)</f>
        <v/>
      </c>
      <c r="P214" s="133" t="str">
        <f t="shared" si="3"/>
        <v>No</v>
      </c>
    </row>
    <row r="215" spans="1:16" ht="75.599999999999994" customHeight="1" x14ac:dyDescent="0.3">
      <c r="A215" s="454">
        <f>Measures!A215</f>
        <v>208</v>
      </c>
      <c r="B215" s="425" t="str">
        <f>IF(Measures!AM215="Row Not Used","",IF(ISBLANK(Measures!V215),Measures!B215,_xlfn.CONCAT(Measures!B215," - ",Measures!V215)))</f>
        <v/>
      </c>
      <c r="C215" s="426" t="str">
        <f>IF(Measures!AM215="Row Not Used","",_xlfn.CONCAT(Measures!D215," - ",Measures!E215," - ",Measures!F215))</f>
        <v/>
      </c>
      <c r="D215" s="442" t="str">
        <f>IF(Measures!AM215="Row Not Used","",Measures!G215)</f>
        <v/>
      </c>
      <c r="E215" s="443" t="str">
        <f>IF(Measures!AM215="Row Not Used","",Measures!H215)</f>
        <v/>
      </c>
      <c r="F215" s="450" t="str">
        <f>IF(Measures!AM215="Row Not Used","",Measures!I215)</f>
        <v/>
      </c>
      <c r="G215" s="426" t="str">
        <f>IF(OR(Measures!AM215="Row Not Used",Measures!C215="Controls Only",Measures!C215="Decommissioning"),"",_xlfn.CONCAT(Measures!K215," - ",Measures!L215))</f>
        <v/>
      </c>
      <c r="H215" s="442" t="str">
        <f>IF(OR(Measures!AM215="Row Not Used",Measures!C215="Controls Only",Measures!C215="Decommissioning"),"",Measures!M215)</f>
        <v/>
      </c>
      <c r="I215" s="443" t="str">
        <f>IF(OR(Measures!AM215="Row Not Used",Measures!C215="Controls Only",Measures!C215="Decommissioning"),"",Measures!N215)</f>
        <v/>
      </c>
      <c r="J215" s="444" t="str">
        <f>IF(OR(Measures!AM215="Row Not Used",Measures!C215="Controls Only",Measures!C215="Decommissioning"),"",Measures!O215)</f>
        <v/>
      </c>
      <c r="K215" s="425" t="str">
        <f>IF(OR(Measures!AM215="Row Not Used",Measures!C215="Controls Only",Measures!C215="Decommissioning"),"",Measures!AS215)</f>
        <v/>
      </c>
      <c r="L215" s="426" t="str">
        <f>IF(OR(Measures!AM215="Row Not Used",Measures!AM215="Decommissioning",ISBLANK(Measures!R215)),"",Measures!R215)</f>
        <v/>
      </c>
      <c r="M215" s="431" t="str">
        <f>IF(OR(Measures!AM215="Row Not Used",Measures!AM215="Fixtures Only",Measures!AM215="Decommissioning"),"",Measures!S215)</f>
        <v/>
      </c>
      <c r="N215" s="432" t="str">
        <f>IF(Measures!AM215="Row Not Used","",Measures!AF215)</f>
        <v/>
      </c>
      <c r="O215" s="426" t="str">
        <f>IF(Measures!AM215="Row Not Used","",Measures!C215)</f>
        <v/>
      </c>
      <c r="P215" s="133" t="str">
        <f t="shared" si="3"/>
        <v>No</v>
      </c>
    </row>
    <row r="216" spans="1:16" ht="75.599999999999994" customHeight="1" x14ac:dyDescent="0.3">
      <c r="A216" s="454">
        <f>Measures!A216</f>
        <v>209</v>
      </c>
      <c r="B216" s="425" t="str">
        <f>IF(Measures!AM216="Row Not Used","",IF(ISBLANK(Measures!V216),Measures!B216,_xlfn.CONCAT(Measures!B216," - ",Measures!V216)))</f>
        <v/>
      </c>
      <c r="C216" s="426" t="str">
        <f>IF(Measures!AM216="Row Not Used","",_xlfn.CONCAT(Measures!D216," - ",Measures!E216," - ",Measures!F216))</f>
        <v/>
      </c>
      <c r="D216" s="442" t="str">
        <f>IF(Measures!AM216="Row Not Used","",Measures!G216)</f>
        <v/>
      </c>
      <c r="E216" s="443" t="str">
        <f>IF(Measures!AM216="Row Not Used","",Measures!H216)</f>
        <v/>
      </c>
      <c r="F216" s="450" t="str">
        <f>IF(Measures!AM216="Row Not Used","",Measures!I216)</f>
        <v/>
      </c>
      <c r="G216" s="426" t="str">
        <f>IF(OR(Measures!AM216="Row Not Used",Measures!C216="Controls Only",Measures!C216="Decommissioning"),"",_xlfn.CONCAT(Measures!K216," - ",Measures!L216))</f>
        <v/>
      </c>
      <c r="H216" s="442" t="str">
        <f>IF(OR(Measures!AM216="Row Not Used",Measures!C216="Controls Only",Measures!C216="Decommissioning"),"",Measures!M216)</f>
        <v/>
      </c>
      <c r="I216" s="443" t="str">
        <f>IF(OR(Measures!AM216="Row Not Used",Measures!C216="Controls Only",Measures!C216="Decommissioning"),"",Measures!N216)</f>
        <v/>
      </c>
      <c r="J216" s="444" t="str">
        <f>IF(OR(Measures!AM216="Row Not Used",Measures!C216="Controls Only",Measures!C216="Decommissioning"),"",Measures!O216)</f>
        <v/>
      </c>
      <c r="K216" s="425" t="str">
        <f>IF(OR(Measures!AM216="Row Not Used",Measures!C216="Controls Only",Measures!C216="Decommissioning"),"",Measures!AS216)</f>
        <v/>
      </c>
      <c r="L216" s="426" t="str">
        <f>IF(OR(Measures!AM216="Row Not Used",Measures!AM216="Decommissioning",ISBLANK(Measures!R216)),"",Measures!R216)</f>
        <v/>
      </c>
      <c r="M216" s="431" t="str">
        <f>IF(OR(Measures!AM216="Row Not Used",Measures!AM216="Fixtures Only",Measures!AM216="Decommissioning"),"",Measures!S216)</f>
        <v/>
      </c>
      <c r="N216" s="432" t="str">
        <f>IF(Measures!AM216="Row Not Used","",Measures!AF216)</f>
        <v/>
      </c>
      <c r="O216" s="426" t="str">
        <f>IF(Measures!AM216="Row Not Used","",Measures!C216)</f>
        <v/>
      </c>
      <c r="P216" s="133" t="str">
        <f t="shared" si="3"/>
        <v>No</v>
      </c>
    </row>
    <row r="217" spans="1:16" ht="75.599999999999994" customHeight="1" x14ac:dyDescent="0.3">
      <c r="A217" s="454">
        <f>Measures!A217</f>
        <v>210</v>
      </c>
      <c r="B217" s="425" t="str">
        <f>IF(Measures!AM217="Row Not Used","",IF(ISBLANK(Measures!V217),Measures!B217,_xlfn.CONCAT(Measures!B217," - ",Measures!V217)))</f>
        <v/>
      </c>
      <c r="C217" s="426" t="str">
        <f>IF(Measures!AM217="Row Not Used","",_xlfn.CONCAT(Measures!D217," - ",Measures!E217," - ",Measures!F217))</f>
        <v/>
      </c>
      <c r="D217" s="442" t="str">
        <f>IF(Measures!AM217="Row Not Used","",Measures!G217)</f>
        <v/>
      </c>
      <c r="E217" s="443" t="str">
        <f>IF(Measures!AM217="Row Not Used","",Measures!H217)</f>
        <v/>
      </c>
      <c r="F217" s="450" t="str">
        <f>IF(Measures!AM217="Row Not Used","",Measures!I217)</f>
        <v/>
      </c>
      <c r="G217" s="426" t="str">
        <f>IF(OR(Measures!AM217="Row Not Used",Measures!C217="Controls Only",Measures!C217="Decommissioning"),"",_xlfn.CONCAT(Measures!K217," - ",Measures!L217))</f>
        <v/>
      </c>
      <c r="H217" s="442" t="str">
        <f>IF(OR(Measures!AM217="Row Not Used",Measures!C217="Controls Only",Measures!C217="Decommissioning"),"",Measures!M217)</f>
        <v/>
      </c>
      <c r="I217" s="443" t="str">
        <f>IF(OR(Measures!AM217="Row Not Used",Measures!C217="Controls Only",Measures!C217="Decommissioning"),"",Measures!N217)</f>
        <v/>
      </c>
      <c r="J217" s="444" t="str">
        <f>IF(OR(Measures!AM217="Row Not Used",Measures!C217="Controls Only",Measures!C217="Decommissioning"),"",Measures!O217)</f>
        <v/>
      </c>
      <c r="K217" s="425" t="str">
        <f>IF(OR(Measures!AM217="Row Not Used",Measures!C217="Controls Only",Measures!C217="Decommissioning"),"",Measures!AS217)</f>
        <v/>
      </c>
      <c r="L217" s="426" t="str">
        <f>IF(OR(Measures!AM217="Row Not Used",Measures!AM217="Decommissioning",ISBLANK(Measures!R217)),"",Measures!R217)</f>
        <v/>
      </c>
      <c r="M217" s="431" t="str">
        <f>IF(OR(Measures!AM217="Row Not Used",Measures!AM217="Fixtures Only",Measures!AM217="Decommissioning"),"",Measures!S217)</f>
        <v/>
      </c>
      <c r="N217" s="432" t="str">
        <f>IF(Measures!AM217="Row Not Used","",Measures!AF217)</f>
        <v/>
      </c>
      <c r="O217" s="426" t="str">
        <f>IF(Measures!AM217="Row Not Used","",Measures!C217)</f>
        <v/>
      </c>
      <c r="P217" s="133" t="str">
        <f t="shared" si="3"/>
        <v>No</v>
      </c>
    </row>
    <row r="218" spans="1:16" ht="75.599999999999994" customHeight="1" x14ac:dyDescent="0.3">
      <c r="A218" s="454">
        <f>Measures!A218</f>
        <v>211</v>
      </c>
      <c r="B218" s="425" t="str">
        <f>IF(Measures!AM218="Row Not Used","",IF(ISBLANK(Measures!V218),Measures!B218,_xlfn.CONCAT(Measures!B218," - ",Measures!V218)))</f>
        <v/>
      </c>
      <c r="C218" s="426" t="str">
        <f>IF(Measures!AM218="Row Not Used","",_xlfn.CONCAT(Measures!D218," - ",Measures!E218," - ",Measures!F218))</f>
        <v/>
      </c>
      <c r="D218" s="442" t="str">
        <f>IF(Measures!AM218="Row Not Used","",Measures!G218)</f>
        <v/>
      </c>
      <c r="E218" s="443" t="str">
        <f>IF(Measures!AM218="Row Not Used","",Measures!H218)</f>
        <v/>
      </c>
      <c r="F218" s="450" t="str">
        <f>IF(Measures!AM218="Row Not Used","",Measures!I218)</f>
        <v/>
      </c>
      <c r="G218" s="426" t="str">
        <f>IF(OR(Measures!AM218="Row Not Used",Measures!C218="Controls Only",Measures!C218="Decommissioning"),"",_xlfn.CONCAT(Measures!K218," - ",Measures!L218))</f>
        <v/>
      </c>
      <c r="H218" s="442" t="str">
        <f>IF(OR(Measures!AM218="Row Not Used",Measures!C218="Controls Only",Measures!C218="Decommissioning"),"",Measures!M218)</f>
        <v/>
      </c>
      <c r="I218" s="443" t="str">
        <f>IF(OR(Measures!AM218="Row Not Used",Measures!C218="Controls Only",Measures!C218="Decommissioning"),"",Measures!N218)</f>
        <v/>
      </c>
      <c r="J218" s="444" t="str">
        <f>IF(OR(Measures!AM218="Row Not Used",Measures!C218="Controls Only",Measures!C218="Decommissioning"),"",Measures!O218)</f>
        <v/>
      </c>
      <c r="K218" s="425" t="str">
        <f>IF(OR(Measures!AM218="Row Not Used",Measures!C218="Controls Only",Measures!C218="Decommissioning"),"",Measures!AS218)</f>
        <v/>
      </c>
      <c r="L218" s="426" t="str">
        <f>IF(OR(Measures!AM218="Row Not Used",Measures!AM218="Decommissioning",ISBLANK(Measures!R218)),"",Measures!R218)</f>
        <v/>
      </c>
      <c r="M218" s="431" t="str">
        <f>IF(OR(Measures!AM218="Row Not Used",Measures!AM218="Fixtures Only",Measures!AM218="Decommissioning"),"",Measures!S218)</f>
        <v/>
      </c>
      <c r="N218" s="432" t="str">
        <f>IF(Measures!AM218="Row Not Used","",Measures!AF218)</f>
        <v/>
      </c>
      <c r="O218" s="426" t="str">
        <f>IF(Measures!AM218="Row Not Used","",Measures!C218)</f>
        <v/>
      </c>
      <c r="P218" s="133" t="str">
        <f t="shared" si="3"/>
        <v>No</v>
      </c>
    </row>
    <row r="219" spans="1:16" ht="75.599999999999994" customHeight="1" x14ac:dyDescent="0.3">
      <c r="A219" s="454">
        <f>Measures!A219</f>
        <v>212</v>
      </c>
      <c r="B219" s="425" t="str">
        <f>IF(Measures!AM219="Row Not Used","",IF(ISBLANK(Measures!V219),Measures!B219,_xlfn.CONCAT(Measures!B219," - ",Measures!V219)))</f>
        <v/>
      </c>
      <c r="C219" s="426" t="str">
        <f>IF(Measures!AM219="Row Not Used","",_xlfn.CONCAT(Measures!D219," - ",Measures!E219," - ",Measures!F219))</f>
        <v/>
      </c>
      <c r="D219" s="442" t="str">
        <f>IF(Measures!AM219="Row Not Used","",Measures!G219)</f>
        <v/>
      </c>
      <c r="E219" s="443" t="str">
        <f>IF(Measures!AM219="Row Not Used","",Measures!H219)</f>
        <v/>
      </c>
      <c r="F219" s="450" t="str">
        <f>IF(Measures!AM219="Row Not Used","",Measures!I219)</f>
        <v/>
      </c>
      <c r="G219" s="426" t="str">
        <f>IF(OR(Measures!AM219="Row Not Used",Measures!C219="Controls Only",Measures!C219="Decommissioning"),"",_xlfn.CONCAT(Measures!K219," - ",Measures!L219))</f>
        <v/>
      </c>
      <c r="H219" s="442" t="str">
        <f>IF(OR(Measures!AM219="Row Not Used",Measures!C219="Controls Only",Measures!C219="Decommissioning"),"",Measures!M219)</f>
        <v/>
      </c>
      <c r="I219" s="443" t="str">
        <f>IF(OR(Measures!AM219="Row Not Used",Measures!C219="Controls Only",Measures!C219="Decommissioning"),"",Measures!N219)</f>
        <v/>
      </c>
      <c r="J219" s="444" t="str">
        <f>IF(OR(Measures!AM219="Row Not Used",Measures!C219="Controls Only",Measures!C219="Decommissioning"),"",Measures!O219)</f>
        <v/>
      </c>
      <c r="K219" s="425" t="str">
        <f>IF(OR(Measures!AM219="Row Not Used",Measures!C219="Controls Only",Measures!C219="Decommissioning"),"",Measures!AS219)</f>
        <v/>
      </c>
      <c r="L219" s="426" t="str">
        <f>IF(OR(Measures!AM219="Row Not Used",Measures!AM219="Decommissioning",ISBLANK(Measures!R219)),"",Measures!R219)</f>
        <v/>
      </c>
      <c r="M219" s="431" t="str">
        <f>IF(OR(Measures!AM219="Row Not Used",Measures!AM219="Fixtures Only",Measures!AM219="Decommissioning"),"",Measures!S219)</f>
        <v/>
      </c>
      <c r="N219" s="432" t="str">
        <f>IF(Measures!AM219="Row Not Used","",Measures!AF219)</f>
        <v/>
      </c>
      <c r="O219" s="426" t="str">
        <f>IF(Measures!AM219="Row Not Used","",Measures!C219)</f>
        <v/>
      </c>
      <c r="P219" s="133" t="str">
        <f t="shared" si="3"/>
        <v>No</v>
      </c>
    </row>
    <row r="220" spans="1:16" ht="75.599999999999994" customHeight="1" x14ac:dyDescent="0.3">
      <c r="A220" s="454">
        <f>Measures!A220</f>
        <v>213</v>
      </c>
      <c r="B220" s="425" t="str">
        <f>IF(Measures!AM220="Row Not Used","",IF(ISBLANK(Measures!V220),Measures!B220,_xlfn.CONCAT(Measures!B220," - ",Measures!V220)))</f>
        <v/>
      </c>
      <c r="C220" s="426" t="str">
        <f>IF(Measures!AM220="Row Not Used","",_xlfn.CONCAT(Measures!D220," - ",Measures!E220," - ",Measures!F220))</f>
        <v/>
      </c>
      <c r="D220" s="442" t="str">
        <f>IF(Measures!AM220="Row Not Used","",Measures!G220)</f>
        <v/>
      </c>
      <c r="E220" s="443" t="str">
        <f>IF(Measures!AM220="Row Not Used","",Measures!H220)</f>
        <v/>
      </c>
      <c r="F220" s="450" t="str">
        <f>IF(Measures!AM220="Row Not Used","",Measures!I220)</f>
        <v/>
      </c>
      <c r="G220" s="426" t="str">
        <f>IF(OR(Measures!AM220="Row Not Used",Measures!C220="Controls Only",Measures!C220="Decommissioning"),"",_xlfn.CONCAT(Measures!K220," - ",Measures!L220))</f>
        <v/>
      </c>
      <c r="H220" s="442" t="str">
        <f>IF(OR(Measures!AM220="Row Not Used",Measures!C220="Controls Only",Measures!C220="Decommissioning"),"",Measures!M220)</f>
        <v/>
      </c>
      <c r="I220" s="443" t="str">
        <f>IF(OR(Measures!AM220="Row Not Used",Measures!C220="Controls Only",Measures!C220="Decommissioning"),"",Measures!N220)</f>
        <v/>
      </c>
      <c r="J220" s="444" t="str">
        <f>IF(OR(Measures!AM220="Row Not Used",Measures!C220="Controls Only",Measures!C220="Decommissioning"),"",Measures!O220)</f>
        <v/>
      </c>
      <c r="K220" s="425" t="str">
        <f>IF(OR(Measures!AM220="Row Not Used",Measures!C220="Controls Only",Measures!C220="Decommissioning"),"",Measures!AS220)</f>
        <v/>
      </c>
      <c r="L220" s="426" t="str">
        <f>IF(OR(Measures!AM220="Row Not Used",Measures!AM220="Decommissioning",ISBLANK(Measures!R220)),"",Measures!R220)</f>
        <v/>
      </c>
      <c r="M220" s="431" t="str">
        <f>IF(OR(Measures!AM220="Row Not Used",Measures!AM220="Fixtures Only",Measures!AM220="Decommissioning"),"",Measures!S220)</f>
        <v/>
      </c>
      <c r="N220" s="432" t="str">
        <f>IF(Measures!AM220="Row Not Used","",Measures!AF220)</f>
        <v/>
      </c>
      <c r="O220" s="426" t="str">
        <f>IF(Measures!AM220="Row Not Used","",Measures!C220)</f>
        <v/>
      </c>
      <c r="P220" s="133" t="str">
        <f t="shared" si="3"/>
        <v>No</v>
      </c>
    </row>
    <row r="221" spans="1:16" ht="75.599999999999994" customHeight="1" x14ac:dyDescent="0.3">
      <c r="A221" s="454">
        <f>Measures!A221</f>
        <v>214</v>
      </c>
      <c r="B221" s="425" t="str">
        <f>IF(Measures!AM221="Row Not Used","",IF(ISBLANK(Measures!V221),Measures!B221,_xlfn.CONCAT(Measures!B221," - ",Measures!V221)))</f>
        <v/>
      </c>
      <c r="C221" s="426" t="str">
        <f>IF(Measures!AM221="Row Not Used","",_xlfn.CONCAT(Measures!D221," - ",Measures!E221," - ",Measures!F221))</f>
        <v/>
      </c>
      <c r="D221" s="442" t="str">
        <f>IF(Measures!AM221="Row Not Used","",Measures!G221)</f>
        <v/>
      </c>
      <c r="E221" s="443" t="str">
        <f>IF(Measures!AM221="Row Not Used","",Measures!H221)</f>
        <v/>
      </c>
      <c r="F221" s="450" t="str">
        <f>IF(Measures!AM221="Row Not Used","",Measures!I221)</f>
        <v/>
      </c>
      <c r="G221" s="426" t="str">
        <f>IF(OR(Measures!AM221="Row Not Used",Measures!C221="Controls Only",Measures!C221="Decommissioning"),"",_xlfn.CONCAT(Measures!K221," - ",Measures!L221))</f>
        <v/>
      </c>
      <c r="H221" s="442" t="str">
        <f>IF(OR(Measures!AM221="Row Not Used",Measures!C221="Controls Only",Measures!C221="Decommissioning"),"",Measures!M221)</f>
        <v/>
      </c>
      <c r="I221" s="443" t="str">
        <f>IF(OR(Measures!AM221="Row Not Used",Measures!C221="Controls Only",Measures!C221="Decommissioning"),"",Measures!N221)</f>
        <v/>
      </c>
      <c r="J221" s="444" t="str">
        <f>IF(OR(Measures!AM221="Row Not Used",Measures!C221="Controls Only",Measures!C221="Decommissioning"),"",Measures!O221)</f>
        <v/>
      </c>
      <c r="K221" s="425" t="str">
        <f>IF(OR(Measures!AM221="Row Not Used",Measures!C221="Controls Only",Measures!C221="Decommissioning"),"",Measures!AS221)</f>
        <v/>
      </c>
      <c r="L221" s="426" t="str">
        <f>IF(OR(Measures!AM221="Row Not Used",Measures!AM221="Decommissioning",ISBLANK(Measures!R221)),"",Measures!R221)</f>
        <v/>
      </c>
      <c r="M221" s="431" t="str">
        <f>IF(OR(Measures!AM221="Row Not Used",Measures!AM221="Fixtures Only",Measures!AM221="Decommissioning"),"",Measures!S221)</f>
        <v/>
      </c>
      <c r="N221" s="432" t="str">
        <f>IF(Measures!AM221="Row Not Used","",Measures!AF221)</f>
        <v/>
      </c>
      <c r="O221" s="426" t="str">
        <f>IF(Measures!AM221="Row Not Used","",Measures!C221)</f>
        <v/>
      </c>
      <c r="P221" s="133" t="str">
        <f t="shared" si="3"/>
        <v>No</v>
      </c>
    </row>
    <row r="222" spans="1:16" ht="75.599999999999994" customHeight="1" x14ac:dyDescent="0.3">
      <c r="A222" s="454">
        <f>Measures!A222</f>
        <v>215</v>
      </c>
      <c r="B222" s="425" t="str">
        <f>IF(Measures!AM222="Row Not Used","",IF(ISBLANK(Measures!V222),Measures!B222,_xlfn.CONCAT(Measures!B222," - ",Measures!V222)))</f>
        <v/>
      </c>
      <c r="C222" s="426" t="str">
        <f>IF(Measures!AM222="Row Not Used","",_xlfn.CONCAT(Measures!D222," - ",Measures!E222," - ",Measures!F222))</f>
        <v/>
      </c>
      <c r="D222" s="442" t="str">
        <f>IF(Measures!AM222="Row Not Used","",Measures!G222)</f>
        <v/>
      </c>
      <c r="E222" s="443" t="str">
        <f>IF(Measures!AM222="Row Not Used","",Measures!H222)</f>
        <v/>
      </c>
      <c r="F222" s="450" t="str">
        <f>IF(Measures!AM222="Row Not Used","",Measures!I222)</f>
        <v/>
      </c>
      <c r="G222" s="426" t="str">
        <f>IF(OR(Measures!AM222="Row Not Used",Measures!C222="Controls Only",Measures!C222="Decommissioning"),"",_xlfn.CONCAT(Measures!K222," - ",Measures!L222))</f>
        <v/>
      </c>
      <c r="H222" s="442" t="str">
        <f>IF(OR(Measures!AM222="Row Not Used",Measures!C222="Controls Only",Measures!C222="Decommissioning"),"",Measures!M222)</f>
        <v/>
      </c>
      <c r="I222" s="443" t="str">
        <f>IF(OR(Measures!AM222="Row Not Used",Measures!C222="Controls Only",Measures!C222="Decommissioning"),"",Measures!N222)</f>
        <v/>
      </c>
      <c r="J222" s="444" t="str">
        <f>IF(OR(Measures!AM222="Row Not Used",Measures!C222="Controls Only",Measures!C222="Decommissioning"),"",Measures!O222)</f>
        <v/>
      </c>
      <c r="K222" s="425" t="str">
        <f>IF(OR(Measures!AM222="Row Not Used",Measures!C222="Controls Only",Measures!C222="Decommissioning"),"",Measures!AS222)</f>
        <v/>
      </c>
      <c r="L222" s="426" t="str">
        <f>IF(OR(Measures!AM222="Row Not Used",Measures!AM222="Decommissioning",ISBLANK(Measures!R222)),"",Measures!R222)</f>
        <v/>
      </c>
      <c r="M222" s="431" t="str">
        <f>IF(OR(Measures!AM222="Row Not Used",Measures!AM222="Fixtures Only",Measures!AM222="Decommissioning"),"",Measures!S222)</f>
        <v/>
      </c>
      <c r="N222" s="432" t="str">
        <f>IF(Measures!AM222="Row Not Used","",Measures!AF222)</f>
        <v/>
      </c>
      <c r="O222" s="426" t="str">
        <f>IF(Measures!AM222="Row Not Used","",Measures!C222)</f>
        <v/>
      </c>
      <c r="P222" s="133" t="str">
        <f t="shared" si="3"/>
        <v>No</v>
      </c>
    </row>
    <row r="223" spans="1:16" ht="75.599999999999994" customHeight="1" x14ac:dyDescent="0.3">
      <c r="A223" s="454">
        <f>Measures!A223</f>
        <v>216</v>
      </c>
      <c r="B223" s="425" t="str">
        <f>IF(Measures!AM223="Row Not Used","",IF(ISBLANK(Measures!V223),Measures!B223,_xlfn.CONCAT(Measures!B223," - ",Measures!V223)))</f>
        <v/>
      </c>
      <c r="C223" s="426" t="str">
        <f>IF(Measures!AM223="Row Not Used","",_xlfn.CONCAT(Measures!D223," - ",Measures!E223," - ",Measures!F223))</f>
        <v/>
      </c>
      <c r="D223" s="442" t="str">
        <f>IF(Measures!AM223="Row Not Used","",Measures!G223)</f>
        <v/>
      </c>
      <c r="E223" s="443" t="str">
        <f>IF(Measures!AM223="Row Not Used","",Measures!H223)</f>
        <v/>
      </c>
      <c r="F223" s="450" t="str">
        <f>IF(Measures!AM223="Row Not Used","",Measures!I223)</f>
        <v/>
      </c>
      <c r="G223" s="426" t="str">
        <f>IF(OR(Measures!AM223="Row Not Used",Measures!C223="Controls Only",Measures!C223="Decommissioning"),"",_xlfn.CONCAT(Measures!K223," - ",Measures!L223))</f>
        <v/>
      </c>
      <c r="H223" s="442" t="str">
        <f>IF(OR(Measures!AM223="Row Not Used",Measures!C223="Controls Only",Measures!C223="Decommissioning"),"",Measures!M223)</f>
        <v/>
      </c>
      <c r="I223" s="443" t="str">
        <f>IF(OR(Measures!AM223="Row Not Used",Measures!C223="Controls Only",Measures!C223="Decommissioning"),"",Measures!N223)</f>
        <v/>
      </c>
      <c r="J223" s="444" t="str">
        <f>IF(OR(Measures!AM223="Row Not Used",Measures!C223="Controls Only",Measures!C223="Decommissioning"),"",Measures!O223)</f>
        <v/>
      </c>
      <c r="K223" s="425" t="str">
        <f>IF(OR(Measures!AM223="Row Not Used",Measures!C223="Controls Only",Measures!C223="Decommissioning"),"",Measures!AS223)</f>
        <v/>
      </c>
      <c r="L223" s="426" t="str">
        <f>IF(OR(Measures!AM223="Row Not Used",Measures!AM223="Decommissioning",ISBLANK(Measures!R223)),"",Measures!R223)</f>
        <v/>
      </c>
      <c r="M223" s="431" t="str">
        <f>IF(OR(Measures!AM223="Row Not Used",Measures!AM223="Fixtures Only",Measures!AM223="Decommissioning"),"",Measures!S223)</f>
        <v/>
      </c>
      <c r="N223" s="432" t="str">
        <f>IF(Measures!AM223="Row Not Used","",Measures!AF223)</f>
        <v/>
      </c>
      <c r="O223" s="426" t="str">
        <f>IF(Measures!AM223="Row Not Used","",Measures!C223)</f>
        <v/>
      </c>
      <c r="P223" s="133" t="str">
        <f t="shared" si="3"/>
        <v>No</v>
      </c>
    </row>
    <row r="224" spans="1:16" ht="75.599999999999994" customHeight="1" x14ac:dyDescent="0.3">
      <c r="A224" s="454">
        <f>Measures!A224</f>
        <v>217</v>
      </c>
      <c r="B224" s="425" t="str">
        <f>IF(Measures!AM224="Row Not Used","",IF(ISBLANK(Measures!V224),Measures!B224,_xlfn.CONCAT(Measures!B224," - ",Measures!V224)))</f>
        <v/>
      </c>
      <c r="C224" s="426" t="str">
        <f>IF(Measures!AM224="Row Not Used","",_xlfn.CONCAT(Measures!D224," - ",Measures!E224," - ",Measures!F224))</f>
        <v/>
      </c>
      <c r="D224" s="442" t="str">
        <f>IF(Measures!AM224="Row Not Used","",Measures!G224)</f>
        <v/>
      </c>
      <c r="E224" s="443" t="str">
        <f>IF(Measures!AM224="Row Not Used","",Measures!H224)</f>
        <v/>
      </c>
      <c r="F224" s="450" t="str">
        <f>IF(Measures!AM224="Row Not Used","",Measures!I224)</f>
        <v/>
      </c>
      <c r="G224" s="426" t="str">
        <f>IF(OR(Measures!AM224="Row Not Used",Measures!C224="Controls Only",Measures!C224="Decommissioning"),"",_xlfn.CONCAT(Measures!K224," - ",Measures!L224))</f>
        <v/>
      </c>
      <c r="H224" s="442" t="str">
        <f>IF(OR(Measures!AM224="Row Not Used",Measures!C224="Controls Only",Measures!C224="Decommissioning"),"",Measures!M224)</f>
        <v/>
      </c>
      <c r="I224" s="443" t="str">
        <f>IF(OR(Measures!AM224="Row Not Used",Measures!C224="Controls Only",Measures!C224="Decommissioning"),"",Measures!N224)</f>
        <v/>
      </c>
      <c r="J224" s="444" t="str">
        <f>IF(OR(Measures!AM224="Row Not Used",Measures!C224="Controls Only",Measures!C224="Decommissioning"),"",Measures!O224)</f>
        <v/>
      </c>
      <c r="K224" s="425" t="str">
        <f>IF(OR(Measures!AM224="Row Not Used",Measures!C224="Controls Only",Measures!C224="Decommissioning"),"",Measures!AS224)</f>
        <v/>
      </c>
      <c r="L224" s="426" t="str">
        <f>IF(OR(Measures!AM224="Row Not Used",Measures!AM224="Decommissioning",ISBLANK(Measures!R224)),"",Measures!R224)</f>
        <v/>
      </c>
      <c r="M224" s="431" t="str">
        <f>IF(OR(Measures!AM224="Row Not Used",Measures!AM224="Fixtures Only",Measures!AM224="Decommissioning"),"",Measures!S224)</f>
        <v/>
      </c>
      <c r="N224" s="432" t="str">
        <f>IF(Measures!AM224="Row Not Used","",Measures!AF224)</f>
        <v/>
      </c>
      <c r="O224" s="426" t="str">
        <f>IF(Measures!AM224="Row Not Used","",Measures!C224)</f>
        <v/>
      </c>
      <c r="P224" s="133" t="str">
        <f t="shared" si="3"/>
        <v>No</v>
      </c>
    </row>
    <row r="225" spans="1:16" ht="75.599999999999994" customHeight="1" x14ac:dyDescent="0.3">
      <c r="A225" s="454">
        <f>Measures!A225</f>
        <v>218</v>
      </c>
      <c r="B225" s="425" t="str">
        <f>IF(Measures!AM225="Row Not Used","",IF(ISBLANK(Measures!V225),Measures!B225,_xlfn.CONCAT(Measures!B225," - ",Measures!V225)))</f>
        <v/>
      </c>
      <c r="C225" s="426" t="str">
        <f>IF(Measures!AM225="Row Not Used","",_xlfn.CONCAT(Measures!D225," - ",Measures!E225," - ",Measures!F225))</f>
        <v/>
      </c>
      <c r="D225" s="442" t="str">
        <f>IF(Measures!AM225="Row Not Used","",Measures!G225)</f>
        <v/>
      </c>
      <c r="E225" s="443" t="str">
        <f>IF(Measures!AM225="Row Not Used","",Measures!H225)</f>
        <v/>
      </c>
      <c r="F225" s="450" t="str">
        <f>IF(Measures!AM225="Row Not Used","",Measures!I225)</f>
        <v/>
      </c>
      <c r="G225" s="426" t="str">
        <f>IF(OR(Measures!AM225="Row Not Used",Measures!C225="Controls Only",Measures!C225="Decommissioning"),"",_xlfn.CONCAT(Measures!K225," - ",Measures!L225))</f>
        <v/>
      </c>
      <c r="H225" s="442" t="str">
        <f>IF(OR(Measures!AM225="Row Not Used",Measures!C225="Controls Only",Measures!C225="Decommissioning"),"",Measures!M225)</f>
        <v/>
      </c>
      <c r="I225" s="443" t="str">
        <f>IF(OR(Measures!AM225="Row Not Used",Measures!C225="Controls Only",Measures!C225="Decommissioning"),"",Measures!N225)</f>
        <v/>
      </c>
      <c r="J225" s="444" t="str">
        <f>IF(OR(Measures!AM225="Row Not Used",Measures!C225="Controls Only",Measures!C225="Decommissioning"),"",Measures!O225)</f>
        <v/>
      </c>
      <c r="K225" s="425" t="str">
        <f>IF(OR(Measures!AM225="Row Not Used",Measures!C225="Controls Only",Measures!C225="Decommissioning"),"",Measures!AS225)</f>
        <v/>
      </c>
      <c r="L225" s="426" t="str">
        <f>IF(OR(Measures!AM225="Row Not Used",Measures!AM225="Decommissioning",ISBLANK(Measures!R225)),"",Measures!R225)</f>
        <v/>
      </c>
      <c r="M225" s="431" t="str">
        <f>IF(OR(Measures!AM225="Row Not Used",Measures!AM225="Fixtures Only",Measures!AM225="Decommissioning"),"",Measures!S225)</f>
        <v/>
      </c>
      <c r="N225" s="432" t="str">
        <f>IF(Measures!AM225="Row Not Used","",Measures!AF225)</f>
        <v/>
      </c>
      <c r="O225" s="426" t="str">
        <f>IF(Measures!AM225="Row Not Used","",Measures!C225)</f>
        <v/>
      </c>
      <c r="P225" s="133" t="str">
        <f t="shared" si="3"/>
        <v>No</v>
      </c>
    </row>
    <row r="226" spans="1:16" ht="75.599999999999994" customHeight="1" x14ac:dyDescent="0.3">
      <c r="A226" s="454">
        <f>Measures!A226</f>
        <v>219</v>
      </c>
      <c r="B226" s="425" t="str">
        <f>IF(Measures!AM226="Row Not Used","",IF(ISBLANK(Measures!V226),Measures!B226,_xlfn.CONCAT(Measures!B226," - ",Measures!V226)))</f>
        <v/>
      </c>
      <c r="C226" s="426" t="str">
        <f>IF(Measures!AM226="Row Not Used","",_xlfn.CONCAT(Measures!D226," - ",Measures!E226," - ",Measures!F226))</f>
        <v/>
      </c>
      <c r="D226" s="442" t="str">
        <f>IF(Measures!AM226="Row Not Used","",Measures!G226)</f>
        <v/>
      </c>
      <c r="E226" s="443" t="str">
        <f>IF(Measures!AM226="Row Not Used","",Measures!H226)</f>
        <v/>
      </c>
      <c r="F226" s="450" t="str">
        <f>IF(Measures!AM226="Row Not Used","",Measures!I226)</f>
        <v/>
      </c>
      <c r="G226" s="426" t="str">
        <f>IF(OR(Measures!AM226="Row Not Used",Measures!C226="Controls Only",Measures!C226="Decommissioning"),"",_xlfn.CONCAT(Measures!K226," - ",Measures!L226))</f>
        <v/>
      </c>
      <c r="H226" s="442" t="str">
        <f>IF(OR(Measures!AM226="Row Not Used",Measures!C226="Controls Only",Measures!C226="Decommissioning"),"",Measures!M226)</f>
        <v/>
      </c>
      <c r="I226" s="443" t="str">
        <f>IF(OR(Measures!AM226="Row Not Used",Measures!C226="Controls Only",Measures!C226="Decommissioning"),"",Measures!N226)</f>
        <v/>
      </c>
      <c r="J226" s="444" t="str">
        <f>IF(OR(Measures!AM226="Row Not Used",Measures!C226="Controls Only",Measures!C226="Decommissioning"),"",Measures!O226)</f>
        <v/>
      </c>
      <c r="K226" s="425" t="str">
        <f>IF(OR(Measures!AM226="Row Not Used",Measures!C226="Controls Only",Measures!C226="Decommissioning"),"",Measures!AS226)</f>
        <v/>
      </c>
      <c r="L226" s="426" t="str">
        <f>IF(OR(Measures!AM226="Row Not Used",Measures!AM226="Decommissioning",ISBLANK(Measures!R226)),"",Measures!R226)</f>
        <v/>
      </c>
      <c r="M226" s="431" t="str">
        <f>IF(OR(Measures!AM226="Row Not Used",Measures!AM226="Fixtures Only",Measures!AM226="Decommissioning"),"",Measures!S226)</f>
        <v/>
      </c>
      <c r="N226" s="432" t="str">
        <f>IF(Measures!AM226="Row Not Used","",Measures!AF226)</f>
        <v/>
      </c>
      <c r="O226" s="426" t="str">
        <f>IF(Measures!AM226="Row Not Used","",Measures!C226)</f>
        <v/>
      </c>
      <c r="P226" s="133" t="str">
        <f t="shared" si="3"/>
        <v>No</v>
      </c>
    </row>
    <row r="227" spans="1:16" ht="75.599999999999994" customHeight="1" x14ac:dyDescent="0.3">
      <c r="A227" s="454">
        <f>Measures!A227</f>
        <v>220</v>
      </c>
      <c r="B227" s="425" t="str">
        <f>IF(Measures!AM227="Row Not Used","",IF(ISBLANK(Measures!V227),Measures!B227,_xlfn.CONCAT(Measures!B227," - ",Measures!V227)))</f>
        <v/>
      </c>
      <c r="C227" s="426" t="str">
        <f>IF(Measures!AM227="Row Not Used","",_xlfn.CONCAT(Measures!D227," - ",Measures!E227," - ",Measures!F227))</f>
        <v/>
      </c>
      <c r="D227" s="442" t="str">
        <f>IF(Measures!AM227="Row Not Used","",Measures!G227)</f>
        <v/>
      </c>
      <c r="E227" s="443" t="str">
        <f>IF(Measures!AM227="Row Not Used","",Measures!H227)</f>
        <v/>
      </c>
      <c r="F227" s="450" t="str">
        <f>IF(Measures!AM227="Row Not Used","",Measures!I227)</f>
        <v/>
      </c>
      <c r="G227" s="426" t="str">
        <f>IF(OR(Measures!AM227="Row Not Used",Measures!C227="Controls Only",Measures!C227="Decommissioning"),"",_xlfn.CONCAT(Measures!K227," - ",Measures!L227))</f>
        <v/>
      </c>
      <c r="H227" s="442" t="str">
        <f>IF(OR(Measures!AM227="Row Not Used",Measures!C227="Controls Only",Measures!C227="Decommissioning"),"",Measures!M227)</f>
        <v/>
      </c>
      <c r="I227" s="443" t="str">
        <f>IF(OR(Measures!AM227="Row Not Used",Measures!C227="Controls Only",Measures!C227="Decommissioning"),"",Measures!N227)</f>
        <v/>
      </c>
      <c r="J227" s="444" t="str">
        <f>IF(OR(Measures!AM227="Row Not Used",Measures!C227="Controls Only",Measures!C227="Decommissioning"),"",Measures!O227)</f>
        <v/>
      </c>
      <c r="K227" s="425" t="str">
        <f>IF(OR(Measures!AM227="Row Not Used",Measures!C227="Controls Only",Measures!C227="Decommissioning"),"",Measures!AS227)</f>
        <v/>
      </c>
      <c r="L227" s="426" t="str">
        <f>IF(OR(Measures!AM227="Row Not Used",Measures!AM227="Decommissioning",ISBLANK(Measures!R227)),"",Measures!R227)</f>
        <v/>
      </c>
      <c r="M227" s="431" t="str">
        <f>IF(OR(Measures!AM227="Row Not Used",Measures!AM227="Fixtures Only",Measures!AM227="Decommissioning"),"",Measures!S227)</f>
        <v/>
      </c>
      <c r="N227" s="432" t="str">
        <f>IF(Measures!AM227="Row Not Used","",Measures!AF227)</f>
        <v/>
      </c>
      <c r="O227" s="426" t="str">
        <f>IF(Measures!AM227="Row Not Used","",Measures!C227)</f>
        <v/>
      </c>
      <c r="P227" s="133" t="str">
        <f t="shared" si="3"/>
        <v>No</v>
      </c>
    </row>
    <row r="228" spans="1:16" ht="75.599999999999994" customHeight="1" x14ac:dyDescent="0.3">
      <c r="A228" s="454">
        <f>Measures!A228</f>
        <v>221</v>
      </c>
      <c r="B228" s="425" t="str">
        <f>IF(Measures!AM228="Row Not Used","",IF(ISBLANK(Measures!V228),Measures!B228,_xlfn.CONCAT(Measures!B228," - ",Measures!V228)))</f>
        <v/>
      </c>
      <c r="C228" s="426" t="str">
        <f>IF(Measures!AM228="Row Not Used","",_xlfn.CONCAT(Measures!D228," - ",Measures!E228," - ",Measures!F228))</f>
        <v/>
      </c>
      <c r="D228" s="442" t="str">
        <f>IF(Measures!AM228="Row Not Used","",Measures!G228)</f>
        <v/>
      </c>
      <c r="E228" s="443" t="str">
        <f>IF(Measures!AM228="Row Not Used","",Measures!H228)</f>
        <v/>
      </c>
      <c r="F228" s="450" t="str">
        <f>IF(Measures!AM228="Row Not Used","",Measures!I228)</f>
        <v/>
      </c>
      <c r="G228" s="426" t="str">
        <f>IF(OR(Measures!AM228="Row Not Used",Measures!C228="Controls Only",Measures!C228="Decommissioning"),"",_xlfn.CONCAT(Measures!K228," - ",Measures!L228))</f>
        <v/>
      </c>
      <c r="H228" s="442" t="str">
        <f>IF(OR(Measures!AM228="Row Not Used",Measures!C228="Controls Only",Measures!C228="Decommissioning"),"",Measures!M228)</f>
        <v/>
      </c>
      <c r="I228" s="443" t="str">
        <f>IF(OR(Measures!AM228="Row Not Used",Measures!C228="Controls Only",Measures!C228="Decommissioning"),"",Measures!N228)</f>
        <v/>
      </c>
      <c r="J228" s="444" t="str">
        <f>IF(OR(Measures!AM228="Row Not Used",Measures!C228="Controls Only",Measures!C228="Decommissioning"),"",Measures!O228)</f>
        <v/>
      </c>
      <c r="K228" s="425" t="str">
        <f>IF(OR(Measures!AM228="Row Not Used",Measures!C228="Controls Only",Measures!C228="Decommissioning"),"",Measures!AS228)</f>
        <v/>
      </c>
      <c r="L228" s="426" t="str">
        <f>IF(OR(Measures!AM228="Row Not Used",Measures!AM228="Decommissioning",ISBLANK(Measures!R228)),"",Measures!R228)</f>
        <v/>
      </c>
      <c r="M228" s="431" t="str">
        <f>IF(OR(Measures!AM228="Row Not Used",Measures!AM228="Fixtures Only",Measures!AM228="Decommissioning"),"",Measures!S228)</f>
        <v/>
      </c>
      <c r="N228" s="432" t="str">
        <f>IF(Measures!AM228="Row Not Used","",Measures!AF228)</f>
        <v/>
      </c>
      <c r="O228" s="426" t="str">
        <f>IF(Measures!AM228="Row Not Used","",Measures!C228)</f>
        <v/>
      </c>
      <c r="P228" s="133" t="str">
        <f t="shared" si="3"/>
        <v>No</v>
      </c>
    </row>
    <row r="229" spans="1:16" ht="75.599999999999994" customHeight="1" x14ac:dyDescent="0.3">
      <c r="A229" s="454">
        <f>Measures!A229</f>
        <v>222</v>
      </c>
      <c r="B229" s="425" t="str">
        <f>IF(Measures!AM229="Row Not Used","",IF(ISBLANK(Measures!V229),Measures!B229,_xlfn.CONCAT(Measures!B229," - ",Measures!V229)))</f>
        <v/>
      </c>
      <c r="C229" s="426" t="str">
        <f>IF(Measures!AM229="Row Not Used","",_xlfn.CONCAT(Measures!D229," - ",Measures!E229," - ",Measures!F229))</f>
        <v/>
      </c>
      <c r="D229" s="442" t="str">
        <f>IF(Measures!AM229="Row Not Used","",Measures!G229)</f>
        <v/>
      </c>
      <c r="E229" s="443" t="str">
        <f>IF(Measures!AM229="Row Not Used","",Measures!H229)</f>
        <v/>
      </c>
      <c r="F229" s="450" t="str">
        <f>IF(Measures!AM229="Row Not Used","",Measures!I229)</f>
        <v/>
      </c>
      <c r="G229" s="426" t="str">
        <f>IF(OR(Measures!AM229="Row Not Used",Measures!C229="Controls Only",Measures!C229="Decommissioning"),"",_xlfn.CONCAT(Measures!K229," - ",Measures!L229))</f>
        <v/>
      </c>
      <c r="H229" s="442" t="str">
        <f>IF(OR(Measures!AM229="Row Not Used",Measures!C229="Controls Only",Measures!C229="Decommissioning"),"",Measures!M229)</f>
        <v/>
      </c>
      <c r="I229" s="443" t="str">
        <f>IF(OR(Measures!AM229="Row Not Used",Measures!C229="Controls Only",Measures!C229="Decommissioning"),"",Measures!N229)</f>
        <v/>
      </c>
      <c r="J229" s="444" t="str">
        <f>IF(OR(Measures!AM229="Row Not Used",Measures!C229="Controls Only",Measures!C229="Decommissioning"),"",Measures!O229)</f>
        <v/>
      </c>
      <c r="K229" s="425" t="str">
        <f>IF(OR(Measures!AM229="Row Not Used",Measures!C229="Controls Only",Measures!C229="Decommissioning"),"",Measures!AS229)</f>
        <v/>
      </c>
      <c r="L229" s="426" t="str">
        <f>IF(OR(Measures!AM229="Row Not Used",Measures!AM229="Decommissioning",ISBLANK(Measures!R229)),"",Measures!R229)</f>
        <v/>
      </c>
      <c r="M229" s="431" t="str">
        <f>IF(OR(Measures!AM229="Row Not Used",Measures!AM229="Fixtures Only",Measures!AM229="Decommissioning"),"",Measures!S229)</f>
        <v/>
      </c>
      <c r="N229" s="432" t="str">
        <f>IF(Measures!AM229="Row Not Used","",Measures!AF229)</f>
        <v/>
      </c>
      <c r="O229" s="426" t="str">
        <f>IF(Measures!AM229="Row Not Used","",Measures!C229)</f>
        <v/>
      </c>
      <c r="P229" s="133" t="str">
        <f t="shared" si="3"/>
        <v>No</v>
      </c>
    </row>
    <row r="230" spans="1:16" ht="75.599999999999994" customHeight="1" x14ac:dyDescent="0.3">
      <c r="A230" s="454">
        <f>Measures!A230</f>
        <v>223</v>
      </c>
      <c r="B230" s="425" t="str">
        <f>IF(Measures!AM230="Row Not Used","",IF(ISBLANK(Measures!V230),Measures!B230,_xlfn.CONCAT(Measures!B230," - ",Measures!V230)))</f>
        <v/>
      </c>
      <c r="C230" s="426" t="str">
        <f>IF(Measures!AM230="Row Not Used","",_xlfn.CONCAT(Measures!D230," - ",Measures!E230," - ",Measures!F230))</f>
        <v/>
      </c>
      <c r="D230" s="442" t="str">
        <f>IF(Measures!AM230="Row Not Used","",Measures!G230)</f>
        <v/>
      </c>
      <c r="E230" s="443" t="str">
        <f>IF(Measures!AM230="Row Not Used","",Measures!H230)</f>
        <v/>
      </c>
      <c r="F230" s="450" t="str">
        <f>IF(Measures!AM230="Row Not Used","",Measures!I230)</f>
        <v/>
      </c>
      <c r="G230" s="426" t="str">
        <f>IF(OR(Measures!AM230="Row Not Used",Measures!C230="Controls Only",Measures!C230="Decommissioning"),"",_xlfn.CONCAT(Measures!K230," - ",Measures!L230))</f>
        <v/>
      </c>
      <c r="H230" s="442" t="str">
        <f>IF(OR(Measures!AM230="Row Not Used",Measures!C230="Controls Only",Measures!C230="Decommissioning"),"",Measures!M230)</f>
        <v/>
      </c>
      <c r="I230" s="443" t="str">
        <f>IF(OR(Measures!AM230="Row Not Used",Measures!C230="Controls Only",Measures!C230="Decommissioning"),"",Measures!N230)</f>
        <v/>
      </c>
      <c r="J230" s="444" t="str">
        <f>IF(OR(Measures!AM230="Row Not Used",Measures!C230="Controls Only",Measures!C230="Decommissioning"),"",Measures!O230)</f>
        <v/>
      </c>
      <c r="K230" s="425" t="str">
        <f>IF(OR(Measures!AM230="Row Not Used",Measures!C230="Controls Only",Measures!C230="Decommissioning"),"",Measures!AS230)</f>
        <v/>
      </c>
      <c r="L230" s="426" t="str">
        <f>IF(OR(Measures!AM230="Row Not Used",Measures!AM230="Decommissioning",ISBLANK(Measures!R230)),"",Measures!R230)</f>
        <v/>
      </c>
      <c r="M230" s="431" t="str">
        <f>IF(OR(Measures!AM230="Row Not Used",Measures!AM230="Fixtures Only",Measures!AM230="Decommissioning"),"",Measures!S230)</f>
        <v/>
      </c>
      <c r="N230" s="432" t="str">
        <f>IF(Measures!AM230="Row Not Used","",Measures!AF230)</f>
        <v/>
      </c>
      <c r="O230" s="426" t="str">
        <f>IF(Measures!AM230="Row Not Used","",Measures!C230)</f>
        <v/>
      </c>
      <c r="P230" s="133" t="str">
        <f t="shared" si="3"/>
        <v>No</v>
      </c>
    </row>
    <row r="231" spans="1:16" ht="75.599999999999994" customHeight="1" x14ac:dyDescent="0.3">
      <c r="A231" s="454">
        <f>Measures!A231</f>
        <v>224</v>
      </c>
      <c r="B231" s="425" t="str">
        <f>IF(Measures!AM231="Row Not Used","",IF(ISBLANK(Measures!V231),Measures!B231,_xlfn.CONCAT(Measures!B231," - ",Measures!V231)))</f>
        <v/>
      </c>
      <c r="C231" s="426" t="str">
        <f>IF(Measures!AM231="Row Not Used","",_xlfn.CONCAT(Measures!D231," - ",Measures!E231," - ",Measures!F231))</f>
        <v/>
      </c>
      <c r="D231" s="442" t="str">
        <f>IF(Measures!AM231="Row Not Used","",Measures!G231)</f>
        <v/>
      </c>
      <c r="E231" s="443" t="str">
        <f>IF(Measures!AM231="Row Not Used","",Measures!H231)</f>
        <v/>
      </c>
      <c r="F231" s="450" t="str">
        <f>IF(Measures!AM231="Row Not Used","",Measures!I231)</f>
        <v/>
      </c>
      <c r="G231" s="426" t="str">
        <f>IF(OR(Measures!AM231="Row Not Used",Measures!C231="Controls Only",Measures!C231="Decommissioning"),"",_xlfn.CONCAT(Measures!K231," - ",Measures!L231))</f>
        <v/>
      </c>
      <c r="H231" s="442" t="str">
        <f>IF(OR(Measures!AM231="Row Not Used",Measures!C231="Controls Only",Measures!C231="Decommissioning"),"",Measures!M231)</f>
        <v/>
      </c>
      <c r="I231" s="443" t="str">
        <f>IF(OR(Measures!AM231="Row Not Used",Measures!C231="Controls Only",Measures!C231="Decommissioning"),"",Measures!N231)</f>
        <v/>
      </c>
      <c r="J231" s="444" t="str">
        <f>IF(OR(Measures!AM231="Row Not Used",Measures!C231="Controls Only",Measures!C231="Decommissioning"),"",Measures!O231)</f>
        <v/>
      </c>
      <c r="K231" s="425" t="str">
        <f>IF(OR(Measures!AM231="Row Not Used",Measures!C231="Controls Only",Measures!C231="Decommissioning"),"",Measures!AS231)</f>
        <v/>
      </c>
      <c r="L231" s="426" t="str">
        <f>IF(OR(Measures!AM231="Row Not Used",Measures!AM231="Decommissioning",ISBLANK(Measures!R231)),"",Measures!R231)</f>
        <v/>
      </c>
      <c r="M231" s="431" t="str">
        <f>IF(OR(Measures!AM231="Row Not Used",Measures!AM231="Fixtures Only",Measures!AM231="Decommissioning"),"",Measures!S231)</f>
        <v/>
      </c>
      <c r="N231" s="432" t="str">
        <f>IF(Measures!AM231="Row Not Used","",Measures!AF231)</f>
        <v/>
      </c>
      <c r="O231" s="426" t="str">
        <f>IF(Measures!AM231="Row Not Used","",Measures!C231)</f>
        <v/>
      </c>
      <c r="P231" s="133" t="str">
        <f t="shared" si="3"/>
        <v>No</v>
      </c>
    </row>
    <row r="232" spans="1:16" ht="75.599999999999994" customHeight="1" x14ac:dyDescent="0.3">
      <c r="A232" s="454">
        <f>Measures!A232</f>
        <v>225</v>
      </c>
      <c r="B232" s="425" t="str">
        <f>IF(Measures!AM232="Row Not Used","",IF(ISBLANK(Measures!V232),Measures!B232,_xlfn.CONCAT(Measures!B232," - ",Measures!V232)))</f>
        <v/>
      </c>
      <c r="C232" s="426" t="str">
        <f>IF(Measures!AM232="Row Not Used","",_xlfn.CONCAT(Measures!D232," - ",Measures!E232," - ",Measures!F232))</f>
        <v/>
      </c>
      <c r="D232" s="442" t="str">
        <f>IF(Measures!AM232="Row Not Used","",Measures!G232)</f>
        <v/>
      </c>
      <c r="E232" s="443" t="str">
        <f>IF(Measures!AM232="Row Not Used","",Measures!H232)</f>
        <v/>
      </c>
      <c r="F232" s="450" t="str">
        <f>IF(Measures!AM232="Row Not Used","",Measures!I232)</f>
        <v/>
      </c>
      <c r="G232" s="426" t="str">
        <f>IF(OR(Measures!AM232="Row Not Used",Measures!C232="Controls Only",Measures!C232="Decommissioning"),"",_xlfn.CONCAT(Measures!K232," - ",Measures!L232))</f>
        <v/>
      </c>
      <c r="H232" s="442" t="str">
        <f>IF(OR(Measures!AM232="Row Not Used",Measures!C232="Controls Only",Measures!C232="Decommissioning"),"",Measures!M232)</f>
        <v/>
      </c>
      <c r="I232" s="443" t="str">
        <f>IF(OR(Measures!AM232="Row Not Used",Measures!C232="Controls Only",Measures!C232="Decommissioning"),"",Measures!N232)</f>
        <v/>
      </c>
      <c r="J232" s="444" t="str">
        <f>IF(OR(Measures!AM232="Row Not Used",Measures!C232="Controls Only",Measures!C232="Decommissioning"),"",Measures!O232)</f>
        <v/>
      </c>
      <c r="K232" s="425" t="str">
        <f>IF(OR(Measures!AM232="Row Not Used",Measures!C232="Controls Only",Measures!C232="Decommissioning"),"",Measures!AS232)</f>
        <v/>
      </c>
      <c r="L232" s="426" t="str">
        <f>IF(OR(Measures!AM232="Row Not Used",Measures!AM232="Decommissioning",ISBLANK(Measures!R232)),"",Measures!R232)</f>
        <v/>
      </c>
      <c r="M232" s="431" t="str">
        <f>IF(OR(Measures!AM232="Row Not Used",Measures!AM232="Fixtures Only",Measures!AM232="Decommissioning"),"",Measures!S232)</f>
        <v/>
      </c>
      <c r="N232" s="432" t="str">
        <f>IF(Measures!AM232="Row Not Used","",Measures!AF232)</f>
        <v/>
      </c>
      <c r="O232" s="426" t="str">
        <f>IF(Measures!AM232="Row Not Used","",Measures!C232)</f>
        <v/>
      </c>
      <c r="P232" s="133" t="str">
        <f t="shared" si="3"/>
        <v>No</v>
      </c>
    </row>
    <row r="233" spans="1:16" ht="75.599999999999994" customHeight="1" x14ac:dyDescent="0.3">
      <c r="A233" s="454">
        <f>Measures!A233</f>
        <v>226</v>
      </c>
      <c r="B233" s="425" t="str">
        <f>IF(Measures!AM233="Row Not Used","",IF(ISBLANK(Measures!V233),Measures!B233,_xlfn.CONCAT(Measures!B233," - ",Measures!V233)))</f>
        <v/>
      </c>
      <c r="C233" s="426" t="str">
        <f>IF(Measures!AM233="Row Not Used","",_xlfn.CONCAT(Measures!D233," - ",Measures!E233," - ",Measures!F233))</f>
        <v/>
      </c>
      <c r="D233" s="442" t="str">
        <f>IF(Measures!AM233="Row Not Used","",Measures!G233)</f>
        <v/>
      </c>
      <c r="E233" s="443" t="str">
        <f>IF(Measures!AM233="Row Not Used","",Measures!H233)</f>
        <v/>
      </c>
      <c r="F233" s="450" t="str">
        <f>IF(Measures!AM233="Row Not Used","",Measures!I233)</f>
        <v/>
      </c>
      <c r="G233" s="426" t="str">
        <f>IF(OR(Measures!AM233="Row Not Used",Measures!C233="Controls Only",Measures!C233="Decommissioning"),"",_xlfn.CONCAT(Measures!K233," - ",Measures!L233))</f>
        <v/>
      </c>
      <c r="H233" s="442" t="str">
        <f>IF(OR(Measures!AM233="Row Not Used",Measures!C233="Controls Only",Measures!C233="Decommissioning"),"",Measures!M233)</f>
        <v/>
      </c>
      <c r="I233" s="443" t="str">
        <f>IF(OR(Measures!AM233="Row Not Used",Measures!C233="Controls Only",Measures!C233="Decommissioning"),"",Measures!N233)</f>
        <v/>
      </c>
      <c r="J233" s="444" t="str">
        <f>IF(OR(Measures!AM233="Row Not Used",Measures!C233="Controls Only",Measures!C233="Decommissioning"),"",Measures!O233)</f>
        <v/>
      </c>
      <c r="K233" s="425" t="str">
        <f>IF(OR(Measures!AM233="Row Not Used",Measures!C233="Controls Only",Measures!C233="Decommissioning"),"",Measures!AS233)</f>
        <v/>
      </c>
      <c r="L233" s="426" t="str">
        <f>IF(OR(Measures!AM233="Row Not Used",Measures!AM233="Decommissioning",ISBLANK(Measures!R233)),"",Measures!R233)</f>
        <v/>
      </c>
      <c r="M233" s="431" t="str">
        <f>IF(OR(Measures!AM233="Row Not Used",Measures!AM233="Fixtures Only",Measures!AM233="Decommissioning"),"",Measures!S233)</f>
        <v/>
      </c>
      <c r="N233" s="432" t="str">
        <f>IF(Measures!AM233="Row Not Used","",Measures!AF233)</f>
        <v/>
      </c>
      <c r="O233" s="426" t="str">
        <f>IF(Measures!AM233="Row Not Used","",Measures!C233)</f>
        <v/>
      </c>
      <c r="P233" s="133" t="str">
        <f t="shared" si="3"/>
        <v>No</v>
      </c>
    </row>
    <row r="234" spans="1:16" ht="75.599999999999994" customHeight="1" x14ac:dyDescent="0.3">
      <c r="A234" s="454">
        <f>Measures!A234</f>
        <v>227</v>
      </c>
      <c r="B234" s="425" t="str">
        <f>IF(Measures!AM234="Row Not Used","",IF(ISBLANK(Measures!V234),Measures!B234,_xlfn.CONCAT(Measures!B234," - ",Measures!V234)))</f>
        <v/>
      </c>
      <c r="C234" s="426" t="str">
        <f>IF(Measures!AM234="Row Not Used","",_xlfn.CONCAT(Measures!D234," - ",Measures!E234," - ",Measures!F234))</f>
        <v/>
      </c>
      <c r="D234" s="442" t="str">
        <f>IF(Measures!AM234="Row Not Used","",Measures!G234)</f>
        <v/>
      </c>
      <c r="E234" s="443" t="str">
        <f>IF(Measures!AM234="Row Not Used","",Measures!H234)</f>
        <v/>
      </c>
      <c r="F234" s="450" t="str">
        <f>IF(Measures!AM234="Row Not Used","",Measures!I234)</f>
        <v/>
      </c>
      <c r="G234" s="426" t="str">
        <f>IF(OR(Measures!AM234="Row Not Used",Measures!C234="Controls Only",Measures!C234="Decommissioning"),"",_xlfn.CONCAT(Measures!K234," - ",Measures!L234))</f>
        <v/>
      </c>
      <c r="H234" s="442" t="str">
        <f>IF(OR(Measures!AM234="Row Not Used",Measures!C234="Controls Only",Measures!C234="Decommissioning"),"",Measures!M234)</f>
        <v/>
      </c>
      <c r="I234" s="443" t="str">
        <f>IF(OR(Measures!AM234="Row Not Used",Measures!C234="Controls Only",Measures!C234="Decommissioning"),"",Measures!N234)</f>
        <v/>
      </c>
      <c r="J234" s="444" t="str">
        <f>IF(OR(Measures!AM234="Row Not Used",Measures!C234="Controls Only",Measures!C234="Decommissioning"),"",Measures!O234)</f>
        <v/>
      </c>
      <c r="K234" s="425" t="str">
        <f>IF(OR(Measures!AM234="Row Not Used",Measures!C234="Controls Only",Measures!C234="Decommissioning"),"",Measures!AS234)</f>
        <v/>
      </c>
      <c r="L234" s="426" t="str">
        <f>IF(OR(Measures!AM234="Row Not Used",Measures!AM234="Decommissioning",ISBLANK(Measures!R234)),"",Measures!R234)</f>
        <v/>
      </c>
      <c r="M234" s="431" t="str">
        <f>IF(OR(Measures!AM234="Row Not Used",Measures!AM234="Fixtures Only",Measures!AM234="Decommissioning"),"",Measures!S234)</f>
        <v/>
      </c>
      <c r="N234" s="432" t="str">
        <f>IF(Measures!AM234="Row Not Used","",Measures!AF234)</f>
        <v/>
      </c>
      <c r="O234" s="426" t="str">
        <f>IF(Measures!AM234="Row Not Used","",Measures!C234)</f>
        <v/>
      </c>
      <c r="P234" s="133" t="str">
        <f t="shared" si="3"/>
        <v>No</v>
      </c>
    </row>
    <row r="235" spans="1:16" ht="75.599999999999994" customHeight="1" x14ac:dyDescent="0.3">
      <c r="A235" s="454">
        <f>Measures!A235</f>
        <v>228</v>
      </c>
      <c r="B235" s="425" t="str">
        <f>IF(Measures!AM235="Row Not Used","",IF(ISBLANK(Measures!V235),Measures!B235,_xlfn.CONCAT(Measures!B235," - ",Measures!V235)))</f>
        <v/>
      </c>
      <c r="C235" s="426" t="str">
        <f>IF(Measures!AM235="Row Not Used","",_xlfn.CONCAT(Measures!D235," - ",Measures!E235," - ",Measures!F235))</f>
        <v/>
      </c>
      <c r="D235" s="442" t="str">
        <f>IF(Measures!AM235="Row Not Used","",Measures!G235)</f>
        <v/>
      </c>
      <c r="E235" s="443" t="str">
        <f>IF(Measures!AM235="Row Not Used","",Measures!H235)</f>
        <v/>
      </c>
      <c r="F235" s="450" t="str">
        <f>IF(Measures!AM235="Row Not Used","",Measures!I235)</f>
        <v/>
      </c>
      <c r="G235" s="426" t="str">
        <f>IF(OR(Measures!AM235="Row Not Used",Measures!C235="Controls Only",Measures!C235="Decommissioning"),"",_xlfn.CONCAT(Measures!K235," - ",Measures!L235))</f>
        <v/>
      </c>
      <c r="H235" s="442" t="str">
        <f>IF(OR(Measures!AM235="Row Not Used",Measures!C235="Controls Only",Measures!C235="Decommissioning"),"",Measures!M235)</f>
        <v/>
      </c>
      <c r="I235" s="443" t="str">
        <f>IF(OR(Measures!AM235="Row Not Used",Measures!C235="Controls Only",Measures!C235="Decommissioning"),"",Measures!N235)</f>
        <v/>
      </c>
      <c r="J235" s="444" t="str">
        <f>IF(OR(Measures!AM235="Row Not Used",Measures!C235="Controls Only",Measures!C235="Decommissioning"),"",Measures!O235)</f>
        <v/>
      </c>
      <c r="K235" s="425" t="str">
        <f>IF(OR(Measures!AM235="Row Not Used",Measures!C235="Controls Only",Measures!C235="Decommissioning"),"",Measures!AS235)</f>
        <v/>
      </c>
      <c r="L235" s="426" t="str">
        <f>IF(OR(Measures!AM235="Row Not Used",Measures!AM235="Decommissioning",ISBLANK(Measures!R235)),"",Measures!R235)</f>
        <v/>
      </c>
      <c r="M235" s="431" t="str">
        <f>IF(OR(Measures!AM235="Row Not Used",Measures!AM235="Fixtures Only",Measures!AM235="Decommissioning"),"",Measures!S235)</f>
        <v/>
      </c>
      <c r="N235" s="432" t="str">
        <f>IF(Measures!AM235="Row Not Used","",Measures!AF235)</f>
        <v/>
      </c>
      <c r="O235" s="426" t="str">
        <f>IF(Measures!AM235="Row Not Used","",Measures!C235)</f>
        <v/>
      </c>
      <c r="P235" s="133" t="str">
        <f t="shared" si="3"/>
        <v>No</v>
      </c>
    </row>
    <row r="236" spans="1:16" ht="75.599999999999994" customHeight="1" x14ac:dyDescent="0.3">
      <c r="A236" s="454">
        <f>Measures!A236</f>
        <v>229</v>
      </c>
      <c r="B236" s="425" t="str">
        <f>IF(Measures!AM236="Row Not Used","",IF(ISBLANK(Measures!V236),Measures!B236,_xlfn.CONCAT(Measures!B236," - ",Measures!V236)))</f>
        <v/>
      </c>
      <c r="C236" s="426" t="str">
        <f>IF(Measures!AM236="Row Not Used","",_xlfn.CONCAT(Measures!D236," - ",Measures!E236," - ",Measures!F236))</f>
        <v/>
      </c>
      <c r="D236" s="442" t="str">
        <f>IF(Measures!AM236="Row Not Used","",Measures!G236)</f>
        <v/>
      </c>
      <c r="E236" s="443" t="str">
        <f>IF(Measures!AM236="Row Not Used","",Measures!H236)</f>
        <v/>
      </c>
      <c r="F236" s="450" t="str">
        <f>IF(Measures!AM236="Row Not Used","",Measures!I236)</f>
        <v/>
      </c>
      <c r="G236" s="426" t="str">
        <f>IF(OR(Measures!AM236="Row Not Used",Measures!C236="Controls Only",Measures!C236="Decommissioning"),"",_xlfn.CONCAT(Measures!K236," - ",Measures!L236))</f>
        <v/>
      </c>
      <c r="H236" s="442" t="str">
        <f>IF(OR(Measures!AM236="Row Not Used",Measures!C236="Controls Only",Measures!C236="Decommissioning"),"",Measures!M236)</f>
        <v/>
      </c>
      <c r="I236" s="443" t="str">
        <f>IF(OR(Measures!AM236="Row Not Used",Measures!C236="Controls Only",Measures!C236="Decommissioning"),"",Measures!N236)</f>
        <v/>
      </c>
      <c r="J236" s="444" t="str">
        <f>IF(OR(Measures!AM236="Row Not Used",Measures!C236="Controls Only",Measures!C236="Decommissioning"),"",Measures!O236)</f>
        <v/>
      </c>
      <c r="K236" s="425" t="str">
        <f>IF(OR(Measures!AM236="Row Not Used",Measures!C236="Controls Only",Measures!C236="Decommissioning"),"",Measures!AS236)</f>
        <v/>
      </c>
      <c r="L236" s="426" t="str">
        <f>IF(OR(Measures!AM236="Row Not Used",Measures!AM236="Decommissioning",ISBLANK(Measures!R236)),"",Measures!R236)</f>
        <v/>
      </c>
      <c r="M236" s="431" t="str">
        <f>IF(OR(Measures!AM236="Row Not Used",Measures!AM236="Fixtures Only",Measures!AM236="Decommissioning"),"",Measures!S236)</f>
        <v/>
      </c>
      <c r="N236" s="432" t="str">
        <f>IF(Measures!AM236="Row Not Used","",Measures!AF236)</f>
        <v/>
      </c>
      <c r="O236" s="426" t="str">
        <f>IF(Measures!AM236="Row Not Used","",Measures!C236)</f>
        <v/>
      </c>
      <c r="P236" s="133" t="str">
        <f t="shared" si="3"/>
        <v>No</v>
      </c>
    </row>
    <row r="237" spans="1:16" ht="75.599999999999994" customHeight="1" x14ac:dyDescent="0.3">
      <c r="A237" s="454">
        <f>Measures!A237</f>
        <v>230</v>
      </c>
      <c r="B237" s="425" t="str">
        <f>IF(Measures!AM237="Row Not Used","",IF(ISBLANK(Measures!V237),Measures!B237,_xlfn.CONCAT(Measures!B237," - ",Measures!V237)))</f>
        <v/>
      </c>
      <c r="C237" s="426" t="str">
        <f>IF(Measures!AM237="Row Not Used","",_xlfn.CONCAT(Measures!D237," - ",Measures!E237," - ",Measures!F237))</f>
        <v/>
      </c>
      <c r="D237" s="442" t="str">
        <f>IF(Measures!AM237="Row Not Used","",Measures!G237)</f>
        <v/>
      </c>
      <c r="E237" s="443" t="str">
        <f>IF(Measures!AM237="Row Not Used","",Measures!H237)</f>
        <v/>
      </c>
      <c r="F237" s="450" t="str">
        <f>IF(Measures!AM237="Row Not Used","",Measures!I237)</f>
        <v/>
      </c>
      <c r="G237" s="426" t="str">
        <f>IF(OR(Measures!AM237="Row Not Used",Measures!C237="Controls Only",Measures!C237="Decommissioning"),"",_xlfn.CONCAT(Measures!K237," - ",Measures!L237))</f>
        <v/>
      </c>
      <c r="H237" s="442" t="str">
        <f>IF(OR(Measures!AM237="Row Not Used",Measures!C237="Controls Only",Measures!C237="Decommissioning"),"",Measures!M237)</f>
        <v/>
      </c>
      <c r="I237" s="443" t="str">
        <f>IF(OR(Measures!AM237="Row Not Used",Measures!C237="Controls Only",Measures!C237="Decommissioning"),"",Measures!N237)</f>
        <v/>
      </c>
      <c r="J237" s="444" t="str">
        <f>IF(OR(Measures!AM237="Row Not Used",Measures!C237="Controls Only",Measures!C237="Decommissioning"),"",Measures!O237)</f>
        <v/>
      </c>
      <c r="K237" s="425" t="str">
        <f>IF(OR(Measures!AM237="Row Not Used",Measures!C237="Controls Only",Measures!C237="Decommissioning"),"",Measures!AS237)</f>
        <v/>
      </c>
      <c r="L237" s="426" t="str">
        <f>IF(OR(Measures!AM237="Row Not Used",Measures!AM237="Decommissioning",ISBLANK(Measures!R237)),"",Measures!R237)</f>
        <v/>
      </c>
      <c r="M237" s="431" t="str">
        <f>IF(OR(Measures!AM237="Row Not Used",Measures!AM237="Fixtures Only",Measures!AM237="Decommissioning"),"",Measures!S237)</f>
        <v/>
      </c>
      <c r="N237" s="432" t="str">
        <f>IF(Measures!AM237="Row Not Used","",Measures!AF237)</f>
        <v/>
      </c>
      <c r="O237" s="426" t="str">
        <f>IF(Measures!AM237="Row Not Used","",Measures!C237)</f>
        <v/>
      </c>
      <c r="P237" s="133" t="str">
        <f t="shared" si="3"/>
        <v>No</v>
      </c>
    </row>
    <row r="238" spans="1:16" ht="75.599999999999994" customHeight="1" x14ac:dyDescent="0.3">
      <c r="A238" s="454">
        <f>Measures!A238</f>
        <v>231</v>
      </c>
      <c r="B238" s="425" t="str">
        <f>IF(Measures!AM238="Row Not Used","",IF(ISBLANK(Measures!V238),Measures!B238,_xlfn.CONCAT(Measures!B238," - ",Measures!V238)))</f>
        <v/>
      </c>
      <c r="C238" s="426" t="str">
        <f>IF(Measures!AM238="Row Not Used","",_xlfn.CONCAT(Measures!D238," - ",Measures!E238," - ",Measures!F238))</f>
        <v/>
      </c>
      <c r="D238" s="442" t="str">
        <f>IF(Measures!AM238="Row Not Used","",Measures!G238)</f>
        <v/>
      </c>
      <c r="E238" s="443" t="str">
        <f>IF(Measures!AM238="Row Not Used","",Measures!H238)</f>
        <v/>
      </c>
      <c r="F238" s="450" t="str">
        <f>IF(Measures!AM238="Row Not Used","",Measures!I238)</f>
        <v/>
      </c>
      <c r="G238" s="426" t="str">
        <f>IF(OR(Measures!AM238="Row Not Used",Measures!C238="Controls Only",Measures!C238="Decommissioning"),"",_xlfn.CONCAT(Measures!K238," - ",Measures!L238))</f>
        <v/>
      </c>
      <c r="H238" s="442" t="str">
        <f>IF(OR(Measures!AM238="Row Not Used",Measures!C238="Controls Only",Measures!C238="Decommissioning"),"",Measures!M238)</f>
        <v/>
      </c>
      <c r="I238" s="443" t="str">
        <f>IF(OR(Measures!AM238="Row Not Used",Measures!C238="Controls Only",Measures!C238="Decommissioning"),"",Measures!N238)</f>
        <v/>
      </c>
      <c r="J238" s="444" t="str">
        <f>IF(OR(Measures!AM238="Row Not Used",Measures!C238="Controls Only",Measures!C238="Decommissioning"),"",Measures!O238)</f>
        <v/>
      </c>
      <c r="K238" s="425" t="str">
        <f>IF(OR(Measures!AM238="Row Not Used",Measures!C238="Controls Only",Measures!C238="Decommissioning"),"",Measures!AS238)</f>
        <v/>
      </c>
      <c r="L238" s="426" t="str">
        <f>IF(OR(Measures!AM238="Row Not Used",Measures!AM238="Decommissioning",ISBLANK(Measures!R238)),"",Measures!R238)</f>
        <v/>
      </c>
      <c r="M238" s="431" t="str">
        <f>IF(OR(Measures!AM238="Row Not Used",Measures!AM238="Fixtures Only",Measures!AM238="Decommissioning"),"",Measures!S238)</f>
        <v/>
      </c>
      <c r="N238" s="432" t="str">
        <f>IF(Measures!AM238="Row Not Used","",Measures!AF238)</f>
        <v/>
      </c>
      <c r="O238" s="426" t="str">
        <f>IF(Measures!AM238="Row Not Used","",Measures!C238)</f>
        <v/>
      </c>
      <c r="P238" s="133" t="str">
        <f t="shared" si="3"/>
        <v>No</v>
      </c>
    </row>
    <row r="239" spans="1:16" ht="75.599999999999994" customHeight="1" x14ac:dyDescent="0.3">
      <c r="A239" s="454">
        <f>Measures!A239</f>
        <v>232</v>
      </c>
      <c r="B239" s="425" t="str">
        <f>IF(Measures!AM239="Row Not Used","",IF(ISBLANK(Measures!V239),Measures!B239,_xlfn.CONCAT(Measures!B239," - ",Measures!V239)))</f>
        <v/>
      </c>
      <c r="C239" s="426" t="str">
        <f>IF(Measures!AM239="Row Not Used","",_xlfn.CONCAT(Measures!D239," - ",Measures!E239," - ",Measures!F239))</f>
        <v/>
      </c>
      <c r="D239" s="442" t="str">
        <f>IF(Measures!AM239="Row Not Used","",Measures!G239)</f>
        <v/>
      </c>
      <c r="E239" s="443" t="str">
        <f>IF(Measures!AM239="Row Not Used","",Measures!H239)</f>
        <v/>
      </c>
      <c r="F239" s="450" t="str">
        <f>IF(Measures!AM239="Row Not Used","",Measures!I239)</f>
        <v/>
      </c>
      <c r="G239" s="426" t="str">
        <f>IF(OR(Measures!AM239="Row Not Used",Measures!C239="Controls Only",Measures!C239="Decommissioning"),"",_xlfn.CONCAT(Measures!K239," - ",Measures!L239))</f>
        <v/>
      </c>
      <c r="H239" s="442" t="str">
        <f>IF(OR(Measures!AM239="Row Not Used",Measures!C239="Controls Only",Measures!C239="Decommissioning"),"",Measures!M239)</f>
        <v/>
      </c>
      <c r="I239" s="443" t="str">
        <f>IF(OR(Measures!AM239="Row Not Used",Measures!C239="Controls Only",Measures!C239="Decommissioning"),"",Measures!N239)</f>
        <v/>
      </c>
      <c r="J239" s="444" t="str">
        <f>IF(OR(Measures!AM239="Row Not Used",Measures!C239="Controls Only",Measures!C239="Decommissioning"),"",Measures!O239)</f>
        <v/>
      </c>
      <c r="K239" s="425" t="str">
        <f>IF(OR(Measures!AM239="Row Not Used",Measures!C239="Controls Only",Measures!C239="Decommissioning"),"",Measures!AS239)</f>
        <v/>
      </c>
      <c r="L239" s="426" t="str">
        <f>IF(OR(Measures!AM239="Row Not Used",Measures!AM239="Decommissioning",ISBLANK(Measures!R239)),"",Measures!R239)</f>
        <v/>
      </c>
      <c r="M239" s="431" t="str">
        <f>IF(OR(Measures!AM239="Row Not Used",Measures!AM239="Fixtures Only",Measures!AM239="Decommissioning"),"",Measures!S239)</f>
        <v/>
      </c>
      <c r="N239" s="432" t="str">
        <f>IF(Measures!AM239="Row Not Used","",Measures!AF239)</f>
        <v/>
      </c>
      <c r="O239" s="426" t="str">
        <f>IF(Measures!AM239="Row Not Used","",Measures!C239)</f>
        <v/>
      </c>
      <c r="P239" s="133" t="str">
        <f t="shared" si="3"/>
        <v>No</v>
      </c>
    </row>
    <row r="240" spans="1:16" ht="75.599999999999994" customHeight="1" x14ac:dyDescent="0.3">
      <c r="A240" s="454">
        <f>Measures!A240</f>
        <v>233</v>
      </c>
      <c r="B240" s="425" t="str">
        <f>IF(Measures!AM240="Row Not Used","",IF(ISBLANK(Measures!V240),Measures!B240,_xlfn.CONCAT(Measures!B240," - ",Measures!V240)))</f>
        <v/>
      </c>
      <c r="C240" s="426" t="str">
        <f>IF(Measures!AM240="Row Not Used","",_xlfn.CONCAT(Measures!D240," - ",Measures!E240," - ",Measures!F240))</f>
        <v/>
      </c>
      <c r="D240" s="442" t="str">
        <f>IF(Measures!AM240="Row Not Used","",Measures!G240)</f>
        <v/>
      </c>
      <c r="E240" s="443" t="str">
        <f>IF(Measures!AM240="Row Not Used","",Measures!H240)</f>
        <v/>
      </c>
      <c r="F240" s="450" t="str">
        <f>IF(Measures!AM240="Row Not Used","",Measures!I240)</f>
        <v/>
      </c>
      <c r="G240" s="426" t="str">
        <f>IF(OR(Measures!AM240="Row Not Used",Measures!C240="Controls Only",Measures!C240="Decommissioning"),"",_xlfn.CONCAT(Measures!K240," - ",Measures!L240))</f>
        <v/>
      </c>
      <c r="H240" s="442" t="str">
        <f>IF(OR(Measures!AM240="Row Not Used",Measures!C240="Controls Only",Measures!C240="Decommissioning"),"",Measures!M240)</f>
        <v/>
      </c>
      <c r="I240" s="443" t="str">
        <f>IF(OR(Measures!AM240="Row Not Used",Measures!C240="Controls Only",Measures!C240="Decommissioning"),"",Measures!N240)</f>
        <v/>
      </c>
      <c r="J240" s="444" t="str">
        <f>IF(OR(Measures!AM240="Row Not Used",Measures!C240="Controls Only",Measures!C240="Decommissioning"),"",Measures!O240)</f>
        <v/>
      </c>
      <c r="K240" s="425" t="str">
        <f>IF(OR(Measures!AM240="Row Not Used",Measures!C240="Controls Only",Measures!C240="Decommissioning"),"",Measures!AS240)</f>
        <v/>
      </c>
      <c r="L240" s="426" t="str">
        <f>IF(OR(Measures!AM240="Row Not Used",Measures!AM240="Decommissioning",ISBLANK(Measures!R240)),"",Measures!R240)</f>
        <v/>
      </c>
      <c r="M240" s="431" t="str">
        <f>IF(OR(Measures!AM240="Row Not Used",Measures!AM240="Fixtures Only",Measures!AM240="Decommissioning"),"",Measures!S240)</f>
        <v/>
      </c>
      <c r="N240" s="432" t="str">
        <f>IF(Measures!AM240="Row Not Used","",Measures!AF240)</f>
        <v/>
      </c>
      <c r="O240" s="426" t="str">
        <f>IF(Measures!AM240="Row Not Used","",Measures!C240)</f>
        <v/>
      </c>
      <c r="P240" s="133" t="str">
        <f t="shared" si="3"/>
        <v>No</v>
      </c>
    </row>
    <row r="241" spans="1:16" ht="75.599999999999994" customHeight="1" x14ac:dyDescent="0.3">
      <c r="A241" s="454">
        <f>Measures!A241</f>
        <v>234</v>
      </c>
      <c r="B241" s="425" t="str">
        <f>IF(Measures!AM241="Row Not Used","",IF(ISBLANK(Measures!V241),Measures!B241,_xlfn.CONCAT(Measures!B241," - ",Measures!V241)))</f>
        <v/>
      </c>
      <c r="C241" s="426" t="str">
        <f>IF(Measures!AM241="Row Not Used","",_xlfn.CONCAT(Measures!D241," - ",Measures!E241," - ",Measures!F241))</f>
        <v/>
      </c>
      <c r="D241" s="442" t="str">
        <f>IF(Measures!AM241="Row Not Used","",Measures!G241)</f>
        <v/>
      </c>
      <c r="E241" s="443" t="str">
        <f>IF(Measures!AM241="Row Not Used","",Measures!H241)</f>
        <v/>
      </c>
      <c r="F241" s="450" t="str">
        <f>IF(Measures!AM241="Row Not Used","",Measures!I241)</f>
        <v/>
      </c>
      <c r="G241" s="426" t="str">
        <f>IF(OR(Measures!AM241="Row Not Used",Measures!C241="Controls Only",Measures!C241="Decommissioning"),"",_xlfn.CONCAT(Measures!K241," - ",Measures!L241))</f>
        <v/>
      </c>
      <c r="H241" s="442" t="str">
        <f>IF(OR(Measures!AM241="Row Not Used",Measures!C241="Controls Only",Measures!C241="Decommissioning"),"",Measures!M241)</f>
        <v/>
      </c>
      <c r="I241" s="443" t="str">
        <f>IF(OR(Measures!AM241="Row Not Used",Measures!C241="Controls Only",Measures!C241="Decommissioning"),"",Measures!N241)</f>
        <v/>
      </c>
      <c r="J241" s="444" t="str">
        <f>IF(OR(Measures!AM241="Row Not Used",Measures!C241="Controls Only",Measures!C241="Decommissioning"),"",Measures!O241)</f>
        <v/>
      </c>
      <c r="K241" s="425" t="str">
        <f>IF(OR(Measures!AM241="Row Not Used",Measures!C241="Controls Only",Measures!C241="Decommissioning"),"",Measures!AS241)</f>
        <v/>
      </c>
      <c r="L241" s="426" t="str">
        <f>IF(OR(Measures!AM241="Row Not Used",Measures!AM241="Decommissioning",ISBLANK(Measures!R241)),"",Measures!R241)</f>
        <v/>
      </c>
      <c r="M241" s="431" t="str">
        <f>IF(OR(Measures!AM241="Row Not Used",Measures!AM241="Fixtures Only",Measures!AM241="Decommissioning"),"",Measures!S241)</f>
        <v/>
      </c>
      <c r="N241" s="432" t="str">
        <f>IF(Measures!AM241="Row Not Used","",Measures!AF241)</f>
        <v/>
      </c>
      <c r="O241" s="426" t="str">
        <f>IF(Measures!AM241="Row Not Used","",Measures!C241)</f>
        <v/>
      </c>
      <c r="P241" s="133" t="str">
        <f t="shared" si="3"/>
        <v>No</v>
      </c>
    </row>
    <row r="242" spans="1:16" ht="75.599999999999994" customHeight="1" x14ac:dyDescent="0.3">
      <c r="A242" s="454">
        <f>Measures!A242</f>
        <v>235</v>
      </c>
      <c r="B242" s="425" t="str">
        <f>IF(Measures!AM242="Row Not Used","",IF(ISBLANK(Measures!V242),Measures!B242,_xlfn.CONCAT(Measures!B242," - ",Measures!V242)))</f>
        <v/>
      </c>
      <c r="C242" s="426" t="str">
        <f>IF(Measures!AM242="Row Not Used","",_xlfn.CONCAT(Measures!D242," - ",Measures!E242," - ",Measures!F242))</f>
        <v/>
      </c>
      <c r="D242" s="442" t="str">
        <f>IF(Measures!AM242="Row Not Used","",Measures!G242)</f>
        <v/>
      </c>
      <c r="E242" s="443" t="str">
        <f>IF(Measures!AM242="Row Not Used","",Measures!H242)</f>
        <v/>
      </c>
      <c r="F242" s="450" t="str">
        <f>IF(Measures!AM242="Row Not Used","",Measures!I242)</f>
        <v/>
      </c>
      <c r="G242" s="426" t="str">
        <f>IF(OR(Measures!AM242="Row Not Used",Measures!C242="Controls Only",Measures!C242="Decommissioning"),"",_xlfn.CONCAT(Measures!K242," - ",Measures!L242))</f>
        <v/>
      </c>
      <c r="H242" s="442" t="str">
        <f>IF(OR(Measures!AM242="Row Not Used",Measures!C242="Controls Only",Measures!C242="Decommissioning"),"",Measures!M242)</f>
        <v/>
      </c>
      <c r="I242" s="443" t="str">
        <f>IF(OR(Measures!AM242="Row Not Used",Measures!C242="Controls Only",Measures!C242="Decommissioning"),"",Measures!N242)</f>
        <v/>
      </c>
      <c r="J242" s="444" t="str">
        <f>IF(OR(Measures!AM242="Row Not Used",Measures!C242="Controls Only",Measures!C242="Decommissioning"),"",Measures!O242)</f>
        <v/>
      </c>
      <c r="K242" s="425" t="str">
        <f>IF(OR(Measures!AM242="Row Not Used",Measures!C242="Controls Only",Measures!C242="Decommissioning"),"",Measures!AS242)</f>
        <v/>
      </c>
      <c r="L242" s="426" t="str">
        <f>IF(OR(Measures!AM242="Row Not Used",Measures!AM242="Decommissioning",ISBLANK(Measures!R242)),"",Measures!R242)</f>
        <v/>
      </c>
      <c r="M242" s="431" t="str">
        <f>IF(OR(Measures!AM242="Row Not Used",Measures!AM242="Fixtures Only",Measures!AM242="Decommissioning"),"",Measures!S242)</f>
        <v/>
      </c>
      <c r="N242" s="432" t="str">
        <f>IF(Measures!AM242="Row Not Used","",Measures!AF242)</f>
        <v/>
      </c>
      <c r="O242" s="426" t="str">
        <f>IF(Measures!AM242="Row Not Used","",Measures!C242)</f>
        <v/>
      </c>
      <c r="P242" s="133" t="str">
        <f t="shared" si="3"/>
        <v>No</v>
      </c>
    </row>
    <row r="243" spans="1:16" ht="75.599999999999994" customHeight="1" x14ac:dyDescent="0.3">
      <c r="A243" s="454">
        <f>Measures!A243</f>
        <v>236</v>
      </c>
      <c r="B243" s="425" t="str">
        <f>IF(Measures!AM243="Row Not Used","",IF(ISBLANK(Measures!V243),Measures!B243,_xlfn.CONCAT(Measures!B243," - ",Measures!V243)))</f>
        <v/>
      </c>
      <c r="C243" s="426" t="str">
        <f>IF(Measures!AM243="Row Not Used","",_xlfn.CONCAT(Measures!D243," - ",Measures!E243," - ",Measures!F243))</f>
        <v/>
      </c>
      <c r="D243" s="442" t="str">
        <f>IF(Measures!AM243="Row Not Used","",Measures!G243)</f>
        <v/>
      </c>
      <c r="E243" s="443" t="str">
        <f>IF(Measures!AM243="Row Not Used","",Measures!H243)</f>
        <v/>
      </c>
      <c r="F243" s="450" t="str">
        <f>IF(Measures!AM243="Row Not Used","",Measures!I243)</f>
        <v/>
      </c>
      <c r="G243" s="426" t="str">
        <f>IF(OR(Measures!AM243="Row Not Used",Measures!C243="Controls Only",Measures!C243="Decommissioning"),"",_xlfn.CONCAT(Measures!K243," - ",Measures!L243))</f>
        <v/>
      </c>
      <c r="H243" s="442" t="str">
        <f>IF(OR(Measures!AM243="Row Not Used",Measures!C243="Controls Only",Measures!C243="Decommissioning"),"",Measures!M243)</f>
        <v/>
      </c>
      <c r="I243" s="443" t="str">
        <f>IF(OR(Measures!AM243="Row Not Used",Measures!C243="Controls Only",Measures!C243="Decommissioning"),"",Measures!N243)</f>
        <v/>
      </c>
      <c r="J243" s="444" t="str">
        <f>IF(OR(Measures!AM243="Row Not Used",Measures!C243="Controls Only",Measures!C243="Decommissioning"),"",Measures!O243)</f>
        <v/>
      </c>
      <c r="K243" s="425" t="str">
        <f>IF(OR(Measures!AM243="Row Not Used",Measures!C243="Controls Only",Measures!C243="Decommissioning"),"",Measures!AS243)</f>
        <v/>
      </c>
      <c r="L243" s="426" t="str">
        <f>IF(OR(Measures!AM243="Row Not Used",Measures!AM243="Decommissioning",ISBLANK(Measures!R243)),"",Measures!R243)</f>
        <v/>
      </c>
      <c r="M243" s="431" t="str">
        <f>IF(OR(Measures!AM243="Row Not Used",Measures!AM243="Fixtures Only",Measures!AM243="Decommissioning"),"",Measures!S243)</f>
        <v/>
      </c>
      <c r="N243" s="432" t="str">
        <f>IF(Measures!AM243="Row Not Used","",Measures!AF243)</f>
        <v/>
      </c>
      <c r="O243" s="426" t="str">
        <f>IF(Measures!AM243="Row Not Used","",Measures!C243)</f>
        <v/>
      </c>
      <c r="P243" s="133" t="str">
        <f t="shared" si="3"/>
        <v>No</v>
      </c>
    </row>
    <row r="244" spans="1:16" ht="75.599999999999994" customHeight="1" x14ac:dyDescent="0.3">
      <c r="A244" s="454">
        <f>Measures!A244</f>
        <v>237</v>
      </c>
      <c r="B244" s="425" t="str">
        <f>IF(Measures!AM244="Row Not Used","",IF(ISBLANK(Measures!V244),Measures!B244,_xlfn.CONCAT(Measures!B244," - ",Measures!V244)))</f>
        <v/>
      </c>
      <c r="C244" s="426" t="str">
        <f>IF(Measures!AM244="Row Not Used","",_xlfn.CONCAT(Measures!D244," - ",Measures!E244," - ",Measures!F244))</f>
        <v/>
      </c>
      <c r="D244" s="442" t="str">
        <f>IF(Measures!AM244="Row Not Used","",Measures!G244)</f>
        <v/>
      </c>
      <c r="E244" s="443" t="str">
        <f>IF(Measures!AM244="Row Not Used","",Measures!H244)</f>
        <v/>
      </c>
      <c r="F244" s="450" t="str">
        <f>IF(Measures!AM244="Row Not Used","",Measures!I244)</f>
        <v/>
      </c>
      <c r="G244" s="426" t="str">
        <f>IF(OR(Measures!AM244="Row Not Used",Measures!C244="Controls Only",Measures!C244="Decommissioning"),"",_xlfn.CONCAT(Measures!K244," - ",Measures!L244))</f>
        <v/>
      </c>
      <c r="H244" s="442" t="str">
        <f>IF(OR(Measures!AM244="Row Not Used",Measures!C244="Controls Only",Measures!C244="Decommissioning"),"",Measures!M244)</f>
        <v/>
      </c>
      <c r="I244" s="443" t="str">
        <f>IF(OR(Measures!AM244="Row Not Used",Measures!C244="Controls Only",Measures!C244="Decommissioning"),"",Measures!N244)</f>
        <v/>
      </c>
      <c r="J244" s="444" t="str">
        <f>IF(OR(Measures!AM244="Row Not Used",Measures!C244="Controls Only",Measures!C244="Decommissioning"),"",Measures!O244)</f>
        <v/>
      </c>
      <c r="K244" s="425" t="str">
        <f>IF(OR(Measures!AM244="Row Not Used",Measures!C244="Controls Only",Measures!C244="Decommissioning"),"",Measures!AS244)</f>
        <v/>
      </c>
      <c r="L244" s="426" t="str">
        <f>IF(OR(Measures!AM244="Row Not Used",Measures!AM244="Decommissioning",ISBLANK(Measures!R244)),"",Measures!R244)</f>
        <v/>
      </c>
      <c r="M244" s="431" t="str">
        <f>IF(OR(Measures!AM244="Row Not Used",Measures!AM244="Fixtures Only",Measures!AM244="Decommissioning"),"",Measures!S244)</f>
        <v/>
      </c>
      <c r="N244" s="432" t="str">
        <f>IF(Measures!AM244="Row Not Used","",Measures!AF244)</f>
        <v/>
      </c>
      <c r="O244" s="426" t="str">
        <f>IF(Measures!AM244="Row Not Used","",Measures!C244)</f>
        <v/>
      </c>
      <c r="P244" s="133" t="str">
        <f t="shared" si="3"/>
        <v>No</v>
      </c>
    </row>
    <row r="245" spans="1:16" ht="75.599999999999994" customHeight="1" x14ac:dyDescent="0.3">
      <c r="A245" s="454">
        <f>Measures!A245</f>
        <v>238</v>
      </c>
      <c r="B245" s="425" t="str">
        <f>IF(Measures!AM245="Row Not Used","",IF(ISBLANK(Measures!V245),Measures!B245,_xlfn.CONCAT(Measures!B245," - ",Measures!V245)))</f>
        <v/>
      </c>
      <c r="C245" s="426" t="str">
        <f>IF(Measures!AM245="Row Not Used","",_xlfn.CONCAT(Measures!D245," - ",Measures!E245," - ",Measures!F245))</f>
        <v/>
      </c>
      <c r="D245" s="442" t="str">
        <f>IF(Measures!AM245="Row Not Used","",Measures!G245)</f>
        <v/>
      </c>
      <c r="E245" s="443" t="str">
        <f>IF(Measures!AM245="Row Not Used","",Measures!H245)</f>
        <v/>
      </c>
      <c r="F245" s="450" t="str">
        <f>IF(Measures!AM245="Row Not Used","",Measures!I245)</f>
        <v/>
      </c>
      <c r="G245" s="426" t="str">
        <f>IF(OR(Measures!AM245="Row Not Used",Measures!C245="Controls Only",Measures!C245="Decommissioning"),"",_xlfn.CONCAT(Measures!K245," - ",Measures!L245))</f>
        <v/>
      </c>
      <c r="H245" s="442" t="str">
        <f>IF(OR(Measures!AM245="Row Not Used",Measures!C245="Controls Only",Measures!C245="Decommissioning"),"",Measures!M245)</f>
        <v/>
      </c>
      <c r="I245" s="443" t="str">
        <f>IF(OR(Measures!AM245="Row Not Used",Measures!C245="Controls Only",Measures!C245="Decommissioning"),"",Measures!N245)</f>
        <v/>
      </c>
      <c r="J245" s="444" t="str">
        <f>IF(OR(Measures!AM245="Row Not Used",Measures!C245="Controls Only",Measures!C245="Decommissioning"),"",Measures!O245)</f>
        <v/>
      </c>
      <c r="K245" s="425" t="str">
        <f>IF(OR(Measures!AM245="Row Not Used",Measures!C245="Controls Only",Measures!C245="Decommissioning"),"",Measures!AS245)</f>
        <v/>
      </c>
      <c r="L245" s="426" t="str">
        <f>IF(OR(Measures!AM245="Row Not Used",Measures!AM245="Decommissioning",ISBLANK(Measures!R245)),"",Measures!R245)</f>
        <v/>
      </c>
      <c r="M245" s="431" t="str">
        <f>IF(OR(Measures!AM245="Row Not Used",Measures!AM245="Fixtures Only",Measures!AM245="Decommissioning"),"",Measures!S245)</f>
        <v/>
      </c>
      <c r="N245" s="432" t="str">
        <f>IF(Measures!AM245="Row Not Used","",Measures!AF245)</f>
        <v/>
      </c>
      <c r="O245" s="426" t="str">
        <f>IF(Measures!AM245="Row Not Used","",Measures!C245)</f>
        <v/>
      </c>
      <c r="P245" s="133" t="str">
        <f t="shared" si="3"/>
        <v>No</v>
      </c>
    </row>
    <row r="246" spans="1:16" ht="75.599999999999994" customHeight="1" x14ac:dyDescent="0.3">
      <c r="A246" s="454">
        <f>Measures!A246</f>
        <v>239</v>
      </c>
      <c r="B246" s="425" t="str">
        <f>IF(Measures!AM246="Row Not Used","",IF(ISBLANK(Measures!V246),Measures!B246,_xlfn.CONCAT(Measures!B246," - ",Measures!V246)))</f>
        <v/>
      </c>
      <c r="C246" s="426" t="str">
        <f>IF(Measures!AM246="Row Not Used","",_xlfn.CONCAT(Measures!D246," - ",Measures!E246," - ",Measures!F246))</f>
        <v/>
      </c>
      <c r="D246" s="442" t="str">
        <f>IF(Measures!AM246="Row Not Used","",Measures!G246)</f>
        <v/>
      </c>
      <c r="E246" s="443" t="str">
        <f>IF(Measures!AM246="Row Not Used","",Measures!H246)</f>
        <v/>
      </c>
      <c r="F246" s="450" t="str">
        <f>IF(Measures!AM246="Row Not Used","",Measures!I246)</f>
        <v/>
      </c>
      <c r="G246" s="426" t="str">
        <f>IF(OR(Measures!AM246="Row Not Used",Measures!C246="Controls Only",Measures!C246="Decommissioning"),"",_xlfn.CONCAT(Measures!K246," - ",Measures!L246))</f>
        <v/>
      </c>
      <c r="H246" s="442" t="str">
        <f>IF(OR(Measures!AM246="Row Not Used",Measures!C246="Controls Only",Measures!C246="Decommissioning"),"",Measures!M246)</f>
        <v/>
      </c>
      <c r="I246" s="443" t="str">
        <f>IF(OR(Measures!AM246="Row Not Used",Measures!C246="Controls Only",Measures!C246="Decommissioning"),"",Measures!N246)</f>
        <v/>
      </c>
      <c r="J246" s="444" t="str">
        <f>IF(OR(Measures!AM246="Row Not Used",Measures!C246="Controls Only",Measures!C246="Decommissioning"),"",Measures!O246)</f>
        <v/>
      </c>
      <c r="K246" s="425" t="str">
        <f>IF(OR(Measures!AM246="Row Not Used",Measures!C246="Controls Only",Measures!C246="Decommissioning"),"",Measures!AS246)</f>
        <v/>
      </c>
      <c r="L246" s="426" t="str">
        <f>IF(OR(Measures!AM246="Row Not Used",Measures!AM246="Decommissioning",ISBLANK(Measures!R246)),"",Measures!R246)</f>
        <v/>
      </c>
      <c r="M246" s="431" t="str">
        <f>IF(OR(Measures!AM246="Row Not Used",Measures!AM246="Fixtures Only",Measures!AM246="Decommissioning"),"",Measures!S246)</f>
        <v/>
      </c>
      <c r="N246" s="432" t="str">
        <f>IF(Measures!AM246="Row Not Used","",Measures!AF246)</f>
        <v/>
      </c>
      <c r="O246" s="426" t="str">
        <f>IF(Measures!AM246="Row Not Used","",Measures!C246)</f>
        <v/>
      </c>
      <c r="P246" s="133" t="str">
        <f t="shared" si="3"/>
        <v>No</v>
      </c>
    </row>
    <row r="247" spans="1:16" ht="75.599999999999994" customHeight="1" x14ac:dyDescent="0.3">
      <c r="A247" s="454">
        <f>Measures!A247</f>
        <v>240</v>
      </c>
      <c r="B247" s="425" t="str">
        <f>IF(Measures!AM247="Row Not Used","",IF(ISBLANK(Measures!V247),Measures!B247,_xlfn.CONCAT(Measures!B247," - ",Measures!V247)))</f>
        <v/>
      </c>
      <c r="C247" s="426" t="str">
        <f>IF(Measures!AM247="Row Not Used","",_xlfn.CONCAT(Measures!D247," - ",Measures!E247," - ",Measures!F247))</f>
        <v/>
      </c>
      <c r="D247" s="442" t="str">
        <f>IF(Measures!AM247="Row Not Used","",Measures!G247)</f>
        <v/>
      </c>
      <c r="E247" s="443" t="str">
        <f>IF(Measures!AM247="Row Not Used","",Measures!H247)</f>
        <v/>
      </c>
      <c r="F247" s="450" t="str">
        <f>IF(Measures!AM247="Row Not Used","",Measures!I247)</f>
        <v/>
      </c>
      <c r="G247" s="426" t="str">
        <f>IF(OR(Measures!AM247="Row Not Used",Measures!C247="Controls Only",Measures!C247="Decommissioning"),"",_xlfn.CONCAT(Measures!K247," - ",Measures!L247))</f>
        <v/>
      </c>
      <c r="H247" s="442" t="str">
        <f>IF(OR(Measures!AM247="Row Not Used",Measures!C247="Controls Only",Measures!C247="Decommissioning"),"",Measures!M247)</f>
        <v/>
      </c>
      <c r="I247" s="443" t="str">
        <f>IF(OR(Measures!AM247="Row Not Used",Measures!C247="Controls Only",Measures!C247="Decommissioning"),"",Measures!N247)</f>
        <v/>
      </c>
      <c r="J247" s="444" t="str">
        <f>IF(OR(Measures!AM247="Row Not Used",Measures!C247="Controls Only",Measures!C247="Decommissioning"),"",Measures!O247)</f>
        <v/>
      </c>
      <c r="K247" s="425" t="str">
        <f>IF(OR(Measures!AM247="Row Not Used",Measures!C247="Controls Only",Measures!C247="Decommissioning"),"",Measures!AS247)</f>
        <v/>
      </c>
      <c r="L247" s="426" t="str">
        <f>IF(OR(Measures!AM247="Row Not Used",Measures!AM247="Decommissioning",ISBLANK(Measures!R247)),"",Measures!R247)</f>
        <v/>
      </c>
      <c r="M247" s="431" t="str">
        <f>IF(OR(Measures!AM247="Row Not Used",Measures!AM247="Fixtures Only",Measures!AM247="Decommissioning"),"",Measures!S247)</f>
        <v/>
      </c>
      <c r="N247" s="432" t="str">
        <f>IF(Measures!AM247="Row Not Used","",Measures!AF247)</f>
        <v/>
      </c>
      <c r="O247" s="426" t="str">
        <f>IF(Measures!AM247="Row Not Used","",Measures!C247)</f>
        <v/>
      </c>
      <c r="P247" s="133" t="str">
        <f t="shared" si="3"/>
        <v>No</v>
      </c>
    </row>
    <row r="248" spans="1:16" ht="75.599999999999994" customHeight="1" x14ac:dyDescent="0.3">
      <c r="A248" s="454">
        <f>Measures!A248</f>
        <v>241</v>
      </c>
      <c r="B248" s="425" t="str">
        <f>IF(Measures!AM248="Row Not Used","",IF(ISBLANK(Measures!V248),Measures!B248,_xlfn.CONCAT(Measures!B248," - ",Measures!V248)))</f>
        <v/>
      </c>
      <c r="C248" s="426" t="str">
        <f>IF(Measures!AM248="Row Not Used","",_xlfn.CONCAT(Measures!D248," - ",Measures!E248," - ",Measures!F248))</f>
        <v/>
      </c>
      <c r="D248" s="442" t="str">
        <f>IF(Measures!AM248="Row Not Used","",Measures!G248)</f>
        <v/>
      </c>
      <c r="E248" s="443" t="str">
        <f>IF(Measures!AM248="Row Not Used","",Measures!H248)</f>
        <v/>
      </c>
      <c r="F248" s="450" t="str">
        <f>IF(Measures!AM248="Row Not Used","",Measures!I248)</f>
        <v/>
      </c>
      <c r="G248" s="426" t="str">
        <f>IF(OR(Measures!AM248="Row Not Used",Measures!C248="Controls Only",Measures!C248="Decommissioning"),"",_xlfn.CONCAT(Measures!K248," - ",Measures!L248))</f>
        <v/>
      </c>
      <c r="H248" s="442" t="str">
        <f>IF(OR(Measures!AM248="Row Not Used",Measures!C248="Controls Only",Measures!C248="Decommissioning"),"",Measures!M248)</f>
        <v/>
      </c>
      <c r="I248" s="443" t="str">
        <f>IF(OR(Measures!AM248="Row Not Used",Measures!C248="Controls Only",Measures!C248="Decommissioning"),"",Measures!N248)</f>
        <v/>
      </c>
      <c r="J248" s="444" t="str">
        <f>IF(OR(Measures!AM248="Row Not Used",Measures!C248="Controls Only",Measures!C248="Decommissioning"),"",Measures!O248)</f>
        <v/>
      </c>
      <c r="K248" s="425" t="str">
        <f>IF(OR(Measures!AM248="Row Not Used",Measures!C248="Controls Only",Measures!C248="Decommissioning"),"",Measures!AS248)</f>
        <v/>
      </c>
      <c r="L248" s="426" t="str">
        <f>IF(OR(Measures!AM248="Row Not Used",Measures!AM248="Decommissioning",ISBLANK(Measures!R248)),"",Measures!R248)</f>
        <v/>
      </c>
      <c r="M248" s="431" t="str">
        <f>IF(OR(Measures!AM248="Row Not Used",Measures!AM248="Fixtures Only",Measures!AM248="Decommissioning"),"",Measures!S248)</f>
        <v/>
      </c>
      <c r="N248" s="432" t="str">
        <f>IF(Measures!AM248="Row Not Used","",Measures!AF248)</f>
        <v/>
      </c>
      <c r="O248" s="426" t="str">
        <f>IF(Measures!AM248="Row Not Used","",Measures!C248)</f>
        <v/>
      </c>
      <c r="P248" s="133" t="str">
        <f t="shared" si="3"/>
        <v>No</v>
      </c>
    </row>
    <row r="249" spans="1:16" ht="75.599999999999994" customHeight="1" x14ac:dyDescent="0.3">
      <c r="A249" s="454">
        <f>Measures!A249</f>
        <v>242</v>
      </c>
      <c r="B249" s="425" t="str">
        <f>IF(Measures!AM249="Row Not Used","",IF(ISBLANK(Measures!V249),Measures!B249,_xlfn.CONCAT(Measures!B249," - ",Measures!V249)))</f>
        <v/>
      </c>
      <c r="C249" s="426" t="str">
        <f>IF(Measures!AM249="Row Not Used","",_xlfn.CONCAT(Measures!D249," - ",Measures!E249," - ",Measures!F249))</f>
        <v/>
      </c>
      <c r="D249" s="442" t="str">
        <f>IF(Measures!AM249="Row Not Used","",Measures!G249)</f>
        <v/>
      </c>
      <c r="E249" s="443" t="str">
        <f>IF(Measures!AM249="Row Not Used","",Measures!H249)</f>
        <v/>
      </c>
      <c r="F249" s="450" t="str">
        <f>IF(Measures!AM249="Row Not Used","",Measures!I249)</f>
        <v/>
      </c>
      <c r="G249" s="426" t="str">
        <f>IF(OR(Measures!AM249="Row Not Used",Measures!C249="Controls Only",Measures!C249="Decommissioning"),"",_xlfn.CONCAT(Measures!K249," - ",Measures!L249))</f>
        <v/>
      </c>
      <c r="H249" s="442" t="str">
        <f>IF(OR(Measures!AM249="Row Not Used",Measures!C249="Controls Only",Measures!C249="Decommissioning"),"",Measures!M249)</f>
        <v/>
      </c>
      <c r="I249" s="443" t="str">
        <f>IF(OR(Measures!AM249="Row Not Used",Measures!C249="Controls Only",Measures!C249="Decommissioning"),"",Measures!N249)</f>
        <v/>
      </c>
      <c r="J249" s="444" t="str">
        <f>IF(OR(Measures!AM249="Row Not Used",Measures!C249="Controls Only",Measures!C249="Decommissioning"),"",Measures!O249)</f>
        <v/>
      </c>
      <c r="K249" s="425" t="str">
        <f>IF(OR(Measures!AM249="Row Not Used",Measures!C249="Controls Only",Measures!C249="Decommissioning"),"",Measures!AS249)</f>
        <v/>
      </c>
      <c r="L249" s="426" t="str">
        <f>IF(OR(Measures!AM249="Row Not Used",Measures!AM249="Decommissioning",ISBLANK(Measures!R249)),"",Measures!R249)</f>
        <v/>
      </c>
      <c r="M249" s="431" t="str">
        <f>IF(OR(Measures!AM249="Row Not Used",Measures!AM249="Fixtures Only",Measures!AM249="Decommissioning"),"",Measures!S249)</f>
        <v/>
      </c>
      <c r="N249" s="432" t="str">
        <f>IF(Measures!AM249="Row Not Used","",Measures!AF249)</f>
        <v/>
      </c>
      <c r="O249" s="426" t="str">
        <f>IF(Measures!AM249="Row Not Used","",Measures!C249)</f>
        <v/>
      </c>
      <c r="P249" s="133" t="str">
        <f t="shared" si="3"/>
        <v>No</v>
      </c>
    </row>
    <row r="250" spans="1:16" ht="75.599999999999994" customHeight="1" x14ac:dyDescent="0.3">
      <c r="A250" s="454">
        <f>Measures!A250</f>
        <v>243</v>
      </c>
      <c r="B250" s="425" t="str">
        <f>IF(Measures!AM250="Row Not Used","",IF(ISBLANK(Measures!V250),Measures!B250,_xlfn.CONCAT(Measures!B250," - ",Measures!V250)))</f>
        <v/>
      </c>
      <c r="C250" s="426" t="str">
        <f>IF(Measures!AM250="Row Not Used","",_xlfn.CONCAT(Measures!D250," - ",Measures!E250," - ",Measures!F250))</f>
        <v/>
      </c>
      <c r="D250" s="442" t="str">
        <f>IF(Measures!AM250="Row Not Used","",Measures!G250)</f>
        <v/>
      </c>
      <c r="E250" s="443" t="str">
        <f>IF(Measures!AM250="Row Not Used","",Measures!H250)</f>
        <v/>
      </c>
      <c r="F250" s="450" t="str">
        <f>IF(Measures!AM250="Row Not Used","",Measures!I250)</f>
        <v/>
      </c>
      <c r="G250" s="426" t="str">
        <f>IF(OR(Measures!AM250="Row Not Used",Measures!C250="Controls Only",Measures!C250="Decommissioning"),"",_xlfn.CONCAT(Measures!K250," - ",Measures!L250))</f>
        <v/>
      </c>
      <c r="H250" s="442" t="str">
        <f>IF(OR(Measures!AM250="Row Not Used",Measures!C250="Controls Only",Measures!C250="Decommissioning"),"",Measures!M250)</f>
        <v/>
      </c>
      <c r="I250" s="443" t="str">
        <f>IF(OR(Measures!AM250="Row Not Used",Measures!C250="Controls Only",Measures!C250="Decommissioning"),"",Measures!N250)</f>
        <v/>
      </c>
      <c r="J250" s="444" t="str">
        <f>IF(OR(Measures!AM250="Row Not Used",Measures!C250="Controls Only",Measures!C250="Decommissioning"),"",Measures!O250)</f>
        <v/>
      </c>
      <c r="K250" s="425" t="str">
        <f>IF(OR(Measures!AM250="Row Not Used",Measures!C250="Controls Only",Measures!C250="Decommissioning"),"",Measures!AS250)</f>
        <v/>
      </c>
      <c r="L250" s="426" t="str">
        <f>IF(OR(Measures!AM250="Row Not Used",Measures!AM250="Decommissioning",ISBLANK(Measures!R250)),"",Measures!R250)</f>
        <v/>
      </c>
      <c r="M250" s="431" t="str">
        <f>IF(OR(Measures!AM250="Row Not Used",Measures!AM250="Fixtures Only",Measures!AM250="Decommissioning"),"",Measures!S250)</f>
        <v/>
      </c>
      <c r="N250" s="432" t="str">
        <f>IF(Measures!AM250="Row Not Used","",Measures!AF250)</f>
        <v/>
      </c>
      <c r="O250" s="426" t="str">
        <f>IF(Measures!AM250="Row Not Used","",Measures!C250)</f>
        <v/>
      </c>
      <c r="P250" s="133" t="str">
        <f t="shared" si="3"/>
        <v>No</v>
      </c>
    </row>
    <row r="251" spans="1:16" ht="75.599999999999994" customHeight="1" x14ac:dyDescent="0.3">
      <c r="A251" s="454">
        <f>Measures!A251</f>
        <v>244</v>
      </c>
      <c r="B251" s="425" t="str">
        <f>IF(Measures!AM251="Row Not Used","",IF(ISBLANK(Measures!V251),Measures!B251,_xlfn.CONCAT(Measures!B251," - ",Measures!V251)))</f>
        <v/>
      </c>
      <c r="C251" s="426" t="str">
        <f>IF(Measures!AM251="Row Not Used","",_xlfn.CONCAT(Measures!D251," - ",Measures!E251," - ",Measures!F251))</f>
        <v/>
      </c>
      <c r="D251" s="442" t="str">
        <f>IF(Measures!AM251="Row Not Used","",Measures!G251)</f>
        <v/>
      </c>
      <c r="E251" s="443" t="str">
        <f>IF(Measures!AM251="Row Not Used","",Measures!H251)</f>
        <v/>
      </c>
      <c r="F251" s="450" t="str">
        <f>IF(Measures!AM251="Row Not Used","",Measures!I251)</f>
        <v/>
      </c>
      <c r="G251" s="426" t="str">
        <f>IF(OR(Measures!AM251="Row Not Used",Measures!C251="Controls Only",Measures!C251="Decommissioning"),"",_xlfn.CONCAT(Measures!K251," - ",Measures!L251))</f>
        <v/>
      </c>
      <c r="H251" s="442" t="str">
        <f>IF(OR(Measures!AM251="Row Not Used",Measures!C251="Controls Only",Measures!C251="Decommissioning"),"",Measures!M251)</f>
        <v/>
      </c>
      <c r="I251" s="443" t="str">
        <f>IF(OR(Measures!AM251="Row Not Used",Measures!C251="Controls Only",Measures!C251="Decommissioning"),"",Measures!N251)</f>
        <v/>
      </c>
      <c r="J251" s="444" t="str">
        <f>IF(OR(Measures!AM251="Row Not Used",Measures!C251="Controls Only",Measures!C251="Decommissioning"),"",Measures!O251)</f>
        <v/>
      </c>
      <c r="K251" s="425" t="str">
        <f>IF(OR(Measures!AM251="Row Not Used",Measures!C251="Controls Only",Measures!C251="Decommissioning"),"",Measures!AS251)</f>
        <v/>
      </c>
      <c r="L251" s="426" t="str">
        <f>IF(OR(Measures!AM251="Row Not Used",Measures!AM251="Decommissioning",ISBLANK(Measures!R251)),"",Measures!R251)</f>
        <v/>
      </c>
      <c r="M251" s="431" t="str">
        <f>IF(OR(Measures!AM251="Row Not Used",Measures!AM251="Fixtures Only",Measures!AM251="Decommissioning"),"",Measures!S251)</f>
        <v/>
      </c>
      <c r="N251" s="432" t="str">
        <f>IF(Measures!AM251="Row Not Used","",Measures!AF251)</f>
        <v/>
      </c>
      <c r="O251" s="426" t="str">
        <f>IF(Measures!AM251="Row Not Used","",Measures!C251)</f>
        <v/>
      </c>
      <c r="P251" s="133" t="str">
        <f t="shared" si="3"/>
        <v>No</v>
      </c>
    </row>
    <row r="252" spans="1:16" ht="75.599999999999994" customHeight="1" x14ac:dyDescent="0.3">
      <c r="A252" s="454">
        <f>Measures!A252</f>
        <v>245</v>
      </c>
      <c r="B252" s="425" t="str">
        <f>IF(Measures!AM252="Row Not Used","",IF(ISBLANK(Measures!V252),Measures!B252,_xlfn.CONCAT(Measures!B252," - ",Measures!V252)))</f>
        <v/>
      </c>
      <c r="C252" s="426" t="str">
        <f>IF(Measures!AM252="Row Not Used","",_xlfn.CONCAT(Measures!D252," - ",Measures!E252," - ",Measures!F252))</f>
        <v/>
      </c>
      <c r="D252" s="442" t="str">
        <f>IF(Measures!AM252="Row Not Used","",Measures!G252)</f>
        <v/>
      </c>
      <c r="E252" s="443" t="str">
        <f>IF(Measures!AM252="Row Not Used","",Measures!H252)</f>
        <v/>
      </c>
      <c r="F252" s="450" t="str">
        <f>IF(Measures!AM252="Row Not Used","",Measures!I252)</f>
        <v/>
      </c>
      <c r="G252" s="426" t="str">
        <f>IF(OR(Measures!AM252="Row Not Used",Measures!C252="Controls Only",Measures!C252="Decommissioning"),"",_xlfn.CONCAT(Measures!K252," - ",Measures!L252))</f>
        <v/>
      </c>
      <c r="H252" s="442" t="str">
        <f>IF(OR(Measures!AM252="Row Not Used",Measures!C252="Controls Only",Measures!C252="Decommissioning"),"",Measures!M252)</f>
        <v/>
      </c>
      <c r="I252" s="443" t="str">
        <f>IF(OR(Measures!AM252="Row Not Used",Measures!C252="Controls Only",Measures!C252="Decommissioning"),"",Measures!N252)</f>
        <v/>
      </c>
      <c r="J252" s="444" t="str">
        <f>IF(OR(Measures!AM252="Row Not Used",Measures!C252="Controls Only",Measures!C252="Decommissioning"),"",Measures!O252)</f>
        <v/>
      </c>
      <c r="K252" s="425" t="str">
        <f>IF(OR(Measures!AM252="Row Not Used",Measures!C252="Controls Only",Measures!C252="Decommissioning"),"",Measures!AS252)</f>
        <v/>
      </c>
      <c r="L252" s="426" t="str">
        <f>IF(OR(Measures!AM252="Row Not Used",Measures!AM252="Decommissioning",ISBLANK(Measures!R252)),"",Measures!R252)</f>
        <v/>
      </c>
      <c r="M252" s="431" t="str">
        <f>IF(OR(Measures!AM252="Row Not Used",Measures!AM252="Fixtures Only",Measures!AM252="Decommissioning"),"",Measures!S252)</f>
        <v/>
      </c>
      <c r="N252" s="432" t="str">
        <f>IF(Measures!AM252="Row Not Used","",Measures!AF252)</f>
        <v/>
      </c>
      <c r="O252" s="426" t="str">
        <f>IF(Measures!AM252="Row Not Used","",Measures!C252)</f>
        <v/>
      </c>
      <c r="P252" s="133" t="str">
        <f t="shared" si="3"/>
        <v>No</v>
      </c>
    </row>
    <row r="253" spans="1:16" ht="75.599999999999994" customHeight="1" x14ac:dyDescent="0.3">
      <c r="A253" s="454">
        <f>Measures!A253</f>
        <v>246</v>
      </c>
      <c r="B253" s="425" t="str">
        <f>IF(Measures!AM253="Row Not Used","",IF(ISBLANK(Measures!V253),Measures!B253,_xlfn.CONCAT(Measures!B253," - ",Measures!V253)))</f>
        <v/>
      </c>
      <c r="C253" s="426" t="str">
        <f>IF(Measures!AM253="Row Not Used","",_xlfn.CONCAT(Measures!D253," - ",Measures!E253," - ",Measures!F253))</f>
        <v/>
      </c>
      <c r="D253" s="442" t="str">
        <f>IF(Measures!AM253="Row Not Used","",Measures!G253)</f>
        <v/>
      </c>
      <c r="E253" s="443" t="str">
        <f>IF(Measures!AM253="Row Not Used","",Measures!H253)</f>
        <v/>
      </c>
      <c r="F253" s="450" t="str">
        <f>IF(Measures!AM253="Row Not Used","",Measures!I253)</f>
        <v/>
      </c>
      <c r="G253" s="426" t="str">
        <f>IF(OR(Measures!AM253="Row Not Used",Measures!C253="Controls Only",Measures!C253="Decommissioning"),"",_xlfn.CONCAT(Measures!K253," - ",Measures!L253))</f>
        <v/>
      </c>
      <c r="H253" s="442" t="str">
        <f>IF(OR(Measures!AM253="Row Not Used",Measures!C253="Controls Only",Measures!C253="Decommissioning"),"",Measures!M253)</f>
        <v/>
      </c>
      <c r="I253" s="443" t="str">
        <f>IF(OR(Measures!AM253="Row Not Used",Measures!C253="Controls Only",Measures!C253="Decommissioning"),"",Measures!N253)</f>
        <v/>
      </c>
      <c r="J253" s="444" t="str">
        <f>IF(OR(Measures!AM253="Row Not Used",Measures!C253="Controls Only",Measures!C253="Decommissioning"),"",Measures!O253)</f>
        <v/>
      </c>
      <c r="K253" s="425" t="str">
        <f>IF(OR(Measures!AM253="Row Not Used",Measures!C253="Controls Only",Measures!C253="Decommissioning"),"",Measures!AS253)</f>
        <v/>
      </c>
      <c r="L253" s="426" t="str">
        <f>IF(OR(Measures!AM253="Row Not Used",Measures!AM253="Decommissioning",ISBLANK(Measures!R253)),"",Measures!R253)</f>
        <v/>
      </c>
      <c r="M253" s="431" t="str">
        <f>IF(OR(Measures!AM253="Row Not Used",Measures!AM253="Fixtures Only",Measures!AM253="Decommissioning"),"",Measures!S253)</f>
        <v/>
      </c>
      <c r="N253" s="432" t="str">
        <f>IF(Measures!AM253="Row Not Used","",Measures!AF253)</f>
        <v/>
      </c>
      <c r="O253" s="426" t="str">
        <f>IF(Measures!AM253="Row Not Used","",Measures!C253)</f>
        <v/>
      </c>
      <c r="P253" s="133" t="str">
        <f t="shared" si="3"/>
        <v>No</v>
      </c>
    </row>
    <row r="254" spans="1:16" ht="75.599999999999994" customHeight="1" x14ac:dyDescent="0.3">
      <c r="A254" s="454">
        <f>Measures!A254</f>
        <v>247</v>
      </c>
      <c r="B254" s="425" t="str">
        <f>IF(Measures!AM254="Row Not Used","",IF(ISBLANK(Measures!V254),Measures!B254,_xlfn.CONCAT(Measures!B254," - ",Measures!V254)))</f>
        <v/>
      </c>
      <c r="C254" s="426" t="str">
        <f>IF(Measures!AM254="Row Not Used","",_xlfn.CONCAT(Measures!D254," - ",Measures!E254," - ",Measures!F254))</f>
        <v/>
      </c>
      <c r="D254" s="442" t="str">
        <f>IF(Measures!AM254="Row Not Used","",Measures!G254)</f>
        <v/>
      </c>
      <c r="E254" s="443" t="str">
        <f>IF(Measures!AM254="Row Not Used","",Measures!H254)</f>
        <v/>
      </c>
      <c r="F254" s="450" t="str">
        <f>IF(Measures!AM254="Row Not Used","",Measures!I254)</f>
        <v/>
      </c>
      <c r="G254" s="426" t="str">
        <f>IF(OR(Measures!AM254="Row Not Used",Measures!C254="Controls Only",Measures!C254="Decommissioning"),"",_xlfn.CONCAT(Measures!K254," - ",Measures!L254))</f>
        <v/>
      </c>
      <c r="H254" s="442" t="str">
        <f>IF(OR(Measures!AM254="Row Not Used",Measures!C254="Controls Only",Measures!C254="Decommissioning"),"",Measures!M254)</f>
        <v/>
      </c>
      <c r="I254" s="443" t="str">
        <f>IF(OR(Measures!AM254="Row Not Used",Measures!C254="Controls Only",Measures!C254="Decommissioning"),"",Measures!N254)</f>
        <v/>
      </c>
      <c r="J254" s="444" t="str">
        <f>IF(OR(Measures!AM254="Row Not Used",Measures!C254="Controls Only",Measures!C254="Decommissioning"),"",Measures!O254)</f>
        <v/>
      </c>
      <c r="K254" s="425" t="str">
        <f>IF(OR(Measures!AM254="Row Not Used",Measures!C254="Controls Only",Measures!C254="Decommissioning"),"",Measures!AS254)</f>
        <v/>
      </c>
      <c r="L254" s="426" t="str">
        <f>IF(OR(Measures!AM254="Row Not Used",Measures!AM254="Decommissioning",ISBLANK(Measures!R254)),"",Measures!R254)</f>
        <v/>
      </c>
      <c r="M254" s="431" t="str">
        <f>IF(OR(Measures!AM254="Row Not Used",Measures!AM254="Fixtures Only",Measures!AM254="Decommissioning"),"",Measures!S254)</f>
        <v/>
      </c>
      <c r="N254" s="432" t="str">
        <f>IF(Measures!AM254="Row Not Used","",Measures!AF254)</f>
        <v/>
      </c>
      <c r="O254" s="426" t="str">
        <f>IF(Measures!AM254="Row Not Used","",Measures!C254)</f>
        <v/>
      </c>
      <c r="P254" s="133" t="str">
        <f t="shared" si="3"/>
        <v>No</v>
      </c>
    </row>
    <row r="255" spans="1:16" ht="75.599999999999994" customHeight="1" x14ac:dyDescent="0.3">
      <c r="A255" s="454">
        <f>Measures!A255</f>
        <v>248</v>
      </c>
      <c r="B255" s="425" t="str">
        <f>IF(Measures!AM255="Row Not Used","",IF(ISBLANK(Measures!V255),Measures!B255,_xlfn.CONCAT(Measures!B255," - ",Measures!V255)))</f>
        <v/>
      </c>
      <c r="C255" s="426" t="str">
        <f>IF(Measures!AM255="Row Not Used","",_xlfn.CONCAT(Measures!D255," - ",Measures!E255," - ",Measures!F255))</f>
        <v/>
      </c>
      <c r="D255" s="442" t="str">
        <f>IF(Measures!AM255="Row Not Used","",Measures!G255)</f>
        <v/>
      </c>
      <c r="E255" s="443" t="str">
        <f>IF(Measures!AM255="Row Not Used","",Measures!H255)</f>
        <v/>
      </c>
      <c r="F255" s="450" t="str">
        <f>IF(Measures!AM255="Row Not Used","",Measures!I255)</f>
        <v/>
      </c>
      <c r="G255" s="426" t="str">
        <f>IF(OR(Measures!AM255="Row Not Used",Measures!C255="Controls Only",Measures!C255="Decommissioning"),"",_xlfn.CONCAT(Measures!K255," - ",Measures!L255))</f>
        <v/>
      </c>
      <c r="H255" s="442" t="str">
        <f>IF(OR(Measures!AM255="Row Not Used",Measures!C255="Controls Only",Measures!C255="Decommissioning"),"",Measures!M255)</f>
        <v/>
      </c>
      <c r="I255" s="443" t="str">
        <f>IF(OR(Measures!AM255="Row Not Used",Measures!C255="Controls Only",Measures!C255="Decommissioning"),"",Measures!N255)</f>
        <v/>
      </c>
      <c r="J255" s="444" t="str">
        <f>IF(OR(Measures!AM255="Row Not Used",Measures!C255="Controls Only",Measures!C255="Decommissioning"),"",Measures!O255)</f>
        <v/>
      </c>
      <c r="K255" s="425" t="str">
        <f>IF(OR(Measures!AM255="Row Not Used",Measures!C255="Controls Only",Measures!C255="Decommissioning"),"",Measures!AS255)</f>
        <v/>
      </c>
      <c r="L255" s="426" t="str">
        <f>IF(OR(Measures!AM255="Row Not Used",Measures!AM255="Decommissioning",ISBLANK(Measures!R255)),"",Measures!R255)</f>
        <v/>
      </c>
      <c r="M255" s="431" t="str">
        <f>IF(OR(Measures!AM255="Row Not Used",Measures!AM255="Fixtures Only",Measures!AM255="Decommissioning"),"",Measures!S255)</f>
        <v/>
      </c>
      <c r="N255" s="432" t="str">
        <f>IF(Measures!AM255="Row Not Used","",Measures!AF255)</f>
        <v/>
      </c>
      <c r="O255" s="426" t="str">
        <f>IF(Measures!AM255="Row Not Used","",Measures!C255)</f>
        <v/>
      </c>
      <c r="P255" s="133" t="str">
        <f t="shared" si="3"/>
        <v>No</v>
      </c>
    </row>
    <row r="256" spans="1:16" ht="75.599999999999994" customHeight="1" x14ac:dyDescent="0.3">
      <c r="A256" s="454">
        <f>Measures!A256</f>
        <v>249</v>
      </c>
      <c r="B256" s="425" t="str">
        <f>IF(Measures!AM256="Row Not Used","",IF(ISBLANK(Measures!V256),Measures!B256,_xlfn.CONCAT(Measures!B256," - ",Measures!V256)))</f>
        <v/>
      </c>
      <c r="C256" s="426" t="str">
        <f>IF(Measures!AM256="Row Not Used","",_xlfn.CONCAT(Measures!D256," - ",Measures!E256," - ",Measures!F256))</f>
        <v/>
      </c>
      <c r="D256" s="442" t="str">
        <f>IF(Measures!AM256="Row Not Used","",Measures!G256)</f>
        <v/>
      </c>
      <c r="E256" s="443" t="str">
        <f>IF(Measures!AM256="Row Not Used","",Measures!H256)</f>
        <v/>
      </c>
      <c r="F256" s="450" t="str">
        <f>IF(Measures!AM256="Row Not Used","",Measures!I256)</f>
        <v/>
      </c>
      <c r="G256" s="426" t="str">
        <f>IF(OR(Measures!AM256="Row Not Used",Measures!C256="Controls Only",Measures!C256="Decommissioning"),"",_xlfn.CONCAT(Measures!K256," - ",Measures!L256))</f>
        <v/>
      </c>
      <c r="H256" s="442" t="str">
        <f>IF(OR(Measures!AM256="Row Not Used",Measures!C256="Controls Only",Measures!C256="Decommissioning"),"",Measures!M256)</f>
        <v/>
      </c>
      <c r="I256" s="443" t="str">
        <f>IF(OR(Measures!AM256="Row Not Used",Measures!C256="Controls Only",Measures!C256="Decommissioning"),"",Measures!N256)</f>
        <v/>
      </c>
      <c r="J256" s="444" t="str">
        <f>IF(OR(Measures!AM256="Row Not Used",Measures!C256="Controls Only",Measures!C256="Decommissioning"),"",Measures!O256)</f>
        <v/>
      </c>
      <c r="K256" s="425" t="str">
        <f>IF(OR(Measures!AM256="Row Not Used",Measures!C256="Controls Only",Measures!C256="Decommissioning"),"",Measures!AS256)</f>
        <v/>
      </c>
      <c r="L256" s="426" t="str">
        <f>IF(OR(Measures!AM256="Row Not Used",Measures!AM256="Decommissioning",ISBLANK(Measures!R256)),"",Measures!R256)</f>
        <v/>
      </c>
      <c r="M256" s="431" t="str">
        <f>IF(OR(Measures!AM256="Row Not Used",Measures!AM256="Fixtures Only",Measures!AM256="Decommissioning"),"",Measures!S256)</f>
        <v/>
      </c>
      <c r="N256" s="432" t="str">
        <f>IF(Measures!AM256="Row Not Used","",Measures!AF256)</f>
        <v/>
      </c>
      <c r="O256" s="426" t="str">
        <f>IF(Measures!AM256="Row Not Used","",Measures!C256)</f>
        <v/>
      </c>
      <c r="P256" s="133" t="str">
        <f t="shared" si="3"/>
        <v>No</v>
      </c>
    </row>
    <row r="257" spans="1:16" ht="75.599999999999994" customHeight="1" x14ac:dyDescent="0.3">
      <c r="A257" s="454">
        <f>Measures!A257</f>
        <v>250</v>
      </c>
      <c r="B257" s="425" t="str">
        <f>IF(Measures!AM257="Row Not Used","",IF(ISBLANK(Measures!V257),Measures!B257,_xlfn.CONCAT(Measures!B257," - ",Measures!V257)))</f>
        <v/>
      </c>
      <c r="C257" s="426" t="str">
        <f>IF(Measures!AM257="Row Not Used","",_xlfn.CONCAT(Measures!D257," - ",Measures!E257," - ",Measures!F257))</f>
        <v/>
      </c>
      <c r="D257" s="442" t="str">
        <f>IF(Measures!AM257="Row Not Used","",Measures!G257)</f>
        <v/>
      </c>
      <c r="E257" s="443" t="str">
        <f>IF(Measures!AM257="Row Not Used","",Measures!H257)</f>
        <v/>
      </c>
      <c r="F257" s="450" t="str">
        <f>IF(Measures!AM257="Row Not Used","",Measures!I257)</f>
        <v/>
      </c>
      <c r="G257" s="426" t="str">
        <f>IF(OR(Measures!AM257="Row Not Used",Measures!C257="Controls Only",Measures!C257="Decommissioning"),"",_xlfn.CONCAT(Measures!K257," - ",Measures!L257))</f>
        <v/>
      </c>
      <c r="H257" s="442" t="str">
        <f>IF(OR(Measures!AM257="Row Not Used",Measures!C257="Controls Only",Measures!C257="Decommissioning"),"",Measures!M257)</f>
        <v/>
      </c>
      <c r="I257" s="443" t="str">
        <f>IF(OR(Measures!AM257="Row Not Used",Measures!C257="Controls Only",Measures!C257="Decommissioning"),"",Measures!N257)</f>
        <v/>
      </c>
      <c r="J257" s="444" t="str">
        <f>IF(OR(Measures!AM257="Row Not Used",Measures!C257="Controls Only",Measures!C257="Decommissioning"),"",Measures!O257)</f>
        <v/>
      </c>
      <c r="K257" s="425" t="str">
        <f>IF(OR(Measures!AM257="Row Not Used",Measures!C257="Controls Only",Measures!C257="Decommissioning"),"",Measures!AS257)</f>
        <v/>
      </c>
      <c r="L257" s="426" t="str">
        <f>IF(OR(Measures!AM257="Row Not Used",Measures!AM257="Decommissioning",ISBLANK(Measures!R257)),"",Measures!R257)</f>
        <v/>
      </c>
      <c r="M257" s="431" t="str">
        <f>IF(OR(Measures!AM257="Row Not Used",Measures!AM257="Fixtures Only",Measures!AM257="Decommissioning"),"",Measures!S257)</f>
        <v/>
      </c>
      <c r="N257" s="432" t="str">
        <f>IF(Measures!AM257="Row Not Used","",Measures!AF257)</f>
        <v/>
      </c>
      <c r="O257" s="426" t="str">
        <f>IF(Measures!AM257="Row Not Used","",Measures!C257)</f>
        <v/>
      </c>
      <c r="P257" s="133" t="str">
        <f t="shared" si="3"/>
        <v>No</v>
      </c>
    </row>
    <row r="258" spans="1:16" ht="75.599999999999994" customHeight="1" x14ac:dyDescent="0.3">
      <c r="A258" s="454">
        <f>Measures!A258</f>
        <v>251</v>
      </c>
      <c r="B258" s="425" t="str">
        <f>IF(Measures!AM258="Row Not Used","",IF(ISBLANK(Measures!V258),Measures!B258,_xlfn.CONCAT(Measures!B258," - ",Measures!V258)))</f>
        <v/>
      </c>
      <c r="C258" s="426" t="str">
        <f>IF(Measures!AM258="Row Not Used","",_xlfn.CONCAT(Measures!D258," - ",Measures!E258," - ",Measures!F258))</f>
        <v/>
      </c>
      <c r="D258" s="442" t="str">
        <f>IF(Measures!AM258="Row Not Used","",Measures!G258)</f>
        <v/>
      </c>
      <c r="E258" s="443" t="str">
        <f>IF(Measures!AM258="Row Not Used","",Measures!H258)</f>
        <v/>
      </c>
      <c r="F258" s="450" t="str">
        <f>IF(Measures!AM258="Row Not Used","",Measures!I258)</f>
        <v/>
      </c>
      <c r="G258" s="426" t="str">
        <f>IF(OR(Measures!AM258="Row Not Used",Measures!C258="Controls Only",Measures!C258="Decommissioning"),"",_xlfn.CONCAT(Measures!K258," - ",Measures!L258))</f>
        <v/>
      </c>
      <c r="H258" s="442" t="str">
        <f>IF(OR(Measures!AM258="Row Not Used",Measures!C258="Controls Only",Measures!C258="Decommissioning"),"",Measures!M258)</f>
        <v/>
      </c>
      <c r="I258" s="443" t="str">
        <f>IF(OR(Measures!AM258="Row Not Used",Measures!C258="Controls Only",Measures!C258="Decommissioning"),"",Measures!N258)</f>
        <v/>
      </c>
      <c r="J258" s="444" t="str">
        <f>IF(OR(Measures!AM258="Row Not Used",Measures!C258="Controls Only",Measures!C258="Decommissioning"),"",Measures!O258)</f>
        <v/>
      </c>
      <c r="K258" s="425" t="str">
        <f>IF(OR(Measures!AM258="Row Not Used",Measures!C258="Controls Only",Measures!C258="Decommissioning"),"",Measures!AS258)</f>
        <v/>
      </c>
      <c r="L258" s="426" t="str">
        <f>IF(OR(Measures!AM258="Row Not Used",Measures!AM258="Decommissioning",ISBLANK(Measures!R258)),"",Measures!R258)</f>
        <v/>
      </c>
      <c r="M258" s="431" t="str">
        <f>IF(OR(Measures!AM258="Row Not Used",Measures!AM258="Fixtures Only",Measures!AM258="Decommissioning"),"",Measures!S258)</f>
        <v/>
      </c>
      <c r="N258" s="432" t="str">
        <f>IF(Measures!AM258="Row Not Used","",Measures!AF258)</f>
        <v/>
      </c>
      <c r="O258" s="426" t="str">
        <f>IF(Measures!AM258="Row Not Used","",Measures!C258)</f>
        <v/>
      </c>
      <c r="P258" s="133" t="str">
        <f t="shared" si="3"/>
        <v>No</v>
      </c>
    </row>
    <row r="259" spans="1:16" ht="75.599999999999994" customHeight="1" x14ac:dyDescent="0.3">
      <c r="A259" s="454">
        <f>Measures!A259</f>
        <v>252</v>
      </c>
      <c r="B259" s="425" t="str">
        <f>IF(Measures!AM259="Row Not Used","",IF(ISBLANK(Measures!V259),Measures!B259,_xlfn.CONCAT(Measures!B259," - ",Measures!V259)))</f>
        <v/>
      </c>
      <c r="C259" s="426" t="str">
        <f>IF(Measures!AM259="Row Not Used","",_xlfn.CONCAT(Measures!D259," - ",Measures!E259," - ",Measures!F259))</f>
        <v/>
      </c>
      <c r="D259" s="442" t="str">
        <f>IF(Measures!AM259="Row Not Used","",Measures!G259)</f>
        <v/>
      </c>
      <c r="E259" s="443" t="str">
        <f>IF(Measures!AM259="Row Not Used","",Measures!H259)</f>
        <v/>
      </c>
      <c r="F259" s="450" t="str">
        <f>IF(Measures!AM259="Row Not Used","",Measures!I259)</f>
        <v/>
      </c>
      <c r="G259" s="426" t="str">
        <f>IF(OR(Measures!AM259="Row Not Used",Measures!C259="Controls Only",Measures!C259="Decommissioning"),"",_xlfn.CONCAT(Measures!K259," - ",Measures!L259))</f>
        <v/>
      </c>
      <c r="H259" s="442" t="str">
        <f>IF(OR(Measures!AM259="Row Not Used",Measures!C259="Controls Only",Measures!C259="Decommissioning"),"",Measures!M259)</f>
        <v/>
      </c>
      <c r="I259" s="443" t="str">
        <f>IF(OR(Measures!AM259="Row Not Used",Measures!C259="Controls Only",Measures!C259="Decommissioning"),"",Measures!N259)</f>
        <v/>
      </c>
      <c r="J259" s="444" t="str">
        <f>IF(OR(Measures!AM259="Row Not Used",Measures!C259="Controls Only",Measures!C259="Decommissioning"),"",Measures!O259)</f>
        <v/>
      </c>
      <c r="K259" s="425" t="str">
        <f>IF(OR(Measures!AM259="Row Not Used",Measures!C259="Controls Only",Measures!C259="Decommissioning"),"",Measures!AS259)</f>
        <v/>
      </c>
      <c r="L259" s="426" t="str">
        <f>IF(OR(Measures!AM259="Row Not Used",Measures!AM259="Decommissioning",ISBLANK(Measures!R259)),"",Measures!R259)</f>
        <v/>
      </c>
      <c r="M259" s="431" t="str">
        <f>IF(OR(Measures!AM259="Row Not Used",Measures!AM259="Fixtures Only",Measures!AM259="Decommissioning"),"",Measures!S259)</f>
        <v/>
      </c>
      <c r="N259" s="432" t="str">
        <f>IF(Measures!AM259="Row Not Used","",Measures!AF259)</f>
        <v/>
      </c>
      <c r="O259" s="426" t="str">
        <f>IF(Measures!AM259="Row Not Used","",Measures!C259)</f>
        <v/>
      </c>
      <c r="P259" s="133" t="str">
        <f t="shared" si="3"/>
        <v>No</v>
      </c>
    </row>
    <row r="260" spans="1:16" ht="75.599999999999994" customHeight="1" x14ac:dyDescent="0.3">
      <c r="A260" s="454">
        <f>Measures!A260</f>
        <v>253</v>
      </c>
      <c r="B260" s="425" t="str">
        <f>IF(Measures!AM260="Row Not Used","",IF(ISBLANK(Measures!V260),Measures!B260,_xlfn.CONCAT(Measures!B260," - ",Measures!V260)))</f>
        <v/>
      </c>
      <c r="C260" s="426" t="str">
        <f>IF(Measures!AM260="Row Not Used","",_xlfn.CONCAT(Measures!D260," - ",Measures!E260," - ",Measures!F260))</f>
        <v/>
      </c>
      <c r="D260" s="442" t="str">
        <f>IF(Measures!AM260="Row Not Used","",Measures!G260)</f>
        <v/>
      </c>
      <c r="E260" s="443" t="str">
        <f>IF(Measures!AM260="Row Not Used","",Measures!H260)</f>
        <v/>
      </c>
      <c r="F260" s="450" t="str">
        <f>IF(Measures!AM260="Row Not Used","",Measures!I260)</f>
        <v/>
      </c>
      <c r="G260" s="426" t="str">
        <f>IF(OR(Measures!AM260="Row Not Used",Measures!C260="Controls Only",Measures!C260="Decommissioning"),"",_xlfn.CONCAT(Measures!K260," - ",Measures!L260))</f>
        <v/>
      </c>
      <c r="H260" s="442" t="str">
        <f>IF(OR(Measures!AM260="Row Not Used",Measures!C260="Controls Only",Measures!C260="Decommissioning"),"",Measures!M260)</f>
        <v/>
      </c>
      <c r="I260" s="443" t="str">
        <f>IF(OR(Measures!AM260="Row Not Used",Measures!C260="Controls Only",Measures!C260="Decommissioning"),"",Measures!N260)</f>
        <v/>
      </c>
      <c r="J260" s="444" t="str">
        <f>IF(OR(Measures!AM260="Row Not Used",Measures!C260="Controls Only",Measures!C260="Decommissioning"),"",Measures!O260)</f>
        <v/>
      </c>
      <c r="K260" s="425" t="str">
        <f>IF(OR(Measures!AM260="Row Not Used",Measures!C260="Controls Only",Measures!C260="Decommissioning"),"",Measures!AS260)</f>
        <v/>
      </c>
      <c r="L260" s="426" t="str">
        <f>IF(OR(Measures!AM260="Row Not Used",Measures!AM260="Decommissioning",ISBLANK(Measures!R260)),"",Measures!R260)</f>
        <v/>
      </c>
      <c r="M260" s="431" t="str">
        <f>IF(OR(Measures!AM260="Row Not Used",Measures!AM260="Fixtures Only",Measures!AM260="Decommissioning"),"",Measures!S260)</f>
        <v/>
      </c>
      <c r="N260" s="432" t="str">
        <f>IF(Measures!AM260="Row Not Used","",Measures!AF260)</f>
        <v/>
      </c>
      <c r="O260" s="426" t="str">
        <f>IF(Measures!AM260="Row Not Used","",Measures!C260)</f>
        <v/>
      </c>
      <c r="P260" s="133" t="str">
        <f t="shared" si="3"/>
        <v>No</v>
      </c>
    </row>
    <row r="261" spans="1:16" ht="75.599999999999994" customHeight="1" x14ac:dyDescent="0.3">
      <c r="A261" s="454">
        <f>Measures!A261</f>
        <v>254</v>
      </c>
      <c r="B261" s="425" t="str">
        <f>IF(Measures!AM261="Row Not Used","",IF(ISBLANK(Measures!V261),Measures!B261,_xlfn.CONCAT(Measures!B261," - ",Measures!V261)))</f>
        <v/>
      </c>
      <c r="C261" s="426" t="str">
        <f>IF(Measures!AM261="Row Not Used","",_xlfn.CONCAT(Measures!D261," - ",Measures!E261," - ",Measures!F261))</f>
        <v/>
      </c>
      <c r="D261" s="442" t="str">
        <f>IF(Measures!AM261="Row Not Used","",Measures!G261)</f>
        <v/>
      </c>
      <c r="E261" s="443" t="str">
        <f>IF(Measures!AM261="Row Not Used","",Measures!H261)</f>
        <v/>
      </c>
      <c r="F261" s="450" t="str">
        <f>IF(Measures!AM261="Row Not Used","",Measures!I261)</f>
        <v/>
      </c>
      <c r="G261" s="426" t="str">
        <f>IF(OR(Measures!AM261="Row Not Used",Measures!C261="Controls Only",Measures!C261="Decommissioning"),"",_xlfn.CONCAT(Measures!K261," - ",Measures!L261))</f>
        <v/>
      </c>
      <c r="H261" s="442" t="str">
        <f>IF(OR(Measures!AM261="Row Not Used",Measures!C261="Controls Only",Measures!C261="Decommissioning"),"",Measures!M261)</f>
        <v/>
      </c>
      <c r="I261" s="443" t="str">
        <f>IF(OR(Measures!AM261="Row Not Used",Measures!C261="Controls Only",Measures!C261="Decommissioning"),"",Measures!N261)</f>
        <v/>
      </c>
      <c r="J261" s="444" t="str">
        <f>IF(OR(Measures!AM261="Row Not Used",Measures!C261="Controls Only",Measures!C261="Decommissioning"),"",Measures!O261)</f>
        <v/>
      </c>
      <c r="K261" s="425" t="str">
        <f>IF(OR(Measures!AM261="Row Not Used",Measures!C261="Controls Only",Measures!C261="Decommissioning"),"",Measures!AS261)</f>
        <v/>
      </c>
      <c r="L261" s="426" t="str">
        <f>IF(OR(Measures!AM261="Row Not Used",Measures!AM261="Decommissioning",ISBLANK(Measures!R261)),"",Measures!R261)</f>
        <v/>
      </c>
      <c r="M261" s="431" t="str">
        <f>IF(OR(Measures!AM261="Row Not Used",Measures!AM261="Fixtures Only",Measures!AM261="Decommissioning"),"",Measures!S261)</f>
        <v/>
      </c>
      <c r="N261" s="432" t="str">
        <f>IF(Measures!AM261="Row Not Used","",Measures!AF261)</f>
        <v/>
      </c>
      <c r="O261" s="426" t="str">
        <f>IF(Measures!AM261="Row Not Used","",Measures!C261)</f>
        <v/>
      </c>
      <c r="P261" s="133" t="str">
        <f t="shared" si="3"/>
        <v>No</v>
      </c>
    </row>
    <row r="262" spans="1:16" ht="75.599999999999994" customHeight="1" x14ac:dyDescent="0.3">
      <c r="A262" s="454">
        <f>Measures!A262</f>
        <v>255</v>
      </c>
      <c r="B262" s="425" t="str">
        <f>IF(Measures!AM262="Row Not Used","",IF(ISBLANK(Measures!V262),Measures!B262,_xlfn.CONCAT(Measures!B262," - ",Measures!V262)))</f>
        <v/>
      </c>
      <c r="C262" s="426" t="str">
        <f>IF(Measures!AM262="Row Not Used","",_xlfn.CONCAT(Measures!D262," - ",Measures!E262," - ",Measures!F262))</f>
        <v/>
      </c>
      <c r="D262" s="442" t="str">
        <f>IF(Measures!AM262="Row Not Used","",Measures!G262)</f>
        <v/>
      </c>
      <c r="E262" s="443" t="str">
        <f>IF(Measures!AM262="Row Not Used","",Measures!H262)</f>
        <v/>
      </c>
      <c r="F262" s="450" t="str">
        <f>IF(Measures!AM262="Row Not Used","",Measures!I262)</f>
        <v/>
      </c>
      <c r="G262" s="426" t="str">
        <f>IF(OR(Measures!AM262="Row Not Used",Measures!C262="Controls Only",Measures!C262="Decommissioning"),"",_xlfn.CONCAT(Measures!K262," - ",Measures!L262))</f>
        <v/>
      </c>
      <c r="H262" s="442" t="str">
        <f>IF(OR(Measures!AM262="Row Not Used",Measures!C262="Controls Only",Measures!C262="Decommissioning"),"",Measures!M262)</f>
        <v/>
      </c>
      <c r="I262" s="443" t="str">
        <f>IF(OR(Measures!AM262="Row Not Used",Measures!C262="Controls Only",Measures!C262="Decommissioning"),"",Measures!N262)</f>
        <v/>
      </c>
      <c r="J262" s="444" t="str">
        <f>IF(OR(Measures!AM262="Row Not Used",Measures!C262="Controls Only",Measures!C262="Decommissioning"),"",Measures!O262)</f>
        <v/>
      </c>
      <c r="K262" s="425" t="str">
        <f>IF(OR(Measures!AM262="Row Not Used",Measures!C262="Controls Only",Measures!C262="Decommissioning"),"",Measures!AS262)</f>
        <v/>
      </c>
      <c r="L262" s="426" t="str">
        <f>IF(OR(Measures!AM262="Row Not Used",Measures!AM262="Decommissioning",ISBLANK(Measures!R262)),"",Measures!R262)</f>
        <v/>
      </c>
      <c r="M262" s="431" t="str">
        <f>IF(OR(Measures!AM262="Row Not Used",Measures!AM262="Fixtures Only",Measures!AM262="Decommissioning"),"",Measures!S262)</f>
        <v/>
      </c>
      <c r="N262" s="432" t="str">
        <f>IF(Measures!AM262="Row Not Used","",Measures!AF262)</f>
        <v/>
      </c>
      <c r="O262" s="426" t="str">
        <f>IF(Measures!AM262="Row Not Used","",Measures!C262)</f>
        <v/>
      </c>
      <c r="P262" s="133" t="str">
        <f t="shared" si="3"/>
        <v>No</v>
      </c>
    </row>
    <row r="263" spans="1:16" ht="75.599999999999994" customHeight="1" x14ac:dyDescent="0.3">
      <c r="A263" s="454">
        <f>Measures!A263</f>
        <v>256</v>
      </c>
      <c r="B263" s="425" t="str">
        <f>IF(Measures!AM263="Row Not Used","",IF(ISBLANK(Measures!V263),Measures!B263,_xlfn.CONCAT(Measures!B263," - ",Measures!V263)))</f>
        <v/>
      </c>
      <c r="C263" s="426" t="str">
        <f>IF(Measures!AM263="Row Not Used","",_xlfn.CONCAT(Measures!D263," - ",Measures!E263," - ",Measures!F263))</f>
        <v/>
      </c>
      <c r="D263" s="442" t="str">
        <f>IF(Measures!AM263="Row Not Used","",Measures!G263)</f>
        <v/>
      </c>
      <c r="E263" s="443" t="str">
        <f>IF(Measures!AM263="Row Not Used","",Measures!H263)</f>
        <v/>
      </c>
      <c r="F263" s="450" t="str">
        <f>IF(Measures!AM263="Row Not Used","",Measures!I263)</f>
        <v/>
      </c>
      <c r="G263" s="426" t="str">
        <f>IF(OR(Measures!AM263="Row Not Used",Measures!C263="Controls Only",Measures!C263="Decommissioning"),"",_xlfn.CONCAT(Measures!K263," - ",Measures!L263))</f>
        <v/>
      </c>
      <c r="H263" s="442" t="str">
        <f>IF(OR(Measures!AM263="Row Not Used",Measures!C263="Controls Only",Measures!C263="Decommissioning"),"",Measures!M263)</f>
        <v/>
      </c>
      <c r="I263" s="443" t="str">
        <f>IF(OR(Measures!AM263="Row Not Used",Measures!C263="Controls Only",Measures!C263="Decommissioning"),"",Measures!N263)</f>
        <v/>
      </c>
      <c r="J263" s="444" t="str">
        <f>IF(OR(Measures!AM263="Row Not Used",Measures!C263="Controls Only",Measures!C263="Decommissioning"),"",Measures!O263)</f>
        <v/>
      </c>
      <c r="K263" s="425" t="str">
        <f>IF(OR(Measures!AM263="Row Not Used",Measures!C263="Controls Only",Measures!C263="Decommissioning"),"",Measures!AS263)</f>
        <v/>
      </c>
      <c r="L263" s="426" t="str">
        <f>IF(OR(Measures!AM263="Row Not Used",Measures!AM263="Decommissioning",ISBLANK(Measures!R263)),"",Measures!R263)</f>
        <v/>
      </c>
      <c r="M263" s="431" t="str">
        <f>IF(OR(Measures!AM263="Row Not Used",Measures!AM263="Fixtures Only",Measures!AM263="Decommissioning"),"",Measures!S263)</f>
        <v/>
      </c>
      <c r="N263" s="432" t="str">
        <f>IF(Measures!AM263="Row Not Used","",Measures!AF263)</f>
        <v/>
      </c>
      <c r="O263" s="426" t="str">
        <f>IF(Measures!AM263="Row Not Used","",Measures!C263)</f>
        <v/>
      </c>
      <c r="P263" s="133" t="str">
        <f t="shared" si="3"/>
        <v>No</v>
      </c>
    </row>
    <row r="264" spans="1:16" ht="75.599999999999994" customHeight="1" x14ac:dyDescent="0.3">
      <c r="A264" s="454">
        <f>Measures!A264</f>
        <v>257</v>
      </c>
      <c r="B264" s="425" t="str">
        <f>IF(Measures!AM264="Row Not Used","",IF(ISBLANK(Measures!V264),Measures!B264,_xlfn.CONCAT(Measures!B264," - ",Measures!V264)))</f>
        <v/>
      </c>
      <c r="C264" s="426" t="str">
        <f>IF(Measures!AM264="Row Not Used","",_xlfn.CONCAT(Measures!D264," - ",Measures!E264," - ",Measures!F264))</f>
        <v/>
      </c>
      <c r="D264" s="442" t="str">
        <f>IF(Measures!AM264="Row Not Used","",Measures!G264)</f>
        <v/>
      </c>
      <c r="E264" s="443" t="str">
        <f>IF(Measures!AM264="Row Not Used","",Measures!H264)</f>
        <v/>
      </c>
      <c r="F264" s="450" t="str">
        <f>IF(Measures!AM264="Row Not Used","",Measures!I264)</f>
        <v/>
      </c>
      <c r="G264" s="426" t="str">
        <f>IF(OR(Measures!AM264="Row Not Used",Measures!C264="Controls Only",Measures!C264="Decommissioning"),"",_xlfn.CONCAT(Measures!K264," - ",Measures!L264))</f>
        <v/>
      </c>
      <c r="H264" s="442" t="str">
        <f>IF(OR(Measures!AM264="Row Not Used",Measures!C264="Controls Only",Measures!C264="Decommissioning"),"",Measures!M264)</f>
        <v/>
      </c>
      <c r="I264" s="443" t="str">
        <f>IF(OR(Measures!AM264="Row Not Used",Measures!C264="Controls Only",Measures!C264="Decommissioning"),"",Measures!N264)</f>
        <v/>
      </c>
      <c r="J264" s="444" t="str">
        <f>IF(OR(Measures!AM264="Row Not Used",Measures!C264="Controls Only",Measures!C264="Decommissioning"),"",Measures!O264)</f>
        <v/>
      </c>
      <c r="K264" s="425" t="str">
        <f>IF(OR(Measures!AM264="Row Not Used",Measures!C264="Controls Only",Measures!C264="Decommissioning"),"",Measures!AS264)</f>
        <v/>
      </c>
      <c r="L264" s="426" t="str">
        <f>IF(OR(Measures!AM264="Row Not Used",Measures!AM264="Decommissioning",ISBLANK(Measures!R264)),"",Measures!R264)</f>
        <v/>
      </c>
      <c r="M264" s="431" t="str">
        <f>IF(OR(Measures!AM264="Row Not Used",Measures!AM264="Fixtures Only",Measures!AM264="Decommissioning"),"",Measures!S264)</f>
        <v/>
      </c>
      <c r="N264" s="432" t="str">
        <f>IF(Measures!AM264="Row Not Used","",Measures!AF264)</f>
        <v/>
      </c>
      <c r="O264" s="426" t="str">
        <f>IF(Measures!AM264="Row Not Used","",Measures!C264)</f>
        <v/>
      </c>
      <c r="P264" s="133" t="str">
        <f t="shared" si="3"/>
        <v>No</v>
      </c>
    </row>
    <row r="265" spans="1:16" ht="75.599999999999994" customHeight="1" x14ac:dyDescent="0.3">
      <c r="A265" s="454">
        <f>Measures!A265</f>
        <v>258</v>
      </c>
      <c r="B265" s="425" t="str">
        <f>IF(Measures!AM265="Row Not Used","",IF(ISBLANK(Measures!V265),Measures!B265,_xlfn.CONCAT(Measures!B265," - ",Measures!V265)))</f>
        <v/>
      </c>
      <c r="C265" s="426" t="str">
        <f>IF(Measures!AM265="Row Not Used","",_xlfn.CONCAT(Measures!D265," - ",Measures!E265," - ",Measures!F265))</f>
        <v/>
      </c>
      <c r="D265" s="442" t="str">
        <f>IF(Measures!AM265="Row Not Used","",Measures!G265)</f>
        <v/>
      </c>
      <c r="E265" s="443" t="str">
        <f>IF(Measures!AM265="Row Not Used","",Measures!H265)</f>
        <v/>
      </c>
      <c r="F265" s="450" t="str">
        <f>IF(Measures!AM265="Row Not Used","",Measures!I265)</f>
        <v/>
      </c>
      <c r="G265" s="426" t="str">
        <f>IF(OR(Measures!AM265="Row Not Used",Measures!C265="Controls Only",Measures!C265="Decommissioning"),"",_xlfn.CONCAT(Measures!K265," - ",Measures!L265))</f>
        <v/>
      </c>
      <c r="H265" s="442" t="str">
        <f>IF(OR(Measures!AM265="Row Not Used",Measures!C265="Controls Only",Measures!C265="Decommissioning"),"",Measures!M265)</f>
        <v/>
      </c>
      <c r="I265" s="443" t="str">
        <f>IF(OR(Measures!AM265="Row Not Used",Measures!C265="Controls Only",Measures!C265="Decommissioning"),"",Measures!N265)</f>
        <v/>
      </c>
      <c r="J265" s="444" t="str">
        <f>IF(OR(Measures!AM265="Row Not Used",Measures!C265="Controls Only",Measures!C265="Decommissioning"),"",Measures!O265)</f>
        <v/>
      </c>
      <c r="K265" s="425" t="str">
        <f>IF(OR(Measures!AM265="Row Not Used",Measures!C265="Controls Only",Measures!C265="Decommissioning"),"",Measures!AS265)</f>
        <v/>
      </c>
      <c r="L265" s="426" t="str">
        <f>IF(OR(Measures!AM265="Row Not Used",Measures!AM265="Decommissioning",ISBLANK(Measures!R265)),"",Measures!R265)</f>
        <v/>
      </c>
      <c r="M265" s="431" t="str">
        <f>IF(OR(Measures!AM265="Row Not Used",Measures!AM265="Fixtures Only",Measures!AM265="Decommissioning"),"",Measures!S265)</f>
        <v/>
      </c>
      <c r="N265" s="432" t="str">
        <f>IF(Measures!AM265="Row Not Used","",Measures!AF265)</f>
        <v/>
      </c>
      <c r="O265" s="426" t="str">
        <f>IF(Measures!AM265="Row Not Used","",Measures!C265)</f>
        <v/>
      </c>
      <c r="P265" s="133" t="str">
        <f t="shared" ref="P265:P328" si="4">IF(LEN(B265)&gt;0,"Yes","No")</f>
        <v>No</v>
      </c>
    </row>
    <row r="266" spans="1:16" ht="75.599999999999994" customHeight="1" x14ac:dyDescent="0.3">
      <c r="A266" s="454">
        <f>Measures!A266</f>
        <v>259</v>
      </c>
      <c r="B266" s="425" t="str">
        <f>IF(Measures!AM266="Row Not Used","",IF(ISBLANK(Measures!V266),Measures!B266,_xlfn.CONCAT(Measures!B266," - ",Measures!V266)))</f>
        <v/>
      </c>
      <c r="C266" s="426" t="str">
        <f>IF(Measures!AM266="Row Not Used","",_xlfn.CONCAT(Measures!D266," - ",Measures!E266," - ",Measures!F266))</f>
        <v/>
      </c>
      <c r="D266" s="442" t="str">
        <f>IF(Measures!AM266="Row Not Used","",Measures!G266)</f>
        <v/>
      </c>
      <c r="E266" s="443" t="str">
        <f>IF(Measures!AM266="Row Not Used","",Measures!H266)</f>
        <v/>
      </c>
      <c r="F266" s="450" t="str">
        <f>IF(Measures!AM266="Row Not Used","",Measures!I266)</f>
        <v/>
      </c>
      <c r="G266" s="426" t="str">
        <f>IF(OR(Measures!AM266="Row Not Used",Measures!C266="Controls Only",Measures!C266="Decommissioning"),"",_xlfn.CONCAT(Measures!K266," - ",Measures!L266))</f>
        <v/>
      </c>
      <c r="H266" s="442" t="str">
        <f>IF(OR(Measures!AM266="Row Not Used",Measures!C266="Controls Only",Measures!C266="Decommissioning"),"",Measures!M266)</f>
        <v/>
      </c>
      <c r="I266" s="443" t="str">
        <f>IF(OR(Measures!AM266="Row Not Used",Measures!C266="Controls Only",Measures!C266="Decommissioning"),"",Measures!N266)</f>
        <v/>
      </c>
      <c r="J266" s="444" t="str">
        <f>IF(OR(Measures!AM266="Row Not Used",Measures!C266="Controls Only",Measures!C266="Decommissioning"),"",Measures!O266)</f>
        <v/>
      </c>
      <c r="K266" s="425" t="str">
        <f>IF(OR(Measures!AM266="Row Not Used",Measures!C266="Controls Only",Measures!C266="Decommissioning"),"",Measures!AS266)</f>
        <v/>
      </c>
      <c r="L266" s="426" t="str">
        <f>IF(OR(Measures!AM266="Row Not Used",Measures!AM266="Decommissioning",ISBLANK(Measures!R266)),"",Measures!R266)</f>
        <v/>
      </c>
      <c r="M266" s="431" t="str">
        <f>IF(OR(Measures!AM266="Row Not Used",Measures!AM266="Fixtures Only",Measures!AM266="Decommissioning"),"",Measures!S266)</f>
        <v/>
      </c>
      <c r="N266" s="432" t="str">
        <f>IF(Measures!AM266="Row Not Used","",Measures!AF266)</f>
        <v/>
      </c>
      <c r="O266" s="426" t="str">
        <f>IF(Measures!AM266="Row Not Used","",Measures!C266)</f>
        <v/>
      </c>
      <c r="P266" s="133" t="str">
        <f t="shared" si="4"/>
        <v>No</v>
      </c>
    </row>
    <row r="267" spans="1:16" ht="75.599999999999994" customHeight="1" x14ac:dyDescent="0.3">
      <c r="A267" s="454">
        <f>Measures!A267</f>
        <v>260</v>
      </c>
      <c r="B267" s="425" t="str">
        <f>IF(Measures!AM267="Row Not Used","",IF(ISBLANK(Measures!V267),Measures!B267,_xlfn.CONCAT(Measures!B267," - ",Measures!V267)))</f>
        <v/>
      </c>
      <c r="C267" s="426" t="str">
        <f>IF(Measures!AM267="Row Not Used","",_xlfn.CONCAT(Measures!D267," - ",Measures!E267," - ",Measures!F267))</f>
        <v/>
      </c>
      <c r="D267" s="442" t="str">
        <f>IF(Measures!AM267="Row Not Used","",Measures!G267)</f>
        <v/>
      </c>
      <c r="E267" s="443" t="str">
        <f>IF(Measures!AM267="Row Not Used","",Measures!H267)</f>
        <v/>
      </c>
      <c r="F267" s="450" t="str">
        <f>IF(Measures!AM267="Row Not Used","",Measures!I267)</f>
        <v/>
      </c>
      <c r="G267" s="426" t="str">
        <f>IF(OR(Measures!AM267="Row Not Used",Measures!C267="Controls Only",Measures!C267="Decommissioning"),"",_xlfn.CONCAT(Measures!K267," - ",Measures!L267))</f>
        <v/>
      </c>
      <c r="H267" s="442" t="str">
        <f>IF(OR(Measures!AM267="Row Not Used",Measures!C267="Controls Only",Measures!C267="Decommissioning"),"",Measures!M267)</f>
        <v/>
      </c>
      <c r="I267" s="443" t="str">
        <f>IF(OR(Measures!AM267="Row Not Used",Measures!C267="Controls Only",Measures!C267="Decommissioning"),"",Measures!N267)</f>
        <v/>
      </c>
      <c r="J267" s="444" t="str">
        <f>IF(OR(Measures!AM267="Row Not Used",Measures!C267="Controls Only",Measures!C267="Decommissioning"),"",Measures!O267)</f>
        <v/>
      </c>
      <c r="K267" s="425" t="str">
        <f>IF(OR(Measures!AM267="Row Not Used",Measures!C267="Controls Only",Measures!C267="Decommissioning"),"",Measures!AS267)</f>
        <v/>
      </c>
      <c r="L267" s="426" t="str">
        <f>IF(OR(Measures!AM267="Row Not Used",Measures!AM267="Decommissioning",ISBLANK(Measures!R267)),"",Measures!R267)</f>
        <v/>
      </c>
      <c r="M267" s="431" t="str">
        <f>IF(OR(Measures!AM267="Row Not Used",Measures!AM267="Fixtures Only",Measures!AM267="Decommissioning"),"",Measures!S267)</f>
        <v/>
      </c>
      <c r="N267" s="432" t="str">
        <f>IF(Measures!AM267="Row Not Used","",Measures!AF267)</f>
        <v/>
      </c>
      <c r="O267" s="426" t="str">
        <f>IF(Measures!AM267="Row Not Used","",Measures!C267)</f>
        <v/>
      </c>
      <c r="P267" s="133" t="str">
        <f t="shared" si="4"/>
        <v>No</v>
      </c>
    </row>
    <row r="268" spans="1:16" ht="75.599999999999994" customHeight="1" x14ac:dyDescent="0.3">
      <c r="A268" s="454">
        <f>Measures!A268</f>
        <v>261</v>
      </c>
      <c r="B268" s="425" t="str">
        <f>IF(Measures!AM268="Row Not Used","",IF(ISBLANK(Measures!V268),Measures!B268,_xlfn.CONCAT(Measures!B268," - ",Measures!V268)))</f>
        <v/>
      </c>
      <c r="C268" s="426" t="str">
        <f>IF(Measures!AM268="Row Not Used","",_xlfn.CONCAT(Measures!D268," - ",Measures!E268," - ",Measures!F268))</f>
        <v/>
      </c>
      <c r="D268" s="442" t="str">
        <f>IF(Measures!AM268="Row Not Used","",Measures!G268)</f>
        <v/>
      </c>
      <c r="E268" s="443" t="str">
        <f>IF(Measures!AM268="Row Not Used","",Measures!H268)</f>
        <v/>
      </c>
      <c r="F268" s="450" t="str">
        <f>IF(Measures!AM268="Row Not Used","",Measures!I268)</f>
        <v/>
      </c>
      <c r="G268" s="426" t="str">
        <f>IF(OR(Measures!AM268="Row Not Used",Measures!C268="Controls Only",Measures!C268="Decommissioning"),"",_xlfn.CONCAT(Measures!K268," - ",Measures!L268))</f>
        <v/>
      </c>
      <c r="H268" s="442" t="str">
        <f>IF(OR(Measures!AM268="Row Not Used",Measures!C268="Controls Only",Measures!C268="Decommissioning"),"",Measures!M268)</f>
        <v/>
      </c>
      <c r="I268" s="443" t="str">
        <f>IF(OR(Measures!AM268="Row Not Used",Measures!C268="Controls Only",Measures!C268="Decommissioning"),"",Measures!N268)</f>
        <v/>
      </c>
      <c r="J268" s="444" t="str">
        <f>IF(OR(Measures!AM268="Row Not Used",Measures!C268="Controls Only",Measures!C268="Decommissioning"),"",Measures!O268)</f>
        <v/>
      </c>
      <c r="K268" s="425" t="str">
        <f>IF(OR(Measures!AM268="Row Not Used",Measures!C268="Controls Only",Measures!C268="Decommissioning"),"",Measures!AS268)</f>
        <v/>
      </c>
      <c r="L268" s="426" t="str">
        <f>IF(OR(Measures!AM268="Row Not Used",Measures!AM268="Decommissioning",ISBLANK(Measures!R268)),"",Measures!R268)</f>
        <v/>
      </c>
      <c r="M268" s="431" t="str">
        <f>IF(OR(Measures!AM268="Row Not Used",Measures!AM268="Fixtures Only",Measures!AM268="Decommissioning"),"",Measures!S268)</f>
        <v/>
      </c>
      <c r="N268" s="432" t="str">
        <f>IF(Measures!AM268="Row Not Used","",Measures!AF268)</f>
        <v/>
      </c>
      <c r="O268" s="426" t="str">
        <f>IF(Measures!AM268="Row Not Used","",Measures!C268)</f>
        <v/>
      </c>
      <c r="P268" s="133" t="str">
        <f t="shared" si="4"/>
        <v>No</v>
      </c>
    </row>
    <row r="269" spans="1:16" ht="75.599999999999994" customHeight="1" x14ac:dyDescent="0.3">
      <c r="A269" s="454">
        <f>Measures!A269</f>
        <v>262</v>
      </c>
      <c r="B269" s="425" t="str">
        <f>IF(Measures!AM269="Row Not Used","",IF(ISBLANK(Measures!V269),Measures!B269,_xlfn.CONCAT(Measures!B269," - ",Measures!V269)))</f>
        <v/>
      </c>
      <c r="C269" s="426" t="str">
        <f>IF(Measures!AM269="Row Not Used","",_xlfn.CONCAT(Measures!D269," - ",Measures!E269," - ",Measures!F269))</f>
        <v/>
      </c>
      <c r="D269" s="442" t="str">
        <f>IF(Measures!AM269="Row Not Used","",Measures!G269)</f>
        <v/>
      </c>
      <c r="E269" s="443" t="str">
        <f>IF(Measures!AM269="Row Not Used","",Measures!H269)</f>
        <v/>
      </c>
      <c r="F269" s="450" t="str">
        <f>IF(Measures!AM269="Row Not Used","",Measures!I269)</f>
        <v/>
      </c>
      <c r="G269" s="426" t="str">
        <f>IF(OR(Measures!AM269="Row Not Used",Measures!C269="Controls Only",Measures!C269="Decommissioning"),"",_xlfn.CONCAT(Measures!K269," - ",Measures!L269))</f>
        <v/>
      </c>
      <c r="H269" s="442" t="str">
        <f>IF(OR(Measures!AM269="Row Not Used",Measures!C269="Controls Only",Measures!C269="Decommissioning"),"",Measures!M269)</f>
        <v/>
      </c>
      <c r="I269" s="443" t="str">
        <f>IF(OR(Measures!AM269="Row Not Used",Measures!C269="Controls Only",Measures!C269="Decommissioning"),"",Measures!N269)</f>
        <v/>
      </c>
      <c r="J269" s="444" t="str">
        <f>IF(OR(Measures!AM269="Row Not Used",Measures!C269="Controls Only",Measures!C269="Decommissioning"),"",Measures!O269)</f>
        <v/>
      </c>
      <c r="K269" s="425" t="str">
        <f>IF(OR(Measures!AM269="Row Not Used",Measures!C269="Controls Only",Measures!C269="Decommissioning"),"",Measures!AS269)</f>
        <v/>
      </c>
      <c r="L269" s="426" t="str">
        <f>IF(OR(Measures!AM269="Row Not Used",Measures!AM269="Decommissioning",ISBLANK(Measures!R269)),"",Measures!R269)</f>
        <v/>
      </c>
      <c r="M269" s="431" t="str">
        <f>IF(OR(Measures!AM269="Row Not Used",Measures!AM269="Fixtures Only",Measures!AM269="Decommissioning"),"",Measures!S269)</f>
        <v/>
      </c>
      <c r="N269" s="432" t="str">
        <f>IF(Measures!AM269="Row Not Used","",Measures!AF269)</f>
        <v/>
      </c>
      <c r="O269" s="426" t="str">
        <f>IF(Measures!AM269="Row Not Used","",Measures!C269)</f>
        <v/>
      </c>
      <c r="P269" s="133" t="str">
        <f t="shared" si="4"/>
        <v>No</v>
      </c>
    </row>
    <row r="270" spans="1:16" ht="75.599999999999994" customHeight="1" x14ac:dyDescent="0.3">
      <c r="A270" s="454">
        <f>Measures!A270</f>
        <v>263</v>
      </c>
      <c r="B270" s="425" t="str">
        <f>IF(Measures!AM270="Row Not Used","",IF(ISBLANK(Measures!V270),Measures!B270,_xlfn.CONCAT(Measures!B270," - ",Measures!V270)))</f>
        <v/>
      </c>
      <c r="C270" s="426" t="str">
        <f>IF(Measures!AM270="Row Not Used","",_xlfn.CONCAT(Measures!D270," - ",Measures!E270," - ",Measures!F270))</f>
        <v/>
      </c>
      <c r="D270" s="442" t="str">
        <f>IF(Measures!AM270="Row Not Used","",Measures!G270)</f>
        <v/>
      </c>
      <c r="E270" s="443" t="str">
        <f>IF(Measures!AM270="Row Not Used","",Measures!H270)</f>
        <v/>
      </c>
      <c r="F270" s="450" t="str">
        <f>IF(Measures!AM270="Row Not Used","",Measures!I270)</f>
        <v/>
      </c>
      <c r="G270" s="426" t="str">
        <f>IF(OR(Measures!AM270="Row Not Used",Measures!C270="Controls Only",Measures!C270="Decommissioning"),"",_xlfn.CONCAT(Measures!K270," - ",Measures!L270))</f>
        <v/>
      </c>
      <c r="H270" s="442" t="str">
        <f>IF(OR(Measures!AM270="Row Not Used",Measures!C270="Controls Only",Measures!C270="Decommissioning"),"",Measures!M270)</f>
        <v/>
      </c>
      <c r="I270" s="443" t="str">
        <f>IF(OR(Measures!AM270="Row Not Used",Measures!C270="Controls Only",Measures!C270="Decommissioning"),"",Measures!N270)</f>
        <v/>
      </c>
      <c r="J270" s="444" t="str">
        <f>IF(OR(Measures!AM270="Row Not Used",Measures!C270="Controls Only",Measures!C270="Decommissioning"),"",Measures!O270)</f>
        <v/>
      </c>
      <c r="K270" s="425" t="str">
        <f>IF(OR(Measures!AM270="Row Not Used",Measures!C270="Controls Only",Measures!C270="Decommissioning"),"",Measures!AS270)</f>
        <v/>
      </c>
      <c r="L270" s="426" t="str">
        <f>IF(OR(Measures!AM270="Row Not Used",Measures!AM270="Decommissioning",ISBLANK(Measures!R270)),"",Measures!R270)</f>
        <v/>
      </c>
      <c r="M270" s="431" t="str">
        <f>IF(OR(Measures!AM270="Row Not Used",Measures!AM270="Fixtures Only",Measures!AM270="Decommissioning"),"",Measures!S270)</f>
        <v/>
      </c>
      <c r="N270" s="432" t="str">
        <f>IF(Measures!AM270="Row Not Used","",Measures!AF270)</f>
        <v/>
      </c>
      <c r="O270" s="426" t="str">
        <f>IF(Measures!AM270="Row Not Used","",Measures!C270)</f>
        <v/>
      </c>
      <c r="P270" s="133" t="str">
        <f t="shared" si="4"/>
        <v>No</v>
      </c>
    </row>
    <row r="271" spans="1:16" ht="75.599999999999994" customHeight="1" x14ac:dyDescent="0.3">
      <c r="A271" s="454">
        <f>Measures!A271</f>
        <v>264</v>
      </c>
      <c r="B271" s="425" t="str">
        <f>IF(Measures!AM271="Row Not Used","",IF(ISBLANK(Measures!V271),Measures!B271,_xlfn.CONCAT(Measures!B271," - ",Measures!V271)))</f>
        <v/>
      </c>
      <c r="C271" s="426" t="str">
        <f>IF(Measures!AM271="Row Not Used","",_xlfn.CONCAT(Measures!D271," - ",Measures!E271," - ",Measures!F271))</f>
        <v/>
      </c>
      <c r="D271" s="442" t="str">
        <f>IF(Measures!AM271="Row Not Used","",Measures!G271)</f>
        <v/>
      </c>
      <c r="E271" s="443" t="str">
        <f>IF(Measures!AM271="Row Not Used","",Measures!H271)</f>
        <v/>
      </c>
      <c r="F271" s="450" t="str">
        <f>IF(Measures!AM271="Row Not Used","",Measures!I271)</f>
        <v/>
      </c>
      <c r="G271" s="426" t="str">
        <f>IF(OR(Measures!AM271="Row Not Used",Measures!C271="Controls Only",Measures!C271="Decommissioning"),"",_xlfn.CONCAT(Measures!K271," - ",Measures!L271))</f>
        <v/>
      </c>
      <c r="H271" s="442" t="str">
        <f>IF(OR(Measures!AM271="Row Not Used",Measures!C271="Controls Only",Measures!C271="Decommissioning"),"",Measures!M271)</f>
        <v/>
      </c>
      <c r="I271" s="443" t="str">
        <f>IF(OR(Measures!AM271="Row Not Used",Measures!C271="Controls Only",Measures!C271="Decommissioning"),"",Measures!N271)</f>
        <v/>
      </c>
      <c r="J271" s="444" t="str">
        <f>IF(OR(Measures!AM271="Row Not Used",Measures!C271="Controls Only",Measures!C271="Decommissioning"),"",Measures!O271)</f>
        <v/>
      </c>
      <c r="K271" s="425" t="str">
        <f>IF(OR(Measures!AM271="Row Not Used",Measures!C271="Controls Only",Measures!C271="Decommissioning"),"",Measures!AS271)</f>
        <v/>
      </c>
      <c r="L271" s="426" t="str">
        <f>IF(OR(Measures!AM271="Row Not Used",Measures!AM271="Decommissioning",ISBLANK(Measures!R271)),"",Measures!R271)</f>
        <v/>
      </c>
      <c r="M271" s="431" t="str">
        <f>IF(OR(Measures!AM271="Row Not Used",Measures!AM271="Fixtures Only",Measures!AM271="Decommissioning"),"",Measures!S271)</f>
        <v/>
      </c>
      <c r="N271" s="432" t="str">
        <f>IF(Measures!AM271="Row Not Used","",Measures!AF271)</f>
        <v/>
      </c>
      <c r="O271" s="426" t="str">
        <f>IF(Measures!AM271="Row Not Used","",Measures!C271)</f>
        <v/>
      </c>
      <c r="P271" s="133" t="str">
        <f t="shared" si="4"/>
        <v>No</v>
      </c>
    </row>
    <row r="272" spans="1:16" ht="75.599999999999994" customHeight="1" x14ac:dyDescent="0.3">
      <c r="A272" s="454">
        <f>Measures!A272</f>
        <v>265</v>
      </c>
      <c r="B272" s="425" t="str">
        <f>IF(Measures!AM272="Row Not Used","",IF(ISBLANK(Measures!V272),Measures!B272,_xlfn.CONCAT(Measures!B272," - ",Measures!V272)))</f>
        <v/>
      </c>
      <c r="C272" s="426" t="str">
        <f>IF(Measures!AM272="Row Not Used","",_xlfn.CONCAT(Measures!D272," - ",Measures!E272," - ",Measures!F272))</f>
        <v/>
      </c>
      <c r="D272" s="442" t="str">
        <f>IF(Measures!AM272="Row Not Used","",Measures!G272)</f>
        <v/>
      </c>
      <c r="E272" s="443" t="str">
        <f>IF(Measures!AM272="Row Not Used","",Measures!H272)</f>
        <v/>
      </c>
      <c r="F272" s="450" t="str">
        <f>IF(Measures!AM272="Row Not Used","",Measures!I272)</f>
        <v/>
      </c>
      <c r="G272" s="426" t="str">
        <f>IF(OR(Measures!AM272="Row Not Used",Measures!C272="Controls Only",Measures!C272="Decommissioning"),"",_xlfn.CONCAT(Measures!K272," - ",Measures!L272))</f>
        <v/>
      </c>
      <c r="H272" s="442" t="str">
        <f>IF(OR(Measures!AM272="Row Not Used",Measures!C272="Controls Only",Measures!C272="Decommissioning"),"",Measures!M272)</f>
        <v/>
      </c>
      <c r="I272" s="443" t="str">
        <f>IF(OR(Measures!AM272="Row Not Used",Measures!C272="Controls Only",Measures!C272="Decommissioning"),"",Measures!N272)</f>
        <v/>
      </c>
      <c r="J272" s="444" t="str">
        <f>IF(OR(Measures!AM272="Row Not Used",Measures!C272="Controls Only",Measures!C272="Decommissioning"),"",Measures!O272)</f>
        <v/>
      </c>
      <c r="K272" s="425" t="str">
        <f>IF(OR(Measures!AM272="Row Not Used",Measures!C272="Controls Only",Measures!C272="Decommissioning"),"",Measures!AS272)</f>
        <v/>
      </c>
      <c r="L272" s="426" t="str">
        <f>IF(OR(Measures!AM272="Row Not Used",Measures!AM272="Decommissioning",ISBLANK(Measures!R272)),"",Measures!R272)</f>
        <v/>
      </c>
      <c r="M272" s="431" t="str">
        <f>IF(OR(Measures!AM272="Row Not Used",Measures!AM272="Fixtures Only",Measures!AM272="Decommissioning"),"",Measures!S272)</f>
        <v/>
      </c>
      <c r="N272" s="432" t="str">
        <f>IF(Measures!AM272="Row Not Used","",Measures!AF272)</f>
        <v/>
      </c>
      <c r="O272" s="426" t="str">
        <f>IF(Measures!AM272="Row Not Used","",Measures!C272)</f>
        <v/>
      </c>
      <c r="P272" s="133" t="str">
        <f t="shared" si="4"/>
        <v>No</v>
      </c>
    </row>
    <row r="273" spans="1:16" ht="75.599999999999994" customHeight="1" x14ac:dyDescent="0.3">
      <c r="A273" s="454">
        <f>Measures!A273</f>
        <v>266</v>
      </c>
      <c r="B273" s="425" t="str">
        <f>IF(Measures!AM273="Row Not Used","",IF(ISBLANK(Measures!V273),Measures!B273,_xlfn.CONCAT(Measures!B273," - ",Measures!V273)))</f>
        <v/>
      </c>
      <c r="C273" s="426" t="str">
        <f>IF(Measures!AM273="Row Not Used","",_xlfn.CONCAT(Measures!D273," - ",Measures!E273," - ",Measures!F273))</f>
        <v/>
      </c>
      <c r="D273" s="442" t="str">
        <f>IF(Measures!AM273="Row Not Used","",Measures!G273)</f>
        <v/>
      </c>
      <c r="E273" s="443" t="str">
        <f>IF(Measures!AM273="Row Not Used","",Measures!H273)</f>
        <v/>
      </c>
      <c r="F273" s="450" t="str">
        <f>IF(Measures!AM273="Row Not Used","",Measures!I273)</f>
        <v/>
      </c>
      <c r="G273" s="426" t="str">
        <f>IF(OR(Measures!AM273="Row Not Used",Measures!C273="Controls Only",Measures!C273="Decommissioning"),"",_xlfn.CONCAT(Measures!K273," - ",Measures!L273))</f>
        <v/>
      </c>
      <c r="H273" s="442" t="str">
        <f>IF(OR(Measures!AM273="Row Not Used",Measures!C273="Controls Only",Measures!C273="Decommissioning"),"",Measures!M273)</f>
        <v/>
      </c>
      <c r="I273" s="443" t="str">
        <f>IF(OR(Measures!AM273="Row Not Used",Measures!C273="Controls Only",Measures!C273="Decommissioning"),"",Measures!N273)</f>
        <v/>
      </c>
      <c r="J273" s="444" t="str">
        <f>IF(OR(Measures!AM273="Row Not Used",Measures!C273="Controls Only",Measures!C273="Decommissioning"),"",Measures!O273)</f>
        <v/>
      </c>
      <c r="K273" s="425" t="str">
        <f>IF(OR(Measures!AM273="Row Not Used",Measures!C273="Controls Only",Measures!C273="Decommissioning"),"",Measures!AS273)</f>
        <v/>
      </c>
      <c r="L273" s="426" t="str">
        <f>IF(OR(Measures!AM273="Row Not Used",Measures!AM273="Decommissioning",ISBLANK(Measures!R273)),"",Measures!R273)</f>
        <v/>
      </c>
      <c r="M273" s="431" t="str">
        <f>IF(OR(Measures!AM273="Row Not Used",Measures!AM273="Fixtures Only",Measures!AM273="Decommissioning"),"",Measures!S273)</f>
        <v/>
      </c>
      <c r="N273" s="432" t="str">
        <f>IF(Measures!AM273="Row Not Used","",Measures!AF273)</f>
        <v/>
      </c>
      <c r="O273" s="426" t="str">
        <f>IF(Measures!AM273="Row Not Used","",Measures!C273)</f>
        <v/>
      </c>
      <c r="P273" s="133" t="str">
        <f t="shared" si="4"/>
        <v>No</v>
      </c>
    </row>
    <row r="274" spans="1:16" ht="75.599999999999994" customHeight="1" x14ac:dyDescent="0.3">
      <c r="A274" s="454">
        <f>Measures!A274</f>
        <v>267</v>
      </c>
      <c r="B274" s="425" t="str">
        <f>IF(Measures!AM274="Row Not Used","",IF(ISBLANK(Measures!V274),Measures!B274,_xlfn.CONCAT(Measures!B274," - ",Measures!V274)))</f>
        <v/>
      </c>
      <c r="C274" s="426" t="str">
        <f>IF(Measures!AM274="Row Not Used","",_xlfn.CONCAT(Measures!D274," - ",Measures!E274," - ",Measures!F274))</f>
        <v/>
      </c>
      <c r="D274" s="442" t="str">
        <f>IF(Measures!AM274="Row Not Used","",Measures!G274)</f>
        <v/>
      </c>
      <c r="E274" s="443" t="str">
        <f>IF(Measures!AM274="Row Not Used","",Measures!H274)</f>
        <v/>
      </c>
      <c r="F274" s="450" t="str">
        <f>IF(Measures!AM274="Row Not Used","",Measures!I274)</f>
        <v/>
      </c>
      <c r="G274" s="426" t="str">
        <f>IF(OR(Measures!AM274="Row Not Used",Measures!C274="Controls Only",Measures!C274="Decommissioning"),"",_xlfn.CONCAT(Measures!K274," - ",Measures!L274))</f>
        <v/>
      </c>
      <c r="H274" s="442" t="str">
        <f>IF(OR(Measures!AM274="Row Not Used",Measures!C274="Controls Only",Measures!C274="Decommissioning"),"",Measures!M274)</f>
        <v/>
      </c>
      <c r="I274" s="443" t="str">
        <f>IF(OR(Measures!AM274="Row Not Used",Measures!C274="Controls Only",Measures!C274="Decommissioning"),"",Measures!N274)</f>
        <v/>
      </c>
      <c r="J274" s="444" t="str">
        <f>IF(OR(Measures!AM274="Row Not Used",Measures!C274="Controls Only",Measures!C274="Decommissioning"),"",Measures!O274)</f>
        <v/>
      </c>
      <c r="K274" s="425" t="str">
        <f>IF(OR(Measures!AM274="Row Not Used",Measures!C274="Controls Only",Measures!C274="Decommissioning"),"",Measures!AS274)</f>
        <v/>
      </c>
      <c r="L274" s="426" t="str">
        <f>IF(OR(Measures!AM274="Row Not Used",Measures!AM274="Decommissioning",ISBLANK(Measures!R274)),"",Measures!R274)</f>
        <v/>
      </c>
      <c r="M274" s="431" t="str">
        <f>IF(OR(Measures!AM274="Row Not Used",Measures!AM274="Fixtures Only",Measures!AM274="Decommissioning"),"",Measures!S274)</f>
        <v/>
      </c>
      <c r="N274" s="432" t="str">
        <f>IF(Measures!AM274="Row Not Used","",Measures!AF274)</f>
        <v/>
      </c>
      <c r="O274" s="426" t="str">
        <f>IF(Measures!AM274="Row Not Used","",Measures!C274)</f>
        <v/>
      </c>
      <c r="P274" s="133" t="str">
        <f t="shared" si="4"/>
        <v>No</v>
      </c>
    </row>
    <row r="275" spans="1:16" ht="75.599999999999994" customHeight="1" x14ac:dyDescent="0.3">
      <c r="A275" s="454">
        <f>Measures!A275</f>
        <v>268</v>
      </c>
      <c r="B275" s="425" t="str">
        <f>IF(Measures!AM275="Row Not Used","",IF(ISBLANK(Measures!V275),Measures!B275,_xlfn.CONCAT(Measures!B275," - ",Measures!V275)))</f>
        <v/>
      </c>
      <c r="C275" s="426" t="str">
        <f>IF(Measures!AM275="Row Not Used","",_xlfn.CONCAT(Measures!D275," - ",Measures!E275," - ",Measures!F275))</f>
        <v/>
      </c>
      <c r="D275" s="442" t="str">
        <f>IF(Measures!AM275="Row Not Used","",Measures!G275)</f>
        <v/>
      </c>
      <c r="E275" s="443" t="str">
        <f>IF(Measures!AM275="Row Not Used","",Measures!H275)</f>
        <v/>
      </c>
      <c r="F275" s="450" t="str">
        <f>IF(Measures!AM275="Row Not Used","",Measures!I275)</f>
        <v/>
      </c>
      <c r="G275" s="426" t="str">
        <f>IF(OR(Measures!AM275="Row Not Used",Measures!C275="Controls Only",Measures!C275="Decommissioning"),"",_xlfn.CONCAT(Measures!K275," - ",Measures!L275))</f>
        <v/>
      </c>
      <c r="H275" s="442" t="str">
        <f>IF(OR(Measures!AM275="Row Not Used",Measures!C275="Controls Only",Measures!C275="Decommissioning"),"",Measures!M275)</f>
        <v/>
      </c>
      <c r="I275" s="443" t="str">
        <f>IF(OR(Measures!AM275="Row Not Used",Measures!C275="Controls Only",Measures!C275="Decommissioning"),"",Measures!N275)</f>
        <v/>
      </c>
      <c r="J275" s="444" t="str">
        <f>IF(OR(Measures!AM275="Row Not Used",Measures!C275="Controls Only",Measures!C275="Decommissioning"),"",Measures!O275)</f>
        <v/>
      </c>
      <c r="K275" s="425" t="str">
        <f>IF(OR(Measures!AM275="Row Not Used",Measures!C275="Controls Only",Measures!C275="Decommissioning"),"",Measures!AS275)</f>
        <v/>
      </c>
      <c r="L275" s="426" t="str">
        <f>IF(OR(Measures!AM275="Row Not Used",Measures!AM275="Decommissioning",ISBLANK(Measures!R275)),"",Measures!R275)</f>
        <v/>
      </c>
      <c r="M275" s="431" t="str">
        <f>IF(OR(Measures!AM275="Row Not Used",Measures!AM275="Fixtures Only",Measures!AM275="Decommissioning"),"",Measures!S275)</f>
        <v/>
      </c>
      <c r="N275" s="432" t="str">
        <f>IF(Measures!AM275="Row Not Used","",Measures!AF275)</f>
        <v/>
      </c>
      <c r="O275" s="426" t="str">
        <f>IF(Measures!AM275="Row Not Used","",Measures!C275)</f>
        <v/>
      </c>
      <c r="P275" s="133" t="str">
        <f t="shared" si="4"/>
        <v>No</v>
      </c>
    </row>
    <row r="276" spans="1:16" ht="75.599999999999994" customHeight="1" x14ac:dyDescent="0.3">
      <c r="A276" s="454">
        <f>Measures!A276</f>
        <v>269</v>
      </c>
      <c r="B276" s="425" t="str">
        <f>IF(Measures!AM276="Row Not Used","",IF(ISBLANK(Measures!V276),Measures!B276,_xlfn.CONCAT(Measures!B276," - ",Measures!V276)))</f>
        <v/>
      </c>
      <c r="C276" s="426" t="str">
        <f>IF(Measures!AM276="Row Not Used","",_xlfn.CONCAT(Measures!D276," - ",Measures!E276," - ",Measures!F276))</f>
        <v/>
      </c>
      <c r="D276" s="442" t="str">
        <f>IF(Measures!AM276="Row Not Used","",Measures!G276)</f>
        <v/>
      </c>
      <c r="E276" s="443" t="str">
        <f>IF(Measures!AM276="Row Not Used","",Measures!H276)</f>
        <v/>
      </c>
      <c r="F276" s="450" t="str">
        <f>IF(Measures!AM276="Row Not Used","",Measures!I276)</f>
        <v/>
      </c>
      <c r="G276" s="426" t="str">
        <f>IF(OR(Measures!AM276="Row Not Used",Measures!C276="Controls Only",Measures!C276="Decommissioning"),"",_xlfn.CONCAT(Measures!K276," - ",Measures!L276))</f>
        <v/>
      </c>
      <c r="H276" s="442" t="str">
        <f>IF(OR(Measures!AM276="Row Not Used",Measures!C276="Controls Only",Measures!C276="Decommissioning"),"",Measures!M276)</f>
        <v/>
      </c>
      <c r="I276" s="443" t="str">
        <f>IF(OR(Measures!AM276="Row Not Used",Measures!C276="Controls Only",Measures!C276="Decommissioning"),"",Measures!N276)</f>
        <v/>
      </c>
      <c r="J276" s="444" t="str">
        <f>IF(OR(Measures!AM276="Row Not Used",Measures!C276="Controls Only",Measures!C276="Decommissioning"),"",Measures!O276)</f>
        <v/>
      </c>
      <c r="K276" s="425" t="str">
        <f>IF(OR(Measures!AM276="Row Not Used",Measures!C276="Controls Only",Measures!C276="Decommissioning"),"",Measures!AS276)</f>
        <v/>
      </c>
      <c r="L276" s="426" t="str">
        <f>IF(OR(Measures!AM276="Row Not Used",Measures!AM276="Decommissioning",ISBLANK(Measures!R276)),"",Measures!R276)</f>
        <v/>
      </c>
      <c r="M276" s="431" t="str">
        <f>IF(OR(Measures!AM276="Row Not Used",Measures!AM276="Fixtures Only",Measures!AM276="Decommissioning"),"",Measures!S276)</f>
        <v/>
      </c>
      <c r="N276" s="432" t="str">
        <f>IF(Measures!AM276="Row Not Used","",Measures!AF276)</f>
        <v/>
      </c>
      <c r="O276" s="426" t="str">
        <f>IF(Measures!AM276="Row Not Used","",Measures!C276)</f>
        <v/>
      </c>
      <c r="P276" s="133" t="str">
        <f t="shared" si="4"/>
        <v>No</v>
      </c>
    </row>
    <row r="277" spans="1:16" ht="75.599999999999994" customHeight="1" x14ac:dyDescent="0.3">
      <c r="A277" s="454">
        <f>Measures!A277</f>
        <v>270</v>
      </c>
      <c r="B277" s="425" t="str">
        <f>IF(Measures!AM277="Row Not Used","",IF(ISBLANK(Measures!V277),Measures!B277,_xlfn.CONCAT(Measures!B277," - ",Measures!V277)))</f>
        <v/>
      </c>
      <c r="C277" s="426" t="str">
        <f>IF(Measures!AM277="Row Not Used","",_xlfn.CONCAT(Measures!D277," - ",Measures!E277," - ",Measures!F277))</f>
        <v/>
      </c>
      <c r="D277" s="442" t="str">
        <f>IF(Measures!AM277="Row Not Used","",Measures!G277)</f>
        <v/>
      </c>
      <c r="E277" s="443" t="str">
        <f>IF(Measures!AM277="Row Not Used","",Measures!H277)</f>
        <v/>
      </c>
      <c r="F277" s="450" t="str">
        <f>IF(Measures!AM277="Row Not Used","",Measures!I277)</f>
        <v/>
      </c>
      <c r="G277" s="426" t="str">
        <f>IF(OR(Measures!AM277="Row Not Used",Measures!C277="Controls Only",Measures!C277="Decommissioning"),"",_xlfn.CONCAT(Measures!K277," - ",Measures!L277))</f>
        <v/>
      </c>
      <c r="H277" s="442" t="str">
        <f>IF(OR(Measures!AM277="Row Not Used",Measures!C277="Controls Only",Measures!C277="Decommissioning"),"",Measures!M277)</f>
        <v/>
      </c>
      <c r="I277" s="443" t="str">
        <f>IF(OR(Measures!AM277="Row Not Used",Measures!C277="Controls Only",Measures!C277="Decommissioning"),"",Measures!N277)</f>
        <v/>
      </c>
      <c r="J277" s="444" t="str">
        <f>IF(OR(Measures!AM277="Row Not Used",Measures!C277="Controls Only",Measures!C277="Decommissioning"),"",Measures!O277)</f>
        <v/>
      </c>
      <c r="K277" s="425" t="str">
        <f>IF(OR(Measures!AM277="Row Not Used",Measures!C277="Controls Only",Measures!C277="Decommissioning"),"",Measures!AS277)</f>
        <v/>
      </c>
      <c r="L277" s="426" t="str">
        <f>IF(OR(Measures!AM277="Row Not Used",Measures!AM277="Decommissioning",ISBLANK(Measures!R277)),"",Measures!R277)</f>
        <v/>
      </c>
      <c r="M277" s="431" t="str">
        <f>IF(OR(Measures!AM277="Row Not Used",Measures!AM277="Fixtures Only",Measures!AM277="Decommissioning"),"",Measures!S277)</f>
        <v/>
      </c>
      <c r="N277" s="432" t="str">
        <f>IF(Measures!AM277="Row Not Used","",Measures!AF277)</f>
        <v/>
      </c>
      <c r="O277" s="426" t="str">
        <f>IF(Measures!AM277="Row Not Used","",Measures!C277)</f>
        <v/>
      </c>
      <c r="P277" s="133" t="str">
        <f t="shared" si="4"/>
        <v>No</v>
      </c>
    </row>
    <row r="278" spans="1:16" ht="75.599999999999994" customHeight="1" x14ac:dyDescent="0.3">
      <c r="A278" s="454">
        <f>Measures!A278</f>
        <v>271</v>
      </c>
      <c r="B278" s="425" t="str">
        <f>IF(Measures!AM278="Row Not Used","",IF(ISBLANK(Measures!V278),Measures!B278,_xlfn.CONCAT(Measures!B278," - ",Measures!V278)))</f>
        <v/>
      </c>
      <c r="C278" s="426" t="str">
        <f>IF(Measures!AM278="Row Not Used","",_xlfn.CONCAT(Measures!D278," - ",Measures!E278," - ",Measures!F278))</f>
        <v/>
      </c>
      <c r="D278" s="442" t="str">
        <f>IF(Measures!AM278="Row Not Used","",Measures!G278)</f>
        <v/>
      </c>
      <c r="E278" s="443" t="str">
        <f>IF(Measures!AM278="Row Not Used","",Measures!H278)</f>
        <v/>
      </c>
      <c r="F278" s="450" t="str">
        <f>IF(Measures!AM278="Row Not Used","",Measures!I278)</f>
        <v/>
      </c>
      <c r="G278" s="426" t="str">
        <f>IF(OR(Measures!AM278="Row Not Used",Measures!C278="Controls Only",Measures!C278="Decommissioning"),"",_xlfn.CONCAT(Measures!K278," - ",Measures!L278))</f>
        <v/>
      </c>
      <c r="H278" s="442" t="str">
        <f>IF(OR(Measures!AM278="Row Not Used",Measures!C278="Controls Only",Measures!C278="Decommissioning"),"",Measures!M278)</f>
        <v/>
      </c>
      <c r="I278" s="443" t="str">
        <f>IF(OR(Measures!AM278="Row Not Used",Measures!C278="Controls Only",Measures!C278="Decommissioning"),"",Measures!N278)</f>
        <v/>
      </c>
      <c r="J278" s="444" t="str">
        <f>IF(OR(Measures!AM278="Row Not Used",Measures!C278="Controls Only",Measures!C278="Decommissioning"),"",Measures!O278)</f>
        <v/>
      </c>
      <c r="K278" s="425" t="str">
        <f>IF(OR(Measures!AM278="Row Not Used",Measures!C278="Controls Only",Measures!C278="Decommissioning"),"",Measures!AS278)</f>
        <v/>
      </c>
      <c r="L278" s="426" t="str">
        <f>IF(OR(Measures!AM278="Row Not Used",Measures!AM278="Decommissioning",ISBLANK(Measures!R278)),"",Measures!R278)</f>
        <v/>
      </c>
      <c r="M278" s="431" t="str">
        <f>IF(OR(Measures!AM278="Row Not Used",Measures!AM278="Fixtures Only",Measures!AM278="Decommissioning"),"",Measures!S278)</f>
        <v/>
      </c>
      <c r="N278" s="432" t="str">
        <f>IF(Measures!AM278="Row Not Used","",Measures!AF278)</f>
        <v/>
      </c>
      <c r="O278" s="426" t="str">
        <f>IF(Measures!AM278="Row Not Used","",Measures!C278)</f>
        <v/>
      </c>
      <c r="P278" s="133" t="str">
        <f t="shared" si="4"/>
        <v>No</v>
      </c>
    </row>
    <row r="279" spans="1:16" ht="75.599999999999994" customHeight="1" x14ac:dyDescent="0.3">
      <c r="A279" s="454">
        <f>Measures!A279</f>
        <v>272</v>
      </c>
      <c r="B279" s="425" t="str">
        <f>IF(Measures!AM279="Row Not Used","",IF(ISBLANK(Measures!V279),Measures!B279,_xlfn.CONCAT(Measures!B279," - ",Measures!V279)))</f>
        <v/>
      </c>
      <c r="C279" s="426" t="str">
        <f>IF(Measures!AM279="Row Not Used","",_xlfn.CONCAT(Measures!D279," - ",Measures!E279," - ",Measures!F279))</f>
        <v/>
      </c>
      <c r="D279" s="442" t="str">
        <f>IF(Measures!AM279="Row Not Used","",Measures!G279)</f>
        <v/>
      </c>
      <c r="E279" s="443" t="str">
        <f>IF(Measures!AM279="Row Not Used","",Measures!H279)</f>
        <v/>
      </c>
      <c r="F279" s="450" t="str">
        <f>IF(Measures!AM279="Row Not Used","",Measures!I279)</f>
        <v/>
      </c>
      <c r="G279" s="426" t="str">
        <f>IF(OR(Measures!AM279="Row Not Used",Measures!C279="Controls Only",Measures!C279="Decommissioning"),"",_xlfn.CONCAT(Measures!K279," - ",Measures!L279))</f>
        <v/>
      </c>
      <c r="H279" s="442" t="str">
        <f>IF(OR(Measures!AM279="Row Not Used",Measures!C279="Controls Only",Measures!C279="Decommissioning"),"",Measures!M279)</f>
        <v/>
      </c>
      <c r="I279" s="443" t="str">
        <f>IF(OR(Measures!AM279="Row Not Used",Measures!C279="Controls Only",Measures!C279="Decommissioning"),"",Measures!N279)</f>
        <v/>
      </c>
      <c r="J279" s="444" t="str">
        <f>IF(OR(Measures!AM279="Row Not Used",Measures!C279="Controls Only",Measures!C279="Decommissioning"),"",Measures!O279)</f>
        <v/>
      </c>
      <c r="K279" s="425" t="str">
        <f>IF(OR(Measures!AM279="Row Not Used",Measures!C279="Controls Only",Measures!C279="Decommissioning"),"",Measures!AS279)</f>
        <v/>
      </c>
      <c r="L279" s="426" t="str">
        <f>IF(OR(Measures!AM279="Row Not Used",Measures!AM279="Decommissioning",ISBLANK(Measures!R279)),"",Measures!R279)</f>
        <v/>
      </c>
      <c r="M279" s="431" t="str">
        <f>IF(OR(Measures!AM279="Row Not Used",Measures!AM279="Fixtures Only",Measures!AM279="Decommissioning"),"",Measures!S279)</f>
        <v/>
      </c>
      <c r="N279" s="432" t="str">
        <f>IF(Measures!AM279="Row Not Used","",Measures!AF279)</f>
        <v/>
      </c>
      <c r="O279" s="426" t="str">
        <f>IF(Measures!AM279="Row Not Used","",Measures!C279)</f>
        <v/>
      </c>
      <c r="P279" s="133" t="str">
        <f t="shared" si="4"/>
        <v>No</v>
      </c>
    </row>
    <row r="280" spans="1:16" ht="75.599999999999994" customHeight="1" x14ac:dyDescent="0.3">
      <c r="A280" s="454">
        <f>Measures!A280</f>
        <v>273</v>
      </c>
      <c r="B280" s="425" t="str">
        <f>IF(Measures!AM280="Row Not Used","",IF(ISBLANK(Measures!V280),Measures!B280,_xlfn.CONCAT(Measures!B280," - ",Measures!V280)))</f>
        <v/>
      </c>
      <c r="C280" s="426" t="str">
        <f>IF(Measures!AM280="Row Not Used","",_xlfn.CONCAT(Measures!D280," - ",Measures!E280," - ",Measures!F280))</f>
        <v/>
      </c>
      <c r="D280" s="442" t="str">
        <f>IF(Measures!AM280="Row Not Used","",Measures!G280)</f>
        <v/>
      </c>
      <c r="E280" s="443" t="str">
        <f>IF(Measures!AM280="Row Not Used","",Measures!H280)</f>
        <v/>
      </c>
      <c r="F280" s="450" t="str">
        <f>IF(Measures!AM280="Row Not Used","",Measures!I280)</f>
        <v/>
      </c>
      <c r="G280" s="426" t="str">
        <f>IF(OR(Measures!AM280="Row Not Used",Measures!C280="Controls Only",Measures!C280="Decommissioning"),"",_xlfn.CONCAT(Measures!K280," - ",Measures!L280))</f>
        <v/>
      </c>
      <c r="H280" s="442" t="str">
        <f>IF(OR(Measures!AM280="Row Not Used",Measures!C280="Controls Only",Measures!C280="Decommissioning"),"",Measures!M280)</f>
        <v/>
      </c>
      <c r="I280" s="443" t="str">
        <f>IF(OR(Measures!AM280="Row Not Used",Measures!C280="Controls Only",Measures!C280="Decommissioning"),"",Measures!N280)</f>
        <v/>
      </c>
      <c r="J280" s="444" t="str">
        <f>IF(OR(Measures!AM280="Row Not Used",Measures!C280="Controls Only",Measures!C280="Decommissioning"),"",Measures!O280)</f>
        <v/>
      </c>
      <c r="K280" s="425" t="str">
        <f>IF(OR(Measures!AM280="Row Not Used",Measures!C280="Controls Only",Measures!C280="Decommissioning"),"",Measures!AS280)</f>
        <v/>
      </c>
      <c r="L280" s="426" t="str">
        <f>IF(OR(Measures!AM280="Row Not Used",Measures!AM280="Decommissioning",ISBLANK(Measures!R280)),"",Measures!R280)</f>
        <v/>
      </c>
      <c r="M280" s="431" t="str">
        <f>IF(OR(Measures!AM280="Row Not Used",Measures!AM280="Fixtures Only",Measures!AM280="Decommissioning"),"",Measures!S280)</f>
        <v/>
      </c>
      <c r="N280" s="432" t="str">
        <f>IF(Measures!AM280="Row Not Used","",Measures!AF280)</f>
        <v/>
      </c>
      <c r="O280" s="426" t="str">
        <f>IF(Measures!AM280="Row Not Used","",Measures!C280)</f>
        <v/>
      </c>
      <c r="P280" s="133" t="str">
        <f t="shared" si="4"/>
        <v>No</v>
      </c>
    </row>
    <row r="281" spans="1:16" ht="75.599999999999994" customHeight="1" x14ac:dyDescent="0.3">
      <c r="A281" s="454">
        <f>Measures!A281</f>
        <v>274</v>
      </c>
      <c r="B281" s="425" t="str">
        <f>IF(Measures!AM281="Row Not Used","",IF(ISBLANK(Measures!V281),Measures!B281,_xlfn.CONCAT(Measures!B281," - ",Measures!V281)))</f>
        <v/>
      </c>
      <c r="C281" s="426" t="str">
        <f>IF(Measures!AM281="Row Not Used","",_xlfn.CONCAT(Measures!D281," - ",Measures!E281," - ",Measures!F281))</f>
        <v/>
      </c>
      <c r="D281" s="442" t="str">
        <f>IF(Measures!AM281="Row Not Used","",Measures!G281)</f>
        <v/>
      </c>
      <c r="E281" s="443" t="str">
        <f>IF(Measures!AM281="Row Not Used","",Measures!H281)</f>
        <v/>
      </c>
      <c r="F281" s="450" t="str">
        <f>IF(Measures!AM281="Row Not Used","",Measures!I281)</f>
        <v/>
      </c>
      <c r="G281" s="426" t="str">
        <f>IF(OR(Measures!AM281="Row Not Used",Measures!C281="Controls Only",Measures!C281="Decommissioning"),"",_xlfn.CONCAT(Measures!K281," - ",Measures!L281))</f>
        <v/>
      </c>
      <c r="H281" s="442" t="str">
        <f>IF(OR(Measures!AM281="Row Not Used",Measures!C281="Controls Only",Measures!C281="Decommissioning"),"",Measures!M281)</f>
        <v/>
      </c>
      <c r="I281" s="443" t="str">
        <f>IF(OR(Measures!AM281="Row Not Used",Measures!C281="Controls Only",Measures!C281="Decommissioning"),"",Measures!N281)</f>
        <v/>
      </c>
      <c r="J281" s="444" t="str">
        <f>IF(OR(Measures!AM281="Row Not Used",Measures!C281="Controls Only",Measures!C281="Decommissioning"),"",Measures!O281)</f>
        <v/>
      </c>
      <c r="K281" s="425" t="str">
        <f>IF(OR(Measures!AM281="Row Not Used",Measures!C281="Controls Only",Measures!C281="Decommissioning"),"",Measures!AS281)</f>
        <v/>
      </c>
      <c r="L281" s="426" t="str">
        <f>IF(OR(Measures!AM281="Row Not Used",Measures!AM281="Decommissioning",ISBLANK(Measures!R281)),"",Measures!R281)</f>
        <v/>
      </c>
      <c r="M281" s="431" t="str">
        <f>IF(OR(Measures!AM281="Row Not Used",Measures!AM281="Fixtures Only",Measures!AM281="Decommissioning"),"",Measures!S281)</f>
        <v/>
      </c>
      <c r="N281" s="432" t="str">
        <f>IF(Measures!AM281="Row Not Used","",Measures!AF281)</f>
        <v/>
      </c>
      <c r="O281" s="426" t="str">
        <f>IF(Measures!AM281="Row Not Used","",Measures!C281)</f>
        <v/>
      </c>
      <c r="P281" s="133" t="str">
        <f t="shared" si="4"/>
        <v>No</v>
      </c>
    </row>
    <row r="282" spans="1:16" ht="75.599999999999994" customHeight="1" x14ac:dyDescent="0.3">
      <c r="A282" s="454">
        <f>Measures!A282</f>
        <v>275</v>
      </c>
      <c r="B282" s="425" t="str">
        <f>IF(Measures!AM282="Row Not Used","",IF(ISBLANK(Measures!V282),Measures!B282,_xlfn.CONCAT(Measures!B282," - ",Measures!V282)))</f>
        <v/>
      </c>
      <c r="C282" s="426" t="str">
        <f>IF(Measures!AM282="Row Not Used","",_xlfn.CONCAT(Measures!D282," - ",Measures!E282," - ",Measures!F282))</f>
        <v/>
      </c>
      <c r="D282" s="442" t="str">
        <f>IF(Measures!AM282="Row Not Used","",Measures!G282)</f>
        <v/>
      </c>
      <c r="E282" s="443" t="str">
        <f>IF(Measures!AM282="Row Not Used","",Measures!H282)</f>
        <v/>
      </c>
      <c r="F282" s="450" t="str">
        <f>IF(Measures!AM282="Row Not Used","",Measures!I282)</f>
        <v/>
      </c>
      <c r="G282" s="426" t="str">
        <f>IF(OR(Measures!AM282="Row Not Used",Measures!C282="Controls Only",Measures!C282="Decommissioning"),"",_xlfn.CONCAT(Measures!K282," - ",Measures!L282))</f>
        <v/>
      </c>
      <c r="H282" s="442" t="str">
        <f>IF(OR(Measures!AM282="Row Not Used",Measures!C282="Controls Only",Measures!C282="Decommissioning"),"",Measures!M282)</f>
        <v/>
      </c>
      <c r="I282" s="443" t="str">
        <f>IF(OR(Measures!AM282="Row Not Used",Measures!C282="Controls Only",Measures!C282="Decommissioning"),"",Measures!N282)</f>
        <v/>
      </c>
      <c r="J282" s="444" t="str">
        <f>IF(OR(Measures!AM282="Row Not Used",Measures!C282="Controls Only",Measures!C282="Decommissioning"),"",Measures!O282)</f>
        <v/>
      </c>
      <c r="K282" s="425" t="str">
        <f>IF(OR(Measures!AM282="Row Not Used",Measures!C282="Controls Only",Measures!C282="Decommissioning"),"",Measures!AS282)</f>
        <v/>
      </c>
      <c r="L282" s="426" t="str">
        <f>IF(OR(Measures!AM282="Row Not Used",Measures!AM282="Decommissioning",ISBLANK(Measures!R282)),"",Measures!R282)</f>
        <v/>
      </c>
      <c r="M282" s="431" t="str">
        <f>IF(OR(Measures!AM282="Row Not Used",Measures!AM282="Fixtures Only",Measures!AM282="Decommissioning"),"",Measures!S282)</f>
        <v/>
      </c>
      <c r="N282" s="432" t="str">
        <f>IF(Measures!AM282="Row Not Used","",Measures!AF282)</f>
        <v/>
      </c>
      <c r="O282" s="426" t="str">
        <f>IF(Measures!AM282="Row Not Used","",Measures!C282)</f>
        <v/>
      </c>
      <c r="P282" s="133" t="str">
        <f t="shared" si="4"/>
        <v>No</v>
      </c>
    </row>
    <row r="283" spans="1:16" ht="75.599999999999994" customHeight="1" x14ac:dyDescent="0.3">
      <c r="A283" s="454">
        <f>Measures!A283</f>
        <v>276</v>
      </c>
      <c r="B283" s="425" t="str">
        <f>IF(Measures!AM283="Row Not Used","",IF(ISBLANK(Measures!V283),Measures!B283,_xlfn.CONCAT(Measures!B283," - ",Measures!V283)))</f>
        <v/>
      </c>
      <c r="C283" s="426" t="str">
        <f>IF(Measures!AM283="Row Not Used","",_xlfn.CONCAT(Measures!D283," - ",Measures!E283," - ",Measures!F283))</f>
        <v/>
      </c>
      <c r="D283" s="442" t="str">
        <f>IF(Measures!AM283="Row Not Used","",Measures!G283)</f>
        <v/>
      </c>
      <c r="E283" s="443" t="str">
        <f>IF(Measures!AM283="Row Not Used","",Measures!H283)</f>
        <v/>
      </c>
      <c r="F283" s="450" t="str">
        <f>IF(Measures!AM283="Row Not Used","",Measures!I283)</f>
        <v/>
      </c>
      <c r="G283" s="426" t="str">
        <f>IF(OR(Measures!AM283="Row Not Used",Measures!C283="Controls Only",Measures!C283="Decommissioning"),"",_xlfn.CONCAT(Measures!K283," - ",Measures!L283))</f>
        <v/>
      </c>
      <c r="H283" s="442" t="str">
        <f>IF(OR(Measures!AM283="Row Not Used",Measures!C283="Controls Only",Measures!C283="Decommissioning"),"",Measures!M283)</f>
        <v/>
      </c>
      <c r="I283" s="443" t="str">
        <f>IF(OR(Measures!AM283="Row Not Used",Measures!C283="Controls Only",Measures!C283="Decommissioning"),"",Measures!N283)</f>
        <v/>
      </c>
      <c r="J283" s="444" t="str">
        <f>IF(OR(Measures!AM283="Row Not Used",Measures!C283="Controls Only",Measures!C283="Decommissioning"),"",Measures!O283)</f>
        <v/>
      </c>
      <c r="K283" s="425" t="str">
        <f>IF(OR(Measures!AM283="Row Not Used",Measures!C283="Controls Only",Measures!C283="Decommissioning"),"",Measures!AS283)</f>
        <v/>
      </c>
      <c r="L283" s="426" t="str">
        <f>IF(OR(Measures!AM283="Row Not Used",Measures!AM283="Decommissioning",ISBLANK(Measures!R283)),"",Measures!R283)</f>
        <v/>
      </c>
      <c r="M283" s="431" t="str">
        <f>IF(OR(Measures!AM283="Row Not Used",Measures!AM283="Fixtures Only",Measures!AM283="Decommissioning"),"",Measures!S283)</f>
        <v/>
      </c>
      <c r="N283" s="432" t="str">
        <f>IF(Measures!AM283="Row Not Used","",Measures!AF283)</f>
        <v/>
      </c>
      <c r="O283" s="426" t="str">
        <f>IF(Measures!AM283="Row Not Used","",Measures!C283)</f>
        <v/>
      </c>
      <c r="P283" s="133" t="str">
        <f t="shared" si="4"/>
        <v>No</v>
      </c>
    </row>
    <row r="284" spans="1:16" ht="75.599999999999994" customHeight="1" x14ac:dyDescent="0.3">
      <c r="A284" s="454">
        <f>Measures!A284</f>
        <v>277</v>
      </c>
      <c r="B284" s="425" t="str">
        <f>IF(Measures!AM284="Row Not Used","",IF(ISBLANK(Measures!V284),Measures!B284,_xlfn.CONCAT(Measures!B284," - ",Measures!V284)))</f>
        <v/>
      </c>
      <c r="C284" s="426" t="str">
        <f>IF(Measures!AM284="Row Not Used","",_xlfn.CONCAT(Measures!D284," - ",Measures!E284," - ",Measures!F284))</f>
        <v/>
      </c>
      <c r="D284" s="442" t="str">
        <f>IF(Measures!AM284="Row Not Used","",Measures!G284)</f>
        <v/>
      </c>
      <c r="E284" s="443" t="str">
        <f>IF(Measures!AM284="Row Not Used","",Measures!H284)</f>
        <v/>
      </c>
      <c r="F284" s="450" t="str">
        <f>IF(Measures!AM284="Row Not Used","",Measures!I284)</f>
        <v/>
      </c>
      <c r="G284" s="426" t="str">
        <f>IF(OR(Measures!AM284="Row Not Used",Measures!C284="Controls Only",Measures!C284="Decommissioning"),"",_xlfn.CONCAT(Measures!K284," - ",Measures!L284))</f>
        <v/>
      </c>
      <c r="H284" s="442" t="str">
        <f>IF(OR(Measures!AM284="Row Not Used",Measures!C284="Controls Only",Measures!C284="Decommissioning"),"",Measures!M284)</f>
        <v/>
      </c>
      <c r="I284" s="443" t="str">
        <f>IF(OR(Measures!AM284="Row Not Used",Measures!C284="Controls Only",Measures!C284="Decommissioning"),"",Measures!N284)</f>
        <v/>
      </c>
      <c r="J284" s="444" t="str">
        <f>IF(OR(Measures!AM284="Row Not Used",Measures!C284="Controls Only",Measures!C284="Decommissioning"),"",Measures!O284)</f>
        <v/>
      </c>
      <c r="K284" s="425" t="str">
        <f>IF(OR(Measures!AM284="Row Not Used",Measures!C284="Controls Only",Measures!C284="Decommissioning"),"",Measures!AS284)</f>
        <v/>
      </c>
      <c r="L284" s="426" t="str">
        <f>IF(OR(Measures!AM284="Row Not Used",Measures!AM284="Decommissioning",ISBLANK(Measures!R284)),"",Measures!R284)</f>
        <v/>
      </c>
      <c r="M284" s="431" t="str">
        <f>IF(OR(Measures!AM284="Row Not Used",Measures!AM284="Fixtures Only",Measures!AM284="Decommissioning"),"",Measures!S284)</f>
        <v/>
      </c>
      <c r="N284" s="432" t="str">
        <f>IF(Measures!AM284="Row Not Used","",Measures!AF284)</f>
        <v/>
      </c>
      <c r="O284" s="426" t="str">
        <f>IF(Measures!AM284="Row Not Used","",Measures!C284)</f>
        <v/>
      </c>
      <c r="P284" s="133" t="str">
        <f t="shared" si="4"/>
        <v>No</v>
      </c>
    </row>
    <row r="285" spans="1:16" ht="75.599999999999994" customHeight="1" x14ac:dyDescent="0.3">
      <c r="A285" s="454">
        <f>Measures!A285</f>
        <v>278</v>
      </c>
      <c r="B285" s="425" t="str">
        <f>IF(Measures!AM285="Row Not Used","",IF(ISBLANK(Measures!V285),Measures!B285,_xlfn.CONCAT(Measures!B285," - ",Measures!V285)))</f>
        <v/>
      </c>
      <c r="C285" s="426" t="str">
        <f>IF(Measures!AM285="Row Not Used","",_xlfn.CONCAT(Measures!D285," - ",Measures!E285," - ",Measures!F285))</f>
        <v/>
      </c>
      <c r="D285" s="442" t="str">
        <f>IF(Measures!AM285="Row Not Used","",Measures!G285)</f>
        <v/>
      </c>
      <c r="E285" s="443" t="str">
        <f>IF(Measures!AM285="Row Not Used","",Measures!H285)</f>
        <v/>
      </c>
      <c r="F285" s="450" t="str">
        <f>IF(Measures!AM285="Row Not Used","",Measures!I285)</f>
        <v/>
      </c>
      <c r="G285" s="426" t="str">
        <f>IF(OR(Measures!AM285="Row Not Used",Measures!C285="Controls Only",Measures!C285="Decommissioning"),"",_xlfn.CONCAT(Measures!K285," - ",Measures!L285))</f>
        <v/>
      </c>
      <c r="H285" s="442" t="str">
        <f>IF(OR(Measures!AM285="Row Not Used",Measures!C285="Controls Only",Measures!C285="Decommissioning"),"",Measures!M285)</f>
        <v/>
      </c>
      <c r="I285" s="443" t="str">
        <f>IF(OR(Measures!AM285="Row Not Used",Measures!C285="Controls Only",Measures!C285="Decommissioning"),"",Measures!N285)</f>
        <v/>
      </c>
      <c r="J285" s="444" t="str">
        <f>IF(OR(Measures!AM285="Row Not Used",Measures!C285="Controls Only",Measures!C285="Decommissioning"),"",Measures!O285)</f>
        <v/>
      </c>
      <c r="K285" s="425" t="str">
        <f>IF(OR(Measures!AM285="Row Not Used",Measures!C285="Controls Only",Measures!C285="Decommissioning"),"",Measures!AS285)</f>
        <v/>
      </c>
      <c r="L285" s="426" t="str">
        <f>IF(OR(Measures!AM285="Row Not Used",Measures!AM285="Decommissioning",ISBLANK(Measures!R285)),"",Measures!R285)</f>
        <v/>
      </c>
      <c r="M285" s="431" t="str">
        <f>IF(OR(Measures!AM285="Row Not Used",Measures!AM285="Fixtures Only",Measures!AM285="Decommissioning"),"",Measures!S285)</f>
        <v/>
      </c>
      <c r="N285" s="432" t="str">
        <f>IF(Measures!AM285="Row Not Used","",Measures!AF285)</f>
        <v/>
      </c>
      <c r="O285" s="426" t="str">
        <f>IF(Measures!AM285="Row Not Used","",Measures!C285)</f>
        <v/>
      </c>
      <c r="P285" s="133" t="str">
        <f t="shared" si="4"/>
        <v>No</v>
      </c>
    </row>
    <row r="286" spans="1:16" ht="75.599999999999994" customHeight="1" x14ac:dyDescent="0.3">
      <c r="A286" s="454">
        <f>Measures!A286</f>
        <v>279</v>
      </c>
      <c r="B286" s="425" t="str">
        <f>IF(Measures!AM286="Row Not Used","",IF(ISBLANK(Measures!V286),Measures!B286,_xlfn.CONCAT(Measures!B286," - ",Measures!V286)))</f>
        <v/>
      </c>
      <c r="C286" s="426" t="str">
        <f>IF(Measures!AM286="Row Not Used","",_xlfn.CONCAT(Measures!D286," - ",Measures!E286," - ",Measures!F286))</f>
        <v/>
      </c>
      <c r="D286" s="442" t="str">
        <f>IF(Measures!AM286="Row Not Used","",Measures!G286)</f>
        <v/>
      </c>
      <c r="E286" s="443" t="str">
        <f>IF(Measures!AM286="Row Not Used","",Measures!H286)</f>
        <v/>
      </c>
      <c r="F286" s="450" t="str">
        <f>IF(Measures!AM286="Row Not Used","",Measures!I286)</f>
        <v/>
      </c>
      <c r="G286" s="426" t="str">
        <f>IF(OR(Measures!AM286="Row Not Used",Measures!C286="Controls Only",Measures!C286="Decommissioning"),"",_xlfn.CONCAT(Measures!K286," - ",Measures!L286))</f>
        <v/>
      </c>
      <c r="H286" s="442" t="str">
        <f>IF(OR(Measures!AM286="Row Not Used",Measures!C286="Controls Only",Measures!C286="Decommissioning"),"",Measures!M286)</f>
        <v/>
      </c>
      <c r="I286" s="443" t="str">
        <f>IF(OR(Measures!AM286="Row Not Used",Measures!C286="Controls Only",Measures!C286="Decommissioning"),"",Measures!N286)</f>
        <v/>
      </c>
      <c r="J286" s="444" t="str">
        <f>IF(OR(Measures!AM286="Row Not Used",Measures!C286="Controls Only",Measures!C286="Decommissioning"),"",Measures!O286)</f>
        <v/>
      </c>
      <c r="K286" s="425" t="str">
        <f>IF(OR(Measures!AM286="Row Not Used",Measures!C286="Controls Only",Measures!C286="Decommissioning"),"",Measures!AS286)</f>
        <v/>
      </c>
      <c r="L286" s="426" t="str">
        <f>IF(OR(Measures!AM286="Row Not Used",Measures!AM286="Decommissioning",ISBLANK(Measures!R286)),"",Measures!R286)</f>
        <v/>
      </c>
      <c r="M286" s="431" t="str">
        <f>IF(OR(Measures!AM286="Row Not Used",Measures!AM286="Fixtures Only",Measures!AM286="Decommissioning"),"",Measures!S286)</f>
        <v/>
      </c>
      <c r="N286" s="432" t="str">
        <f>IF(Measures!AM286="Row Not Used","",Measures!AF286)</f>
        <v/>
      </c>
      <c r="O286" s="426" t="str">
        <f>IF(Measures!AM286="Row Not Used","",Measures!C286)</f>
        <v/>
      </c>
      <c r="P286" s="133" t="str">
        <f t="shared" si="4"/>
        <v>No</v>
      </c>
    </row>
    <row r="287" spans="1:16" ht="75.599999999999994" customHeight="1" x14ac:dyDescent="0.3">
      <c r="A287" s="454">
        <f>Measures!A287</f>
        <v>280</v>
      </c>
      <c r="B287" s="425" t="str">
        <f>IF(Measures!AM287="Row Not Used","",IF(ISBLANK(Measures!V287),Measures!B287,_xlfn.CONCAT(Measures!B287," - ",Measures!V287)))</f>
        <v/>
      </c>
      <c r="C287" s="426" t="str">
        <f>IF(Measures!AM287="Row Not Used","",_xlfn.CONCAT(Measures!D287," - ",Measures!E287," - ",Measures!F287))</f>
        <v/>
      </c>
      <c r="D287" s="442" t="str">
        <f>IF(Measures!AM287="Row Not Used","",Measures!G287)</f>
        <v/>
      </c>
      <c r="E287" s="443" t="str">
        <f>IF(Measures!AM287="Row Not Used","",Measures!H287)</f>
        <v/>
      </c>
      <c r="F287" s="450" t="str">
        <f>IF(Measures!AM287="Row Not Used","",Measures!I287)</f>
        <v/>
      </c>
      <c r="G287" s="426" t="str">
        <f>IF(OR(Measures!AM287="Row Not Used",Measures!C287="Controls Only",Measures!C287="Decommissioning"),"",_xlfn.CONCAT(Measures!K287," - ",Measures!L287))</f>
        <v/>
      </c>
      <c r="H287" s="442" t="str">
        <f>IF(OR(Measures!AM287="Row Not Used",Measures!C287="Controls Only",Measures!C287="Decommissioning"),"",Measures!M287)</f>
        <v/>
      </c>
      <c r="I287" s="443" t="str">
        <f>IF(OR(Measures!AM287="Row Not Used",Measures!C287="Controls Only",Measures!C287="Decommissioning"),"",Measures!N287)</f>
        <v/>
      </c>
      <c r="J287" s="444" t="str">
        <f>IF(OR(Measures!AM287="Row Not Used",Measures!C287="Controls Only",Measures!C287="Decommissioning"),"",Measures!O287)</f>
        <v/>
      </c>
      <c r="K287" s="425" t="str">
        <f>IF(OR(Measures!AM287="Row Not Used",Measures!C287="Controls Only",Measures!C287="Decommissioning"),"",Measures!AS287)</f>
        <v/>
      </c>
      <c r="L287" s="426" t="str">
        <f>IF(OR(Measures!AM287="Row Not Used",Measures!AM287="Decommissioning",ISBLANK(Measures!R287)),"",Measures!R287)</f>
        <v/>
      </c>
      <c r="M287" s="431" t="str">
        <f>IF(OR(Measures!AM287="Row Not Used",Measures!AM287="Fixtures Only",Measures!AM287="Decommissioning"),"",Measures!S287)</f>
        <v/>
      </c>
      <c r="N287" s="432" t="str">
        <f>IF(Measures!AM287="Row Not Used","",Measures!AF287)</f>
        <v/>
      </c>
      <c r="O287" s="426" t="str">
        <f>IF(Measures!AM287="Row Not Used","",Measures!C287)</f>
        <v/>
      </c>
      <c r="P287" s="133" t="str">
        <f t="shared" si="4"/>
        <v>No</v>
      </c>
    </row>
    <row r="288" spans="1:16" ht="75.599999999999994" customHeight="1" x14ac:dyDescent="0.3">
      <c r="A288" s="454">
        <f>Measures!A288</f>
        <v>281</v>
      </c>
      <c r="B288" s="425" t="str">
        <f>IF(Measures!AM288="Row Not Used","",IF(ISBLANK(Measures!V288),Measures!B288,_xlfn.CONCAT(Measures!B288," - ",Measures!V288)))</f>
        <v/>
      </c>
      <c r="C288" s="426" t="str">
        <f>IF(Measures!AM288="Row Not Used","",_xlfn.CONCAT(Measures!D288," - ",Measures!E288," - ",Measures!F288))</f>
        <v/>
      </c>
      <c r="D288" s="442" t="str">
        <f>IF(Measures!AM288="Row Not Used","",Measures!G288)</f>
        <v/>
      </c>
      <c r="E288" s="443" t="str">
        <f>IF(Measures!AM288="Row Not Used","",Measures!H288)</f>
        <v/>
      </c>
      <c r="F288" s="450" t="str">
        <f>IF(Measures!AM288="Row Not Used","",Measures!I288)</f>
        <v/>
      </c>
      <c r="G288" s="426" t="str">
        <f>IF(OR(Measures!AM288="Row Not Used",Measures!C288="Controls Only",Measures!C288="Decommissioning"),"",_xlfn.CONCAT(Measures!K288," - ",Measures!L288))</f>
        <v/>
      </c>
      <c r="H288" s="442" t="str">
        <f>IF(OR(Measures!AM288="Row Not Used",Measures!C288="Controls Only",Measures!C288="Decommissioning"),"",Measures!M288)</f>
        <v/>
      </c>
      <c r="I288" s="443" t="str">
        <f>IF(OR(Measures!AM288="Row Not Used",Measures!C288="Controls Only",Measures!C288="Decommissioning"),"",Measures!N288)</f>
        <v/>
      </c>
      <c r="J288" s="444" t="str">
        <f>IF(OR(Measures!AM288="Row Not Used",Measures!C288="Controls Only",Measures!C288="Decommissioning"),"",Measures!O288)</f>
        <v/>
      </c>
      <c r="K288" s="425" t="str">
        <f>IF(OR(Measures!AM288="Row Not Used",Measures!C288="Controls Only",Measures!C288="Decommissioning"),"",Measures!AS288)</f>
        <v/>
      </c>
      <c r="L288" s="426" t="str">
        <f>IF(OR(Measures!AM288="Row Not Used",Measures!AM288="Decommissioning",ISBLANK(Measures!R288)),"",Measures!R288)</f>
        <v/>
      </c>
      <c r="M288" s="431" t="str">
        <f>IF(OR(Measures!AM288="Row Not Used",Measures!AM288="Fixtures Only",Measures!AM288="Decommissioning"),"",Measures!S288)</f>
        <v/>
      </c>
      <c r="N288" s="432" t="str">
        <f>IF(Measures!AM288="Row Not Used","",Measures!AF288)</f>
        <v/>
      </c>
      <c r="O288" s="426" t="str">
        <f>IF(Measures!AM288="Row Not Used","",Measures!C288)</f>
        <v/>
      </c>
      <c r="P288" s="133" t="str">
        <f t="shared" si="4"/>
        <v>No</v>
      </c>
    </row>
    <row r="289" spans="1:16" ht="75.599999999999994" customHeight="1" x14ac:dyDescent="0.3">
      <c r="A289" s="454">
        <f>Measures!A289</f>
        <v>282</v>
      </c>
      <c r="B289" s="425" t="str">
        <f>IF(Measures!AM289="Row Not Used","",IF(ISBLANK(Measures!V289),Measures!B289,_xlfn.CONCAT(Measures!B289," - ",Measures!V289)))</f>
        <v/>
      </c>
      <c r="C289" s="426" t="str">
        <f>IF(Measures!AM289="Row Not Used","",_xlfn.CONCAT(Measures!D289," - ",Measures!E289," - ",Measures!F289))</f>
        <v/>
      </c>
      <c r="D289" s="442" t="str">
        <f>IF(Measures!AM289="Row Not Used","",Measures!G289)</f>
        <v/>
      </c>
      <c r="E289" s="443" t="str">
        <f>IF(Measures!AM289="Row Not Used","",Measures!H289)</f>
        <v/>
      </c>
      <c r="F289" s="450" t="str">
        <f>IF(Measures!AM289="Row Not Used","",Measures!I289)</f>
        <v/>
      </c>
      <c r="G289" s="426" t="str">
        <f>IF(OR(Measures!AM289="Row Not Used",Measures!C289="Controls Only",Measures!C289="Decommissioning"),"",_xlfn.CONCAT(Measures!K289," - ",Measures!L289))</f>
        <v/>
      </c>
      <c r="H289" s="442" t="str">
        <f>IF(OR(Measures!AM289="Row Not Used",Measures!C289="Controls Only",Measures!C289="Decommissioning"),"",Measures!M289)</f>
        <v/>
      </c>
      <c r="I289" s="443" t="str">
        <f>IF(OR(Measures!AM289="Row Not Used",Measures!C289="Controls Only",Measures!C289="Decommissioning"),"",Measures!N289)</f>
        <v/>
      </c>
      <c r="J289" s="444" t="str">
        <f>IF(OR(Measures!AM289="Row Not Used",Measures!C289="Controls Only",Measures!C289="Decommissioning"),"",Measures!O289)</f>
        <v/>
      </c>
      <c r="K289" s="425" t="str">
        <f>IF(OR(Measures!AM289="Row Not Used",Measures!C289="Controls Only",Measures!C289="Decommissioning"),"",Measures!AS289)</f>
        <v/>
      </c>
      <c r="L289" s="426" t="str">
        <f>IF(OR(Measures!AM289="Row Not Used",Measures!AM289="Decommissioning",ISBLANK(Measures!R289)),"",Measures!R289)</f>
        <v/>
      </c>
      <c r="M289" s="431" t="str">
        <f>IF(OR(Measures!AM289="Row Not Used",Measures!AM289="Fixtures Only",Measures!AM289="Decommissioning"),"",Measures!S289)</f>
        <v/>
      </c>
      <c r="N289" s="432" t="str">
        <f>IF(Measures!AM289="Row Not Used","",Measures!AF289)</f>
        <v/>
      </c>
      <c r="O289" s="426" t="str">
        <f>IF(Measures!AM289="Row Not Used","",Measures!C289)</f>
        <v/>
      </c>
      <c r="P289" s="133" t="str">
        <f t="shared" si="4"/>
        <v>No</v>
      </c>
    </row>
    <row r="290" spans="1:16" ht="75.599999999999994" customHeight="1" x14ac:dyDescent="0.3">
      <c r="A290" s="454">
        <f>Measures!A290</f>
        <v>283</v>
      </c>
      <c r="B290" s="425" t="str">
        <f>IF(Measures!AM290="Row Not Used","",IF(ISBLANK(Measures!V290),Measures!B290,_xlfn.CONCAT(Measures!B290," - ",Measures!V290)))</f>
        <v/>
      </c>
      <c r="C290" s="426" t="str">
        <f>IF(Measures!AM290="Row Not Used","",_xlfn.CONCAT(Measures!D290," - ",Measures!E290," - ",Measures!F290))</f>
        <v/>
      </c>
      <c r="D290" s="442" t="str">
        <f>IF(Measures!AM290="Row Not Used","",Measures!G290)</f>
        <v/>
      </c>
      <c r="E290" s="443" t="str">
        <f>IF(Measures!AM290="Row Not Used","",Measures!H290)</f>
        <v/>
      </c>
      <c r="F290" s="450" t="str">
        <f>IF(Measures!AM290="Row Not Used","",Measures!I290)</f>
        <v/>
      </c>
      <c r="G290" s="426" t="str">
        <f>IF(OR(Measures!AM290="Row Not Used",Measures!C290="Controls Only",Measures!C290="Decommissioning"),"",_xlfn.CONCAT(Measures!K290," - ",Measures!L290))</f>
        <v/>
      </c>
      <c r="H290" s="442" t="str">
        <f>IF(OR(Measures!AM290="Row Not Used",Measures!C290="Controls Only",Measures!C290="Decommissioning"),"",Measures!M290)</f>
        <v/>
      </c>
      <c r="I290" s="443" t="str">
        <f>IF(OR(Measures!AM290="Row Not Used",Measures!C290="Controls Only",Measures!C290="Decommissioning"),"",Measures!N290)</f>
        <v/>
      </c>
      <c r="J290" s="444" t="str">
        <f>IF(OR(Measures!AM290="Row Not Used",Measures!C290="Controls Only",Measures!C290="Decommissioning"),"",Measures!O290)</f>
        <v/>
      </c>
      <c r="K290" s="425" t="str">
        <f>IF(OR(Measures!AM290="Row Not Used",Measures!C290="Controls Only",Measures!C290="Decommissioning"),"",Measures!AS290)</f>
        <v/>
      </c>
      <c r="L290" s="426" t="str">
        <f>IF(OR(Measures!AM290="Row Not Used",Measures!AM290="Decommissioning",ISBLANK(Measures!R290)),"",Measures!R290)</f>
        <v/>
      </c>
      <c r="M290" s="431" t="str">
        <f>IF(OR(Measures!AM290="Row Not Used",Measures!AM290="Fixtures Only",Measures!AM290="Decommissioning"),"",Measures!S290)</f>
        <v/>
      </c>
      <c r="N290" s="432" t="str">
        <f>IF(Measures!AM290="Row Not Used","",Measures!AF290)</f>
        <v/>
      </c>
      <c r="O290" s="426" t="str">
        <f>IF(Measures!AM290="Row Not Used","",Measures!C290)</f>
        <v/>
      </c>
      <c r="P290" s="133" t="str">
        <f t="shared" si="4"/>
        <v>No</v>
      </c>
    </row>
    <row r="291" spans="1:16" ht="75.599999999999994" customHeight="1" x14ac:dyDescent="0.3">
      <c r="A291" s="454">
        <f>Measures!A291</f>
        <v>284</v>
      </c>
      <c r="B291" s="425" t="str">
        <f>IF(Measures!AM291="Row Not Used","",IF(ISBLANK(Measures!V291),Measures!B291,_xlfn.CONCAT(Measures!B291," - ",Measures!V291)))</f>
        <v/>
      </c>
      <c r="C291" s="426" t="str">
        <f>IF(Measures!AM291="Row Not Used","",_xlfn.CONCAT(Measures!D291," - ",Measures!E291," - ",Measures!F291))</f>
        <v/>
      </c>
      <c r="D291" s="442" t="str">
        <f>IF(Measures!AM291="Row Not Used","",Measures!G291)</f>
        <v/>
      </c>
      <c r="E291" s="443" t="str">
        <f>IF(Measures!AM291="Row Not Used","",Measures!H291)</f>
        <v/>
      </c>
      <c r="F291" s="450" t="str">
        <f>IF(Measures!AM291="Row Not Used","",Measures!I291)</f>
        <v/>
      </c>
      <c r="G291" s="426" t="str">
        <f>IF(OR(Measures!AM291="Row Not Used",Measures!C291="Controls Only",Measures!C291="Decommissioning"),"",_xlfn.CONCAT(Measures!K291," - ",Measures!L291))</f>
        <v/>
      </c>
      <c r="H291" s="442" t="str">
        <f>IF(OR(Measures!AM291="Row Not Used",Measures!C291="Controls Only",Measures!C291="Decommissioning"),"",Measures!M291)</f>
        <v/>
      </c>
      <c r="I291" s="443" t="str">
        <f>IF(OR(Measures!AM291="Row Not Used",Measures!C291="Controls Only",Measures!C291="Decommissioning"),"",Measures!N291)</f>
        <v/>
      </c>
      <c r="J291" s="444" t="str">
        <f>IF(OR(Measures!AM291="Row Not Used",Measures!C291="Controls Only",Measures!C291="Decommissioning"),"",Measures!O291)</f>
        <v/>
      </c>
      <c r="K291" s="425" t="str">
        <f>IF(OR(Measures!AM291="Row Not Used",Measures!C291="Controls Only",Measures!C291="Decommissioning"),"",Measures!AS291)</f>
        <v/>
      </c>
      <c r="L291" s="426" t="str">
        <f>IF(OR(Measures!AM291="Row Not Used",Measures!AM291="Decommissioning",ISBLANK(Measures!R291)),"",Measures!R291)</f>
        <v/>
      </c>
      <c r="M291" s="431" t="str">
        <f>IF(OR(Measures!AM291="Row Not Used",Measures!AM291="Fixtures Only",Measures!AM291="Decommissioning"),"",Measures!S291)</f>
        <v/>
      </c>
      <c r="N291" s="432" t="str">
        <f>IF(Measures!AM291="Row Not Used","",Measures!AF291)</f>
        <v/>
      </c>
      <c r="O291" s="426" t="str">
        <f>IF(Measures!AM291="Row Not Used","",Measures!C291)</f>
        <v/>
      </c>
      <c r="P291" s="133" t="str">
        <f t="shared" si="4"/>
        <v>No</v>
      </c>
    </row>
    <row r="292" spans="1:16" ht="75.599999999999994" customHeight="1" x14ac:dyDescent="0.3">
      <c r="A292" s="454">
        <f>Measures!A292</f>
        <v>285</v>
      </c>
      <c r="B292" s="425" t="str">
        <f>IF(Measures!AM292="Row Not Used","",IF(ISBLANK(Measures!V292),Measures!B292,_xlfn.CONCAT(Measures!B292," - ",Measures!V292)))</f>
        <v/>
      </c>
      <c r="C292" s="426" t="str">
        <f>IF(Measures!AM292="Row Not Used","",_xlfn.CONCAT(Measures!D292," - ",Measures!E292," - ",Measures!F292))</f>
        <v/>
      </c>
      <c r="D292" s="442" t="str">
        <f>IF(Measures!AM292="Row Not Used","",Measures!G292)</f>
        <v/>
      </c>
      <c r="E292" s="443" t="str">
        <f>IF(Measures!AM292="Row Not Used","",Measures!H292)</f>
        <v/>
      </c>
      <c r="F292" s="450" t="str">
        <f>IF(Measures!AM292="Row Not Used","",Measures!I292)</f>
        <v/>
      </c>
      <c r="G292" s="426" t="str">
        <f>IF(OR(Measures!AM292="Row Not Used",Measures!C292="Controls Only",Measures!C292="Decommissioning"),"",_xlfn.CONCAT(Measures!K292," - ",Measures!L292))</f>
        <v/>
      </c>
      <c r="H292" s="442" t="str">
        <f>IF(OR(Measures!AM292="Row Not Used",Measures!C292="Controls Only",Measures!C292="Decommissioning"),"",Measures!M292)</f>
        <v/>
      </c>
      <c r="I292" s="443" t="str">
        <f>IF(OR(Measures!AM292="Row Not Used",Measures!C292="Controls Only",Measures!C292="Decommissioning"),"",Measures!N292)</f>
        <v/>
      </c>
      <c r="J292" s="444" t="str">
        <f>IF(OR(Measures!AM292="Row Not Used",Measures!C292="Controls Only",Measures!C292="Decommissioning"),"",Measures!O292)</f>
        <v/>
      </c>
      <c r="K292" s="425" t="str">
        <f>IF(OR(Measures!AM292="Row Not Used",Measures!C292="Controls Only",Measures!C292="Decommissioning"),"",Measures!AS292)</f>
        <v/>
      </c>
      <c r="L292" s="426" t="str">
        <f>IF(OR(Measures!AM292="Row Not Used",Measures!AM292="Decommissioning",ISBLANK(Measures!R292)),"",Measures!R292)</f>
        <v/>
      </c>
      <c r="M292" s="431" t="str">
        <f>IF(OR(Measures!AM292="Row Not Used",Measures!AM292="Fixtures Only",Measures!AM292="Decommissioning"),"",Measures!S292)</f>
        <v/>
      </c>
      <c r="N292" s="432" t="str">
        <f>IF(Measures!AM292="Row Not Used","",Measures!AF292)</f>
        <v/>
      </c>
      <c r="O292" s="426" t="str">
        <f>IF(Measures!AM292="Row Not Used","",Measures!C292)</f>
        <v/>
      </c>
      <c r="P292" s="133" t="str">
        <f t="shared" si="4"/>
        <v>No</v>
      </c>
    </row>
    <row r="293" spans="1:16" ht="75.599999999999994" customHeight="1" x14ac:dyDescent="0.3">
      <c r="A293" s="454">
        <f>Measures!A293</f>
        <v>286</v>
      </c>
      <c r="B293" s="425" t="str">
        <f>IF(Measures!AM293="Row Not Used","",IF(ISBLANK(Measures!V293),Measures!B293,_xlfn.CONCAT(Measures!B293," - ",Measures!V293)))</f>
        <v/>
      </c>
      <c r="C293" s="426" t="str">
        <f>IF(Measures!AM293="Row Not Used","",_xlfn.CONCAT(Measures!D293," - ",Measures!E293," - ",Measures!F293))</f>
        <v/>
      </c>
      <c r="D293" s="442" t="str">
        <f>IF(Measures!AM293="Row Not Used","",Measures!G293)</f>
        <v/>
      </c>
      <c r="E293" s="443" t="str">
        <f>IF(Measures!AM293="Row Not Used","",Measures!H293)</f>
        <v/>
      </c>
      <c r="F293" s="450" t="str">
        <f>IF(Measures!AM293="Row Not Used","",Measures!I293)</f>
        <v/>
      </c>
      <c r="G293" s="426" t="str">
        <f>IF(OR(Measures!AM293="Row Not Used",Measures!C293="Controls Only",Measures!C293="Decommissioning"),"",_xlfn.CONCAT(Measures!K293," - ",Measures!L293))</f>
        <v/>
      </c>
      <c r="H293" s="442" t="str">
        <f>IF(OR(Measures!AM293="Row Not Used",Measures!C293="Controls Only",Measures!C293="Decommissioning"),"",Measures!M293)</f>
        <v/>
      </c>
      <c r="I293" s="443" t="str">
        <f>IF(OR(Measures!AM293="Row Not Used",Measures!C293="Controls Only",Measures!C293="Decommissioning"),"",Measures!N293)</f>
        <v/>
      </c>
      <c r="J293" s="444" t="str">
        <f>IF(OR(Measures!AM293="Row Not Used",Measures!C293="Controls Only",Measures!C293="Decommissioning"),"",Measures!O293)</f>
        <v/>
      </c>
      <c r="K293" s="425" t="str">
        <f>IF(OR(Measures!AM293="Row Not Used",Measures!C293="Controls Only",Measures!C293="Decommissioning"),"",Measures!AS293)</f>
        <v/>
      </c>
      <c r="L293" s="426" t="str">
        <f>IF(OR(Measures!AM293="Row Not Used",Measures!AM293="Decommissioning",ISBLANK(Measures!R293)),"",Measures!R293)</f>
        <v/>
      </c>
      <c r="M293" s="431" t="str">
        <f>IF(OR(Measures!AM293="Row Not Used",Measures!AM293="Fixtures Only",Measures!AM293="Decommissioning"),"",Measures!S293)</f>
        <v/>
      </c>
      <c r="N293" s="432" t="str">
        <f>IF(Measures!AM293="Row Not Used","",Measures!AF293)</f>
        <v/>
      </c>
      <c r="O293" s="426" t="str">
        <f>IF(Measures!AM293="Row Not Used","",Measures!C293)</f>
        <v/>
      </c>
      <c r="P293" s="133" t="str">
        <f t="shared" si="4"/>
        <v>No</v>
      </c>
    </row>
    <row r="294" spans="1:16" ht="75.599999999999994" customHeight="1" x14ac:dyDescent="0.3">
      <c r="A294" s="454">
        <f>Measures!A294</f>
        <v>287</v>
      </c>
      <c r="B294" s="425" t="str">
        <f>IF(Measures!AM294="Row Not Used","",IF(ISBLANK(Measures!V294),Measures!B294,_xlfn.CONCAT(Measures!B294," - ",Measures!V294)))</f>
        <v/>
      </c>
      <c r="C294" s="426" t="str">
        <f>IF(Measures!AM294="Row Not Used","",_xlfn.CONCAT(Measures!D294," - ",Measures!E294," - ",Measures!F294))</f>
        <v/>
      </c>
      <c r="D294" s="442" t="str">
        <f>IF(Measures!AM294="Row Not Used","",Measures!G294)</f>
        <v/>
      </c>
      <c r="E294" s="443" t="str">
        <f>IF(Measures!AM294="Row Not Used","",Measures!H294)</f>
        <v/>
      </c>
      <c r="F294" s="450" t="str">
        <f>IF(Measures!AM294="Row Not Used","",Measures!I294)</f>
        <v/>
      </c>
      <c r="G294" s="426" t="str">
        <f>IF(OR(Measures!AM294="Row Not Used",Measures!C294="Controls Only",Measures!C294="Decommissioning"),"",_xlfn.CONCAT(Measures!K294," - ",Measures!L294))</f>
        <v/>
      </c>
      <c r="H294" s="442" t="str">
        <f>IF(OR(Measures!AM294="Row Not Used",Measures!C294="Controls Only",Measures!C294="Decommissioning"),"",Measures!M294)</f>
        <v/>
      </c>
      <c r="I294" s="443" t="str">
        <f>IF(OR(Measures!AM294="Row Not Used",Measures!C294="Controls Only",Measures!C294="Decommissioning"),"",Measures!N294)</f>
        <v/>
      </c>
      <c r="J294" s="444" t="str">
        <f>IF(OR(Measures!AM294="Row Not Used",Measures!C294="Controls Only",Measures!C294="Decommissioning"),"",Measures!O294)</f>
        <v/>
      </c>
      <c r="K294" s="425" t="str">
        <f>IF(OR(Measures!AM294="Row Not Used",Measures!C294="Controls Only",Measures!C294="Decommissioning"),"",Measures!AS294)</f>
        <v/>
      </c>
      <c r="L294" s="426" t="str">
        <f>IF(OR(Measures!AM294="Row Not Used",Measures!AM294="Decommissioning",ISBLANK(Measures!R294)),"",Measures!R294)</f>
        <v/>
      </c>
      <c r="M294" s="431" t="str">
        <f>IF(OR(Measures!AM294="Row Not Used",Measures!AM294="Fixtures Only",Measures!AM294="Decommissioning"),"",Measures!S294)</f>
        <v/>
      </c>
      <c r="N294" s="432" t="str">
        <f>IF(Measures!AM294="Row Not Used","",Measures!AF294)</f>
        <v/>
      </c>
      <c r="O294" s="426" t="str">
        <f>IF(Measures!AM294="Row Not Used","",Measures!C294)</f>
        <v/>
      </c>
      <c r="P294" s="133" t="str">
        <f t="shared" si="4"/>
        <v>No</v>
      </c>
    </row>
    <row r="295" spans="1:16" ht="75.599999999999994" customHeight="1" x14ac:dyDescent="0.3">
      <c r="A295" s="454">
        <f>Measures!A295</f>
        <v>288</v>
      </c>
      <c r="B295" s="425" t="str">
        <f>IF(Measures!AM295="Row Not Used","",IF(ISBLANK(Measures!V295),Measures!B295,_xlfn.CONCAT(Measures!B295," - ",Measures!V295)))</f>
        <v/>
      </c>
      <c r="C295" s="426" t="str">
        <f>IF(Measures!AM295="Row Not Used","",_xlfn.CONCAT(Measures!D295," - ",Measures!E295," - ",Measures!F295))</f>
        <v/>
      </c>
      <c r="D295" s="442" t="str">
        <f>IF(Measures!AM295="Row Not Used","",Measures!G295)</f>
        <v/>
      </c>
      <c r="E295" s="443" t="str">
        <f>IF(Measures!AM295="Row Not Used","",Measures!H295)</f>
        <v/>
      </c>
      <c r="F295" s="450" t="str">
        <f>IF(Measures!AM295="Row Not Used","",Measures!I295)</f>
        <v/>
      </c>
      <c r="G295" s="426" t="str">
        <f>IF(OR(Measures!AM295="Row Not Used",Measures!C295="Controls Only",Measures!C295="Decommissioning"),"",_xlfn.CONCAT(Measures!K295," - ",Measures!L295))</f>
        <v/>
      </c>
      <c r="H295" s="442" t="str">
        <f>IF(OR(Measures!AM295="Row Not Used",Measures!C295="Controls Only",Measures!C295="Decommissioning"),"",Measures!M295)</f>
        <v/>
      </c>
      <c r="I295" s="443" t="str">
        <f>IF(OR(Measures!AM295="Row Not Used",Measures!C295="Controls Only",Measures!C295="Decommissioning"),"",Measures!N295)</f>
        <v/>
      </c>
      <c r="J295" s="444" t="str">
        <f>IF(OR(Measures!AM295="Row Not Used",Measures!C295="Controls Only",Measures!C295="Decommissioning"),"",Measures!O295)</f>
        <v/>
      </c>
      <c r="K295" s="425" t="str">
        <f>IF(OR(Measures!AM295="Row Not Used",Measures!C295="Controls Only",Measures!C295="Decommissioning"),"",Measures!AS295)</f>
        <v/>
      </c>
      <c r="L295" s="426" t="str">
        <f>IF(OR(Measures!AM295="Row Not Used",Measures!AM295="Decommissioning",ISBLANK(Measures!R295)),"",Measures!R295)</f>
        <v/>
      </c>
      <c r="M295" s="431" t="str">
        <f>IF(OR(Measures!AM295="Row Not Used",Measures!AM295="Fixtures Only",Measures!AM295="Decommissioning"),"",Measures!S295)</f>
        <v/>
      </c>
      <c r="N295" s="432" t="str">
        <f>IF(Measures!AM295="Row Not Used","",Measures!AF295)</f>
        <v/>
      </c>
      <c r="O295" s="426" t="str">
        <f>IF(Measures!AM295="Row Not Used","",Measures!C295)</f>
        <v/>
      </c>
      <c r="P295" s="133" t="str">
        <f t="shared" si="4"/>
        <v>No</v>
      </c>
    </row>
    <row r="296" spans="1:16" ht="75.599999999999994" customHeight="1" x14ac:dyDescent="0.3">
      <c r="A296" s="454">
        <f>Measures!A296</f>
        <v>289</v>
      </c>
      <c r="B296" s="425" t="str">
        <f>IF(Measures!AM296="Row Not Used","",IF(ISBLANK(Measures!V296),Measures!B296,_xlfn.CONCAT(Measures!B296," - ",Measures!V296)))</f>
        <v/>
      </c>
      <c r="C296" s="426" t="str">
        <f>IF(Measures!AM296="Row Not Used","",_xlfn.CONCAT(Measures!D296," - ",Measures!E296," - ",Measures!F296))</f>
        <v/>
      </c>
      <c r="D296" s="442" t="str">
        <f>IF(Measures!AM296="Row Not Used","",Measures!G296)</f>
        <v/>
      </c>
      <c r="E296" s="443" t="str">
        <f>IF(Measures!AM296="Row Not Used","",Measures!H296)</f>
        <v/>
      </c>
      <c r="F296" s="450" t="str">
        <f>IF(Measures!AM296="Row Not Used","",Measures!I296)</f>
        <v/>
      </c>
      <c r="G296" s="426" t="str">
        <f>IF(OR(Measures!AM296="Row Not Used",Measures!C296="Controls Only",Measures!C296="Decommissioning"),"",_xlfn.CONCAT(Measures!K296," - ",Measures!L296))</f>
        <v/>
      </c>
      <c r="H296" s="442" t="str">
        <f>IF(OR(Measures!AM296="Row Not Used",Measures!C296="Controls Only",Measures!C296="Decommissioning"),"",Measures!M296)</f>
        <v/>
      </c>
      <c r="I296" s="443" t="str">
        <f>IF(OR(Measures!AM296="Row Not Used",Measures!C296="Controls Only",Measures!C296="Decommissioning"),"",Measures!N296)</f>
        <v/>
      </c>
      <c r="J296" s="444" t="str">
        <f>IF(OR(Measures!AM296="Row Not Used",Measures!C296="Controls Only",Measures!C296="Decommissioning"),"",Measures!O296)</f>
        <v/>
      </c>
      <c r="K296" s="425" t="str">
        <f>IF(OR(Measures!AM296="Row Not Used",Measures!C296="Controls Only",Measures!C296="Decommissioning"),"",Measures!AS296)</f>
        <v/>
      </c>
      <c r="L296" s="426" t="str">
        <f>IF(OR(Measures!AM296="Row Not Used",Measures!AM296="Decommissioning",ISBLANK(Measures!R296)),"",Measures!R296)</f>
        <v/>
      </c>
      <c r="M296" s="431" t="str">
        <f>IF(OR(Measures!AM296="Row Not Used",Measures!AM296="Fixtures Only",Measures!AM296="Decommissioning"),"",Measures!S296)</f>
        <v/>
      </c>
      <c r="N296" s="432" t="str">
        <f>IF(Measures!AM296="Row Not Used","",Measures!AF296)</f>
        <v/>
      </c>
      <c r="O296" s="426" t="str">
        <f>IF(Measures!AM296="Row Not Used","",Measures!C296)</f>
        <v/>
      </c>
      <c r="P296" s="133" t="str">
        <f t="shared" si="4"/>
        <v>No</v>
      </c>
    </row>
    <row r="297" spans="1:16" ht="75.599999999999994" customHeight="1" x14ac:dyDescent="0.3">
      <c r="A297" s="454">
        <f>Measures!A297</f>
        <v>290</v>
      </c>
      <c r="B297" s="425" t="str">
        <f>IF(Measures!AM297="Row Not Used","",IF(ISBLANK(Measures!V297),Measures!B297,_xlfn.CONCAT(Measures!B297," - ",Measures!V297)))</f>
        <v/>
      </c>
      <c r="C297" s="426" t="str">
        <f>IF(Measures!AM297="Row Not Used","",_xlfn.CONCAT(Measures!D297," - ",Measures!E297," - ",Measures!F297))</f>
        <v/>
      </c>
      <c r="D297" s="442" t="str">
        <f>IF(Measures!AM297="Row Not Used","",Measures!G297)</f>
        <v/>
      </c>
      <c r="E297" s="443" t="str">
        <f>IF(Measures!AM297="Row Not Used","",Measures!H297)</f>
        <v/>
      </c>
      <c r="F297" s="450" t="str">
        <f>IF(Measures!AM297="Row Not Used","",Measures!I297)</f>
        <v/>
      </c>
      <c r="G297" s="426" t="str">
        <f>IF(OR(Measures!AM297="Row Not Used",Measures!C297="Controls Only",Measures!C297="Decommissioning"),"",_xlfn.CONCAT(Measures!K297," - ",Measures!L297))</f>
        <v/>
      </c>
      <c r="H297" s="442" t="str">
        <f>IF(OR(Measures!AM297="Row Not Used",Measures!C297="Controls Only",Measures!C297="Decommissioning"),"",Measures!M297)</f>
        <v/>
      </c>
      <c r="I297" s="443" t="str">
        <f>IF(OR(Measures!AM297="Row Not Used",Measures!C297="Controls Only",Measures!C297="Decommissioning"),"",Measures!N297)</f>
        <v/>
      </c>
      <c r="J297" s="444" t="str">
        <f>IF(OR(Measures!AM297="Row Not Used",Measures!C297="Controls Only",Measures!C297="Decommissioning"),"",Measures!O297)</f>
        <v/>
      </c>
      <c r="K297" s="425" t="str">
        <f>IF(OR(Measures!AM297="Row Not Used",Measures!C297="Controls Only",Measures!C297="Decommissioning"),"",Measures!AS297)</f>
        <v/>
      </c>
      <c r="L297" s="426" t="str">
        <f>IF(OR(Measures!AM297="Row Not Used",Measures!AM297="Decommissioning",ISBLANK(Measures!R297)),"",Measures!R297)</f>
        <v/>
      </c>
      <c r="M297" s="431" t="str">
        <f>IF(OR(Measures!AM297="Row Not Used",Measures!AM297="Fixtures Only",Measures!AM297="Decommissioning"),"",Measures!S297)</f>
        <v/>
      </c>
      <c r="N297" s="432" t="str">
        <f>IF(Measures!AM297="Row Not Used","",Measures!AF297)</f>
        <v/>
      </c>
      <c r="O297" s="426" t="str">
        <f>IF(Measures!AM297="Row Not Used","",Measures!C297)</f>
        <v/>
      </c>
      <c r="P297" s="133" t="str">
        <f t="shared" si="4"/>
        <v>No</v>
      </c>
    </row>
    <row r="298" spans="1:16" ht="75.599999999999994" customHeight="1" x14ac:dyDescent="0.3">
      <c r="A298" s="454">
        <f>Measures!A298</f>
        <v>291</v>
      </c>
      <c r="B298" s="425" t="str">
        <f>IF(Measures!AM298="Row Not Used","",IF(ISBLANK(Measures!V298),Measures!B298,_xlfn.CONCAT(Measures!B298," - ",Measures!V298)))</f>
        <v/>
      </c>
      <c r="C298" s="426" t="str">
        <f>IF(Measures!AM298="Row Not Used","",_xlfn.CONCAT(Measures!D298," - ",Measures!E298," - ",Measures!F298))</f>
        <v/>
      </c>
      <c r="D298" s="442" t="str">
        <f>IF(Measures!AM298="Row Not Used","",Measures!G298)</f>
        <v/>
      </c>
      <c r="E298" s="443" t="str">
        <f>IF(Measures!AM298="Row Not Used","",Measures!H298)</f>
        <v/>
      </c>
      <c r="F298" s="450" t="str">
        <f>IF(Measures!AM298="Row Not Used","",Measures!I298)</f>
        <v/>
      </c>
      <c r="G298" s="426" t="str">
        <f>IF(OR(Measures!AM298="Row Not Used",Measures!C298="Controls Only",Measures!C298="Decommissioning"),"",_xlfn.CONCAT(Measures!K298," - ",Measures!L298))</f>
        <v/>
      </c>
      <c r="H298" s="442" t="str">
        <f>IF(OR(Measures!AM298="Row Not Used",Measures!C298="Controls Only",Measures!C298="Decommissioning"),"",Measures!M298)</f>
        <v/>
      </c>
      <c r="I298" s="443" t="str">
        <f>IF(OR(Measures!AM298="Row Not Used",Measures!C298="Controls Only",Measures!C298="Decommissioning"),"",Measures!N298)</f>
        <v/>
      </c>
      <c r="J298" s="444" t="str">
        <f>IF(OR(Measures!AM298="Row Not Used",Measures!C298="Controls Only",Measures!C298="Decommissioning"),"",Measures!O298)</f>
        <v/>
      </c>
      <c r="K298" s="425" t="str">
        <f>IF(OR(Measures!AM298="Row Not Used",Measures!C298="Controls Only",Measures!C298="Decommissioning"),"",Measures!AS298)</f>
        <v/>
      </c>
      <c r="L298" s="426" t="str">
        <f>IF(OR(Measures!AM298="Row Not Used",Measures!AM298="Decommissioning",ISBLANK(Measures!R298)),"",Measures!R298)</f>
        <v/>
      </c>
      <c r="M298" s="431" t="str">
        <f>IF(OR(Measures!AM298="Row Not Used",Measures!AM298="Fixtures Only",Measures!AM298="Decommissioning"),"",Measures!S298)</f>
        <v/>
      </c>
      <c r="N298" s="432" t="str">
        <f>IF(Measures!AM298="Row Not Used","",Measures!AF298)</f>
        <v/>
      </c>
      <c r="O298" s="426" t="str">
        <f>IF(Measures!AM298="Row Not Used","",Measures!C298)</f>
        <v/>
      </c>
      <c r="P298" s="133" t="str">
        <f t="shared" si="4"/>
        <v>No</v>
      </c>
    </row>
    <row r="299" spans="1:16" ht="75.599999999999994" customHeight="1" x14ac:dyDescent="0.3">
      <c r="A299" s="454">
        <f>Measures!A299</f>
        <v>292</v>
      </c>
      <c r="B299" s="425" t="str">
        <f>IF(Measures!AM299="Row Not Used","",IF(ISBLANK(Measures!V299),Measures!B299,_xlfn.CONCAT(Measures!B299," - ",Measures!V299)))</f>
        <v/>
      </c>
      <c r="C299" s="426" t="str">
        <f>IF(Measures!AM299="Row Not Used","",_xlfn.CONCAT(Measures!D299," - ",Measures!E299," - ",Measures!F299))</f>
        <v/>
      </c>
      <c r="D299" s="442" t="str">
        <f>IF(Measures!AM299="Row Not Used","",Measures!G299)</f>
        <v/>
      </c>
      <c r="E299" s="443" t="str">
        <f>IF(Measures!AM299="Row Not Used","",Measures!H299)</f>
        <v/>
      </c>
      <c r="F299" s="450" t="str">
        <f>IF(Measures!AM299="Row Not Used","",Measures!I299)</f>
        <v/>
      </c>
      <c r="G299" s="426" t="str">
        <f>IF(OR(Measures!AM299="Row Not Used",Measures!C299="Controls Only",Measures!C299="Decommissioning"),"",_xlfn.CONCAT(Measures!K299," - ",Measures!L299))</f>
        <v/>
      </c>
      <c r="H299" s="442" t="str">
        <f>IF(OR(Measures!AM299="Row Not Used",Measures!C299="Controls Only",Measures!C299="Decommissioning"),"",Measures!M299)</f>
        <v/>
      </c>
      <c r="I299" s="443" t="str">
        <f>IF(OR(Measures!AM299="Row Not Used",Measures!C299="Controls Only",Measures!C299="Decommissioning"),"",Measures!N299)</f>
        <v/>
      </c>
      <c r="J299" s="444" t="str">
        <f>IF(OR(Measures!AM299="Row Not Used",Measures!C299="Controls Only",Measures!C299="Decommissioning"),"",Measures!O299)</f>
        <v/>
      </c>
      <c r="K299" s="425" t="str">
        <f>IF(OR(Measures!AM299="Row Not Used",Measures!C299="Controls Only",Measures!C299="Decommissioning"),"",Measures!AS299)</f>
        <v/>
      </c>
      <c r="L299" s="426" t="str">
        <f>IF(OR(Measures!AM299="Row Not Used",Measures!AM299="Decommissioning",ISBLANK(Measures!R299)),"",Measures!R299)</f>
        <v/>
      </c>
      <c r="M299" s="431" t="str">
        <f>IF(OR(Measures!AM299="Row Not Used",Measures!AM299="Fixtures Only",Measures!AM299="Decommissioning"),"",Measures!S299)</f>
        <v/>
      </c>
      <c r="N299" s="432" t="str">
        <f>IF(Measures!AM299="Row Not Used","",Measures!AF299)</f>
        <v/>
      </c>
      <c r="O299" s="426" t="str">
        <f>IF(Measures!AM299="Row Not Used","",Measures!C299)</f>
        <v/>
      </c>
      <c r="P299" s="133" t="str">
        <f t="shared" si="4"/>
        <v>No</v>
      </c>
    </row>
    <row r="300" spans="1:16" ht="75.599999999999994" customHeight="1" x14ac:dyDescent="0.3">
      <c r="A300" s="454">
        <f>Measures!A300</f>
        <v>293</v>
      </c>
      <c r="B300" s="425" t="str">
        <f>IF(Measures!AM300="Row Not Used","",IF(ISBLANK(Measures!V300),Measures!B300,_xlfn.CONCAT(Measures!B300," - ",Measures!V300)))</f>
        <v/>
      </c>
      <c r="C300" s="426" t="str">
        <f>IF(Measures!AM300="Row Not Used","",_xlfn.CONCAT(Measures!D300," - ",Measures!E300," - ",Measures!F300))</f>
        <v/>
      </c>
      <c r="D300" s="442" t="str">
        <f>IF(Measures!AM300="Row Not Used","",Measures!G300)</f>
        <v/>
      </c>
      <c r="E300" s="443" t="str">
        <f>IF(Measures!AM300="Row Not Used","",Measures!H300)</f>
        <v/>
      </c>
      <c r="F300" s="450" t="str">
        <f>IF(Measures!AM300="Row Not Used","",Measures!I300)</f>
        <v/>
      </c>
      <c r="G300" s="426" t="str">
        <f>IF(OR(Measures!AM300="Row Not Used",Measures!C300="Controls Only",Measures!C300="Decommissioning"),"",_xlfn.CONCAT(Measures!K300," - ",Measures!L300))</f>
        <v/>
      </c>
      <c r="H300" s="442" t="str">
        <f>IF(OR(Measures!AM300="Row Not Used",Measures!C300="Controls Only",Measures!C300="Decommissioning"),"",Measures!M300)</f>
        <v/>
      </c>
      <c r="I300" s="443" t="str">
        <f>IF(OR(Measures!AM300="Row Not Used",Measures!C300="Controls Only",Measures!C300="Decommissioning"),"",Measures!N300)</f>
        <v/>
      </c>
      <c r="J300" s="444" t="str">
        <f>IF(OR(Measures!AM300="Row Not Used",Measures!C300="Controls Only",Measures!C300="Decommissioning"),"",Measures!O300)</f>
        <v/>
      </c>
      <c r="K300" s="425" t="str">
        <f>IF(OR(Measures!AM300="Row Not Used",Measures!C300="Controls Only",Measures!C300="Decommissioning"),"",Measures!AS300)</f>
        <v/>
      </c>
      <c r="L300" s="426" t="str">
        <f>IF(OR(Measures!AM300="Row Not Used",Measures!AM300="Decommissioning",ISBLANK(Measures!R300)),"",Measures!R300)</f>
        <v/>
      </c>
      <c r="M300" s="431" t="str">
        <f>IF(OR(Measures!AM300="Row Not Used",Measures!AM300="Fixtures Only",Measures!AM300="Decommissioning"),"",Measures!S300)</f>
        <v/>
      </c>
      <c r="N300" s="432" t="str">
        <f>IF(Measures!AM300="Row Not Used","",Measures!AF300)</f>
        <v/>
      </c>
      <c r="O300" s="426" t="str">
        <f>IF(Measures!AM300="Row Not Used","",Measures!C300)</f>
        <v/>
      </c>
      <c r="P300" s="133" t="str">
        <f t="shared" si="4"/>
        <v>No</v>
      </c>
    </row>
    <row r="301" spans="1:16" ht="75.599999999999994" customHeight="1" x14ac:dyDescent="0.3">
      <c r="A301" s="454">
        <f>Measures!A301</f>
        <v>294</v>
      </c>
      <c r="B301" s="425" t="str">
        <f>IF(Measures!AM301="Row Not Used","",IF(ISBLANK(Measures!V301),Measures!B301,_xlfn.CONCAT(Measures!B301," - ",Measures!V301)))</f>
        <v/>
      </c>
      <c r="C301" s="426" t="str">
        <f>IF(Measures!AM301="Row Not Used","",_xlfn.CONCAT(Measures!D301," - ",Measures!E301," - ",Measures!F301))</f>
        <v/>
      </c>
      <c r="D301" s="442" t="str">
        <f>IF(Measures!AM301="Row Not Used","",Measures!G301)</f>
        <v/>
      </c>
      <c r="E301" s="443" t="str">
        <f>IF(Measures!AM301="Row Not Used","",Measures!H301)</f>
        <v/>
      </c>
      <c r="F301" s="450" t="str">
        <f>IF(Measures!AM301="Row Not Used","",Measures!I301)</f>
        <v/>
      </c>
      <c r="G301" s="426" t="str">
        <f>IF(OR(Measures!AM301="Row Not Used",Measures!C301="Controls Only",Measures!C301="Decommissioning"),"",_xlfn.CONCAT(Measures!K301," - ",Measures!L301))</f>
        <v/>
      </c>
      <c r="H301" s="442" t="str">
        <f>IF(OR(Measures!AM301="Row Not Used",Measures!C301="Controls Only",Measures!C301="Decommissioning"),"",Measures!M301)</f>
        <v/>
      </c>
      <c r="I301" s="443" t="str">
        <f>IF(OR(Measures!AM301="Row Not Used",Measures!C301="Controls Only",Measures!C301="Decommissioning"),"",Measures!N301)</f>
        <v/>
      </c>
      <c r="J301" s="444" t="str">
        <f>IF(OR(Measures!AM301="Row Not Used",Measures!C301="Controls Only",Measures!C301="Decommissioning"),"",Measures!O301)</f>
        <v/>
      </c>
      <c r="K301" s="425" t="str">
        <f>IF(OR(Measures!AM301="Row Not Used",Measures!C301="Controls Only",Measures!C301="Decommissioning"),"",Measures!AS301)</f>
        <v/>
      </c>
      <c r="L301" s="426" t="str">
        <f>IF(OR(Measures!AM301="Row Not Used",Measures!AM301="Decommissioning",ISBLANK(Measures!R301)),"",Measures!R301)</f>
        <v/>
      </c>
      <c r="M301" s="431" t="str">
        <f>IF(OR(Measures!AM301="Row Not Used",Measures!AM301="Fixtures Only",Measures!AM301="Decommissioning"),"",Measures!S301)</f>
        <v/>
      </c>
      <c r="N301" s="432" t="str">
        <f>IF(Measures!AM301="Row Not Used","",Measures!AF301)</f>
        <v/>
      </c>
      <c r="O301" s="426" t="str">
        <f>IF(Measures!AM301="Row Not Used","",Measures!C301)</f>
        <v/>
      </c>
      <c r="P301" s="133" t="str">
        <f t="shared" si="4"/>
        <v>No</v>
      </c>
    </row>
    <row r="302" spans="1:16" ht="75.599999999999994" customHeight="1" x14ac:dyDescent="0.3">
      <c r="A302" s="454">
        <f>Measures!A302</f>
        <v>295</v>
      </c>
      <c r="B302" s="425" t="str">
        <f>IF(Measures!AM302="Row Not Used","",IF(ISBLANK(Measures!V302),Measures!B302,_xlfn.CONCAT(Measures!B302," - ",Measures!V302)))</f>
        <v/>
      </c>
      <c r="C302" s="426" t="str">
        <f>IF(Measures!AM302="Row Not Used","",_xlfn.CONCAT(Measures!D302," - ",Measures!E302," - ",Measures!F302))</f>
        <v/>
      </c>
      <c r="D302" s="442" t="str">
        <f>IF(Measures!AM302="Row Not Used","",Measures!G302)</f>
        <v/>
      </c>
      <c r="E302" s="443" t="str">
        <f>IF(Measures!AM302="Row Not Used","",Measures!H302)</f>
        <v/>
      </c>
      <c r="F302" s="450" t="str">
        <f>IF(Measures!AM302="Row Not Used","",Measures!I302)</f>
        <v/>
      </c>
      <c r="G302" s="426" t="str">
        <f>IF(OR(Measures!AM302="Row Not Used",Measures!C302="Controls Only",Measures!C302="Decommissioning"),"",_xlfn.CONCAT(Measures!K302," - ",Measures!L302))</f>
        <v/>
      </c>
      <c r="H302" s="442" t="str">
        <f>IF(OR(Measures!AM302="Row Not Used",Measures!C302="Controls Only",Measures!C302="Decommissioning"),"",Measures!M302)</f>
        <v/>
      </c>
      <c r="I302" s="443" t="str">
        <f>IF(OR(Measures!AM302="Row Not Used",Measures!C302="Controls Only",Measures!C302="Decommissioning"),"",Measures!N302)</f>
        <v/>
      </c>
      <c r="J302" s="444" t="str">
        <f>IF(OR(Measures!AM302="Row Not Used",Measures!C302="Controls Only",Measures!C302="Decommissioning"),"",Measures!O302)</f>
        <v/>
      </c>
      <c r="K302" s="425" t="str">
        <f>IF(OR(Measures!AM302="Row Not Used",Measures!C302="Controls Only",Measures!C302="Decommissioning"),"",Measures!AS302)</f>
        <v/>
      </c>
      <c r="L302" s="426" t="str">
        <f>IF(OR(Measures!AM302="Row Not Used",Measures!AM302="Decommissioning",ISBLANK(Measures!R302)),"",Measures!R302)</f>
        <v/>
      </c>
      <c r="M302" s="431" t="str">
        <f>IF(OR(Measures!AM302="Row Not Used",Measures!AM302="Fixtures Only",Measures!AM302="Decommissioning"),"",Measures!S302)</f>
        <v/>
      </c>
      <c r="N302" s="432" t="str">
        <f>IF(Measures!AM302="Row Not Used","",Measures!AF302)</f>
        <v/>
      </c>
      <c r="O302" s="426" t="str">
        <f>IF(Measures!AM302="Row Not Used","",Measures!C302)</f>
        <v/>
      </c>
      <c r="P302" s="133" t="str">
        <f t="shared" si="4"/>
        <v>No</v>
      </c>
    </row>
    <row r="303" spans="1:16" ht="75.599999999999994" customHeight="1" x14ac:dyDescent="0.3">
      <c r="A303" s="454">
        <f>Measures!A303</f>
        <v>296</v>
      </c>
      <c r="B303" s="425" t="str">
        <f>IF(Measures!AM303="Row Not Used","",IF(ISBLANK(Measures!V303),Measures!B303,_xlfn.CONCAT(Measures!B303," - ",Measures!V303)))</f>
        <v/>
      </c>
      <c r="C303" s="426" t="str">
        <f>IF(Measures!AM303="Row Not Used","",_xlfn.CONCAT(Measures!D303," - ",Measures!E303," - ",Measures!F303))</f>
        <v/>
      </c>
      <c r="D303" s="442" t="str">
        <f>IF(Measures!AM303="Row Not Used","",Measures!G303)</f>
        <v/>
      </c>
      <c r="E303" s="443" t="str">
        <f>IF(Measures!AM303="Row Not Used","",Measures!H303)</f>
        <v/>
      </c>
      <c r="F303" s="450" t="str">
        <f>IF(Measures!AM303="Row Not Used","",Measures!I303)</f>
        <v/>
      </c>
      <c r="G303" s="426" t="str">
        <f>IF(OR(Measures!AM303="Row Not Used",Measures!C303="Controls Only",Measures!C303="Decommissioning"),"",_xlfn.CONCAT(Measures!K303," - ",Measures!L303))</f>
        <v/>
      </c>
      <c r="H303" s="442" t="str">
        <f>IF(OR(Measures!AM303="Row Not Used",Measures!C303="Controls Only",Measures!C303="Decommissioning"),"",Measures!M303)</f>
        <v/>
      </c>
      <c r="I303" s="443" t="str">
        <f>IF(OR(Measures!AM303="Row Not Used",Measures!C303="Controls Only",Measures!C303="Decommissioning"),"",Measures!N303)</f>
        <v/>
      </c>
      <c r="J303" s="444" t="str">
        <f>IF(OR(Measures!AM303="Row Not Used",Measures!C303="Controls Only",Measures!C303="Decommissioning"),"",Measures!O303)</f>
        <v/>
      </c>
      <c r="K303" s="425" t="str">
        <f>IF(OR(Measures!AM303="Row Not Used",Measures!C303="Controls Only",Measures!C303="Decommissioning"),"",Measures!AS303)</f>
        <v/>
      </c>
      <c r="L303" s="426" t="str">
        <f>IF(OR(Measures!AM303="Row Not Used",Measures!AM303="Decommissioning",ISBLANK(Measures!R303)),"",Measures!R303)</f>
        <v/>
      </c>
      <c r="M303" s="431" t="str">
        <f>IF(OR(Measures!AM303="Row Not Used",Measures!AM303="Fixtures Only",Measures!AM303="Decommissioning"),"",Measures!S303)</f>
        <v/>
      </c>
      <c r="N303" s="432" t="str">
        <f>IF(Measures!AM303="Row Not Used","",Measures!AF303)</f>
        <v/>
      </c>
      <c r="O303" s="426" t="str">
        <f>IF(Measures!AM303="Row Not Used","",Measures!C303)</f>
        <v/>
      </c>
      <c r="P303" s="133" t="str">
        <f t="shared" si="4"/>
        <v>No</v>
      </c>
    </row>
    <row r="304" spans="1:16" ht="75.599999999999994" customHeight="1" x14ac:dyDescent="0.3">
      <c r="A304" s="454">
        <f>Measures!A304</f>
        <v>297</v>
      </c>
      <c r="B304" s="425" t="str">
        <f>IF(Measures!AM304="Row Not Used","",IF(ISBLANK(Measures!V304),Measures!B304,_xlfn.CONCAT(Measures!B304," - ",Measures!V304)))</f>
        <v/>
      </c>
      <c r="C304" s="426" t="str">
        <f>IF(Measures!AM304="Row Not Used","",_xlfn.CONCAT(Measures!D304," - ",Measures!E304," - ",Measures!F304))</f>
        <v/>
      </c>
      <c r="D304" s="442" t="str">
        <f>IF(Measures!AM304="Row Not Used","",Measures!G304)</f>
        <v/>
      </c>
      <c r="E304" s="443" t="str">
        <f>IF(Measures!AM304="Row Not Used","",Measures!H304)</f>
        <v/>
      </c>
      <c r="F304" s="450" t="str">
        <f>IF(Measures!AM304="Row Not Used","",Measures!I304)</f>
        <v/>
      </c>
      <c r="G304" s="426" t="str">
        <f>IF(OR(Measures!AM304="Row Not Used",Measures!C304="Controls Only",Measures!C304="Decommissioning"),"",_xlfn.CONCAT(Measures!K304," - ",Measures!L304))</f>
        <v/>
      </c>
      <c r="H304" s="442" t="str">
        <f>IF(OR(Measures!AM304="Row Not Used",Measures!C304="Controls Only",Measures!C304="Decommissioning"),"",Measures!M304)</f>
        <v/>
      </c>
      <c r="I304" s="443" t="str">
        <f>IF(OR(Measures!AM304="Row Not Used",Measures!C304="Controls Only",Measures!C304="Decommissioning"),"",Measures!N304)</f>
        <v/>
      </c>
      <c r="J304" s="444" t="str">
        <f>IF(OR(Measures!AM304="Row Not Used",Measures!C304="Controls Only",Measures!C304="Decommissioning"),"",Measures!O304)</f>
        <v/>
      </c>
      <c r="K304" s="425" t="str">
        <f>IF(OR(Measures!AM304="Row Not Used",Measures!C304="Controls Only",Measures!C304="Decommissioning"),"",Measures!AS304)</f>
        <v/>
      </c>
      <c r="L304" s="426" t="str">
        <f>IF(OR(Measures!AM304="Row Not Used",Measures!AM304="Decommissioning",ISBLANK(Measures!R304)),"",Measures!R304)</f>
        <v/>
      </c>
      <c r="M304" s="431" t="str">
        <f>IF(OR(Measures!AM304="Row Not Used",Measures!AM304="Fixtures Only",Measures!AM304="Decommissioning"),"",Measures!S304)</f>
        <v/>
      </c>
      <c r="N304" s="432" t="str">
        <f>IF(Measures!AM304="Row Not Used","",Measures!AF304)</f>
        <v/>
      </c>
      <c r="O304" s="426" t="str">
        <f>IF(Measures!AM304="Row Not Used","",Measures!C304)</f>
        <v/>
      </c>
      <c r="P304" s="133" t="str">
        <f t="shared" si="4"/>
        <v>No</v>
      </c>
    </row>
    <row r="305" spans="1:16" ht="75.599999999999994" customHeight="1" x14ac:dyDescent="0.3">
      <c r="A305" s="454">
        <f>Measures!A305</f>
        <v>298</v>
      </c>
      <c r="B305" s="425" t="str">
        <f>IF(Measures!AM305="Row Not Used","",IF(ISBLANK(Measures!V305),Measures!B305,_xlfn.CONCAT(Measures!B305," - ",Measures!V305)))</f>
        <v/>
      </c>
      <c r="C305" s="426" t="str">
        <f>IF(Measures!AM305="Row Not Used","",_xlfn.CONCAT(Measures!D305," - ",Measures!E305," - ",Measures!F305))</f>
        <v/>
      </c>
      <c r="D305" s="442" t="str">
        <f>IF(Measures!AM305="Row Not Used","",Measures!G305)</f>
        <v/>
      </c>
      <c r="E305" s="443" t="str">
        <f>IF(Measures!AM305="Row Not Used","",Measures!H305)</f>
        <v/>
      </c>
      <c r="F305" s="450" t="str">
        <f>IF(Measures!AM305="Row Not Used","",Measures!I305)</f>
        <v/>
      </c>
      <c r="G305" s="426" t="str">
        <f>IF(OR(Measures!AM305="Row Not Used",Measures!C305="Controls Only",Measures!C305="Decommissioning"),"",_xlfn.CONCAT(Measures!K305," - ",Measures!L305))</f>
        <v/>
      </c>
      <c r="H305" s="442" t="str">
        <f>IF(OR(Measures!AM305="Row Not Used",Measures!C305="Controls Only",Measures!C305="Decommissioning"),"",Measures!M305)</f>
        <v/>
      </c>
      <c r="I305" s="443" t="str">
        <f>IF(OR(Measures!AM305="Row Not Used",Measures!C305="Controls Only",Measures!C305="Decommissioning"),"",Measures!N305)</f>
        <v/>
      </c>
      <c r="J305" s="444" t="str">
        <f>IF(OR(Measures!AM305="Row Not Used",Measures!C305="Controls Only",Measures!C305="Decommissioning"),"",Measures!O305)</f>
        <v/>
      </c>
      <c r="K305" s="425" t="str">
        <f>IF(OR(Measures!AM305="Row Not Used",Measures!C305="Controls Only",Measures!C305="Decommissioning"),"",Measures!AS305)</f>
        <v/>
      </c>
      <c r="L305" s="426" t="str">
        <f>IF(OR(Measures!AM305="Row Not Used",Measures!AM305="Decommissioning",ISBLANK(Measures!R305)),"",Measures!R305)</f>
        <v/>
      </c>
      <c r="M305" s="431" t="str">
        <f>IF(OR(Measures!AM305="Row Not Used",Measures!AM305="Fixtures Only",Measures!AM305="Decommissioning"),"",Measures!S305)</f>
        <v/>
      </c>
      <c r="N305" s="432" t="str">
        <f>IF(Measures!AM305="Row Not Used","",Measures!AF305)</f>
        <v/>
      </c>
      <c r="O305" s="426" t="str">
        <f>IF(Measures!AM305="Row Not Used","",Measures!C305)</f>
        <v/>
      </c>
      <c r="P305" s="133" t="str">
        <f t="shared" si="4"/>
        <v>No</v>
      </c>
    </row>
    <row r="306" spans="1:16" ht="75.599999999999994" customHeight="1" x14ac:dyDescent="0.3">
      <c r="A306" s="454">
        <f>Measures!A306</f>
        <v>299</v>
      </c>
      <c r="B306" s="425" t="str">
        <f>IF(Measures!AM306="Row Not Used","",IF(ISBLANK(Measures!V306),Measures!B306,_xlfn.CONCAT(Measures!B306," - ",Measures!V306)))</f>
        <v/>
      </c>
      <c r="C306" s="426" t="str">
        <f>IF(Measures!AM306="Row Not Used","",_xlfn.CONCAT(Measures!D306," - ",Measures!E306," - ",Measures!F306))</f>
        <v/>
      </c>
      <c r="D306" s="442" t="str">
        <f>IF(Measures!AM306="Row Not Used","",Measures!G306)</f>
        <v/>
      </c>
      <c r="E306" s="443" t="str">
        <f>IF(Measures!AM306="Row Not Used","",Measures!H306)</f>
        <v/>
      </c>
      <c r="F306" s="450" t="str">
        <f>IF(Measures!AM306="Row Not Used","",Measures!I306)</f>
        <v/>
      </c>
      <c r="G306" s="426" t="str">
        <f>IF(OR(Measures!AM306="Row Not Used",Measures!C306="Controls Only",Measures!C306="Decommissioning"),"",_xlfn.CONCAT(Measures!K306," - ",Measures!L306))</f>
        <v/>
      </c>
      <c r="H306" s="442" t="str">
        <f>IF(OR(Measures!AM306="Row Not Used",Measures!C306="Controls Only",Measures!C306="Decommissioning"),"",Measures!M306)</f>
        <v/>
      </c>
      <c r="I306" s="443" t="str">
        <f>IF(OR(Measures!AM306="Row Not Used",Measures!C306="Controls Only",Measures!C306="Decommissioning"),"",Measures!N306)</f>
        <v/>
      </c>
      <c r="J306" s="444" t="str">
        <f>IF(OR(Measures!AM306="Row Not Used",Measures!C306="Controls Only",Measures!C306="Decommissioning"),"",Measures!O306)</f>
        <v/>
      </c>
      <c r="K306" s="425" t="str">
        <f>IF(OR(Measures!AM306="Row Not Used",Measures!C306="Controls Only",Measures!C306="Decommissioning"),"",Measures!AS306)</f>
        <v/>
      </c>
      <c r="L306" s="426" t="str">
        <f>IF(OR(Measures!AM306="Row Not Used",Measures!AM306="Decommissioning",ISBLANK(Measures!R306)),"",Measures!R306)</f>
        <v/>
      </c>
      <c r="M306" s="431" t="str">
        <f>IF(OR(Measures!AM306="Row Not Used",Measures!AM306="Fixtures Only",Measures!AM306="Decommissioning"),"",Measures!S306)</f>
        <v/>
      </c>
      <c r="N306" s="432" t="str">
        <f>IF(Measures!AM306="Row Not Used","",Measures!AF306)</f>
        <v/>
      </c>
      <c r="O306" s="426" t="str">
        <f>IF(Measures!AM306="Row Not Used","",Measures!C306)</f>
        <v/>
      </c>
      <c r="P306" s="133" t="str">
        <f t="shared" si="4"/>
        <v>No</v>
      </c>
    </row>
    <row r="307" spans="1:16" ht="75.599999999999994" customHeight="1" x14ac:dyDescent="0.3">
      <c r="A307" s="454">
        <f>Measures!A307</f>
        <v>300</v>
      </c>
      <c r="B307" s="425" t="str">
        <f>IF(Measures!AM307="Row Not Used","",IF(ISBLANK(Measures!V307),Measures!B307,_xlfn.CONCAT(Measures!B307," - ",Measures!V307)))</f>
        <v/>
      </c>
      <c r="C307" s="426" t="str">
        <f>IF(Measures!AM307="Row Not Used","",_xlfn.CONCAT(Measures!D307," - ",Measures!E307," - ",Measures!F307))</f>
        <v/>
      </c>
      <c r="D307" s="442" t="str">
        <f>IF(Measures!AM307="Row Not Used","",Measures!G307)</f>
        <v/>
      </c>
      <c r="E307" s="443" t="str">
        <f>IF(Measures!AM307="Row Not Used","",Measures!H307)</f>
        <v/>
      </c>
      <c r="F307" s="450" t="str">
        <f>IF(Measures!AM307="Row Not Used","",Measures!I307)</f>
        <v/>
      </c>
      <c r="G307" s="426" t="str">
        <f>IF(OR(Measures!AM307="Row Not Used",Measures!C307="Controls Only",Measures!C307="Decommissioning"),"",_xlfn.CONCAT(Measures!K307," - ",Measures!L307))</f>
        <v/>
      </c>
      <c r="H307" s="442" t="str">
        <f>IF(OR(Measures!AM307="Row Not Used",Measures!C307="Controls Only",Measures!C307="Decommissioning"),"",Measures!M307)</f>
        <v/>
      </c>
      <c r="I307" s="443" t="str">
        <f>IF(OR(Measures!AM307="Row Not Used",Measures!C307="Controls Only",Measures!C307="Decommissioning"),"",Measures!N307)</f>
        <v/>
      </c>
      <c r="J307" s="444" t="str">
        <f>IF(OR(Measures!AM307="Row Not Used",Measures!C307="Controls Only",Measures!C307="Decommissioning"),"",Measures!O307)</f>
        <v/>
      </c>
      <c r="K307" s="425" t="str">
        <f>IF(OR(Measures!AM307="Row Not Used",Measures!C307="Controls Only",Measures!C307="Decommissioning"),"",Measures!AS307)</f>
        <v/>
      </c>
      <c r="L307" s="426" t="str">
        <f>IF(OR(Measures!AM307="Row Not Used",Measures!AM307="Decommissioning",ISBLANK(Measures!R307)),"",Measures!R307)</f>
        <v/>
      </c>
      <c r="M307" s="431" t="str">
        <f>IF(OR(Measures!AM307="Row Not Used",Measures!AM307="Fixtures Only",Measures!AM307="Decommissioning"),"",Measures!S307)</f>
        <v/>
      </c>
      <c r="N307" s="432" t="str">
        <f>IF(Measures!AM307="Row Not Used","",Measures!AF307)</f>
        <v/>
      </c>
      <c r="O307" s="426" t="str">
        <f>IF(Measures!AM307="Row Not Used","",Measures!C307)</f>
        <v/>
      </c>
      <c r="P307" s="133" t="str">
        <f t="shared" si="4"/>
        <v>No</v>
      </c>
    </row>
    <row r="308" spans="1:16" ht="75.599999999999994" customHeight="1" x14ac:dyDescent="0.3">
      <c r="A308" s="454">
        <f>Measures!A308</f>
        <v>301</v>
      </c>
      <c r="B308" s="425" t="str">
        <f>IF(Measures!AM308="Row Not Used","",IF(ISBLANK(Measures!V308),Measures!B308,_xlfn.CONCAT(Measures!B308," - ",Measures!V308)))</f>
        <v/>
      </c>
      <c r="C308" s="426" t="str">
        <f>IF(Measures!AM308="Row Not Used","",_xlfn.CONCAT(Measures!D308," - ",Measures!E308," - ",Measures!F308))</f>
        <v/>
      </c>
      <c r="D308" s="442" t="str">
        <f>IF(Measures!AM308="Row Not Used","",Measures!G308)</f>
        <v/>
      </c>
      <c r="E308" s="443" t="str">
        <f>IF(Measures!AM308="Row Not Used","",Measures!H308)</f>
        <v/>
      </c>
      <c r="F308" s="450" t="str">
        <f>IF(Measures!AM308="Row Not Used","",Measures!I308)</f>
        <v/>
      </c>
      <c r="G308" s="426" t="str">
        <f>IF(OR(Measures!AM308="Row Not Used",Measures!C308="Controls Only",Measures!C308="Decommissioning"),"",_xlfn.CONCAT(Measures!K308," - ",Measures!L308))</f>
        <v/>
      </c>
      <c r="H308" s="442" t="str">
        <f>IF(OR(Measures!AM308="Row Not Used",Measures!C308="Controls Only",Measures!C308="Decommissioning"),"",Measures!M308)</f>
        <v/>
      </c>
      <c r="I308" s="443" t="str">
        <f>IF(OR(Measures!AM308="Row Not Used",Measures!C308="Controls Only",Measures!C308="Decommissioning"),"",Measures!N308)</f>
        <v/>
      </c>
      <c r="J308" s="444" t="str">
        <f>IF(OR(Measures!AM308="Row Not Used",Measures!C308="Controls Only",Measures!C308="Decommissioning"),"",Measures!O308)</f>
        <v/>
      </c>
      <c r="K308" s="425" t="str">
        <f>IF(OR(Measures!AM308="Row Not Used",Measures!C308="Controls Only",Measures!C308="Decommissioning"),"",Measures!AS308)</f>
        <v/>
      </c>
      <c r="L308" s="426" t="str">
        <f>IF(OR(Measures!AM308="Row Not Used",Measures!AM308="Decommissioning",ISBLANK(Measures!R308)),"",Measures!R308)</f>
        <v/>
      </c>
      <c r="M308" s="431" t="str">
        <f>IF(OR(Measures!AM308="Row Not Used",Measures!AM308="Fixtures Only",Measures!AM308="Decommissioning"),"",Measures!S308)</f>
        <v/>
      </c>
      <c r="N308" s="432" t="str">
        <f>IF(Measures!AM308="Row Not Used","",Measures!AF308)</f>
        <v/>
      </c>
      <c r="O308" s="426" t="str">
        <f>IF(Measures!AM308="Row Not Used","",Measures!C308)</f>
        <v/>
      </c>
      <c r="P308" s="133" t="str">
        <f t="shared" si="4"/>
        <v>No</v>
      </c>
    </row>
    <row r="309" spans="1:16" ht="75.599999999999994" customHeight="1" x14ac:dyDescent="0.3">
      <c r="A309" s="454">
        <f>Measures!A309</f>
        <v>302</v>
      </c>
      <c r="B309" s="425" t="str">
        <f>IF(Measures!AM309="Row Not Used","",IF(ISBLANK(Measures!V309),Measures!B309,_xlfn.CONCAT(Measures!B309," - ",Measures!V309)))</f>
        <v/>
      </c>
      <c r="C309" s="426" t="str">
        <f>IF(Measures!AM309="Row Not Used","",_xlfn.CONCAT(Measures!D309," - ",Measures!E309," - ",Measures!F309))</f>
        <v/>
      </c>
      <c r="D309" s="442" t="str">
        <f>IF(Measures!AM309="Row Not Used","",Measures!G309)</f>
        <v/>
      </c>
      <c r="E309" s="443" t="str">
        <f>IF(Measures!AM309="Row Not Used","",Measures!H309)</f>
        <v/>
      </c>
      <c r="F309" s="450" t="str">
        <f>IF(Measures!AM309="Row Not Used","",Measures!I309)</f>
        <v/>
      </c>
      <c r="G309" s="426" t="str">
        <f>IF(OR(Measures!AM309="Row Not Used",Measures!C309="Controls Only",Measures!C309="Decommissioning"),"",_xlfn.CONCAT(Measures!K309," - ",Measures!L309))</f>
        <v/>
      </c>
      <c r="H309" s="442" t="str">
        <f>IF(OR(Measures!AM309="Row Not Used",Measures!C309="Controls Only",Measures!C309="Decommissioning"),"",Measures!M309)</f>
        <v/>
      </c>
      <c r="I309" s="443" t="str">
        <f>IF(OR(Measures!AM309="Row Not Used",Measures!C309="Controls Only",Measures!C309="Decommissioning"),"",Measures!N309)</f>
        <v/>
      </c>
      <c r="J309" s="444" t="str">
        <f>IF(OR(Measures!AM309="Row Not Used",Measures!C309="Controls Only",Measures!C309="Decommissioning"),"",Measures!O309)</f>
        <v/>
      </c>
      <c r="K309" s="425" t="str">
        <f>IF(OR(Measures!AM309="Row Not Used",Measures!C309="Controls Only",Measures!C309="Decommissioning"),"",Measures!AS309)</f>
        <v/>
      </c>
      <c r="L309" s="426" t="str">
        <f>IF(OR(Measures!AM309="Row Not Used",Measures!AM309="Decommissioning",ISBLANK(Measures!R309)),"",Measures!R309)</f>
        <v/>
      </c>
      <c r="M309" s="431" t="str">
        <f>IF(OR(Measures!AM309="Row Not Used",Measures!AM309="Fixtures Only",Measures!AM309="Decommissioning"),"",Measures!S309)</f>
        <v/>
      </c>
      <c r="N309" s="432" t="str">
        <f>IF(Measures!AM309="Row Not Used","",Measures!AF309)</f>
        <v/>
      </c>
      <c r="O309" s="426" t="str">
        <f>IF(Measures!AM309="Row Not Used","",Measures!C309)</f>
        <v/>
      </c>
      <c r="P309" s="133" t="str">
        <f t="shared" si="4"/>
        <v>No</v>
      </c>
    </row>
    <row r="310" spans="1:16" ht="75.599999999999994" customHeight="1" x14ac:dyDescent="0.3">
      <c r="A310" s="454">
        <f>Measures!A310</f>
        <v>303</v>
      </c>
      <c r="B310" s="425" t="str">
        <f>IF(Measures!AM310="Row Not Used","",IF(ISBLANK(Measures!V310),Measures!B310,_xlfn.CONCAT(Measures!B310," - ",Measures!V310)))</f>
        <v/>
      </c>
      <c r="C310" s="426" t="str">
        <f>IF(Measures!AM310="Row Not Used","",_xlfn.CONCAT(Measures!D310," - ",Measures!E310," - ",Measures!F310))</f>
        <v/>
      </c>
      <c r="D310" s="442" t="str">
        <f>IF(Measures!AM310="Row Not Used","",Measures!G310)</f>
        <v/>
      </c>
      <c r="E310" s="443" t="str">
        <f>IF(Measures!AM310="Row Not Used","",Measures!H310)</f>
        <v/>
      </c>
      <c r="F310" s="450" t="str">
        <f>IF(Measures!AM310="Row Not Used","",Measures!I310)</f>
        <v/>
      </c>
      <c r="G310" s="426" t="str">
        <f>IF(OR(Measures!AM310="Row Not Used",Measures!C310="Controls Only",Measures!C310="Decommissioning"),"",_xlfn.CONCAT(Measures!K310," - ",Measures!L310))</f>
        <v/>
      </c>
      <c r="H310" s="442" t="str">
        <f>IF(OR(Measures!AM310="Row Not Used",Measures!C310="Controls Only",Measures!C310="Decommissioning"),"",Measures!M310)</f>
        <v/>
      </c>
      <c r="I310" s="443" t="str">
        <f>IF(OR(Measures!AM310="Row Not Used",Measures!C310="Controls Only",Measures!C310="Decommissioning"),"",Measures!N310)</f>
        <v/>
      </c>
      <c r="J310" s="444" t="str">
        <f>IF(OR(Measures!AM310="Row Not Used",Measures!C310="Controls Only",Measures!C310="Decommissioning"),"",Measures!O310)</f>
        <v/>
      </c>
      <c r="K310" s="425" t="str">
        <f>IF(OR(Measures!AM310="Row Not Used",Measures!C310="Controls Only",Measures!C310="Decommissioning"),"",Measures!AS310)</f>
        <v/>
      </c>
      <c r="L310" s="426" t="str">
        <f>IF(OR(Measures!AM310="Row Not Used",Measures!AM310="Decommissioning",ISBLANK(Measures!R310)),"",Measures!R310)</f>
        <v/>
      </c>
      <c r="M310" s="431" t="str">
        <f>IF(OR(Measures!AM310="Row Not Used",Measures!AM310="Fixtures Only",Measures!AM310="Decommissioning"),"",Measures!S310)</f>
        <v/>
      </c>
      <c r="N310" s="432" t="str">
        <f>IF(Measures!AM310="Row Not Used","",Measures!AF310)</f>
        <v/>
      </c>
      <c r="O310" s="426" t="str">
        <f>IF(Measures!AM310="Row Not Used","",Measures!C310)</f>
        <v/>
      </c>
      <c r="P310" s="133" t="str">
        <f t="shared" si="4"/>
        <v>No</v>
      </c>
    </row>
    <row r="311" spans="1:16" ht="75.599999999999994" customHeight="1" x14ac:dyDescent="0.3">
      <c r="A311" s="454">
        <f>Measures!A311</f>
        <v>304</v>
      </c>
      <c r="B311" s="425" t="str">
        <f>IF(Measures!AM311="Row Not Used","",IF(ISBLANK(Measures!V311),Measures!B311,_xlfn.CONCAT(Measures!B311," - ",Measures!V311)))</f>
        <v/>
      </c>
      <c r="C311" s="426" t="str">
        <f>IF(Measures!AM311="Row Not Used","",_xlfn.CONCAT(Measures!D311," - ",Measures!E311," - ",Measures!F311))</f>
        <v/>
      </c>
      <c r="D311" s="442" t="str">
        <f>IF(Measures!AM311="Row Not Used","",Measures!G311)</f>
        <v/>
      </c>
      <c r="E311" s="443" t="str">
        <f>IF(Measures!AM311="Row Not Used","",Measures!H311)</f>
        <v/>
      </c>
      <c r="F311" s="450" t="str">
        <f>IF(Measures!AM311="Row Not Used","",Measures!I311)</f>
        <v/>
      </c>
      <c r="G311" s="426" t="str">
        <f>IF(OR(Measures!AM311="Row Not Used",Measures!C311="Controls Only",Measures!C311="Decommissioning"),"",_xlfn.CONCAT(Measures!K311," - ",Measures!L311))</f>
        <v/>
      </c>
      <c r="H311" s="442" t="str">
        <f>IF(OR(Measures!AM311="Row Not Used",Measures!C311="Controls Only",Measures!C311="Decommissioning"),"",Measures!M311)</f>
        <v/>
      </c>
      <c r="I311" s="443" t="str">
        <f>IF(OR(Measures!AM311="Row Not Used",Measures!C311="Controls Only",Measures!C311="Decommissioning"),"",Measures!N311)</f>
        <v/>
      </c>
      <c r="J311" s="444" t="str">
        <f>IF(OR(Measures!AM311="Row Not Used",Measures!C311="Controls Only",Measures!C311="Decommissioning"),"",Measures!O311)</f>
        <v/>
      </c>
      <c r="K311" s="425" t="str">
        <f>IF(OR(Measures!AM311="Row Not Used",Measures!C311="Controls Only",Measures!C311="Decommissioning"),"",Measures!AS311)</f>
        <v/>
      </c>
      <c r="L311" s="426" t="str">
        <f>IF(OR(Measures!AM311="Row Not Used",Measures!AM311="Decommissioning",ISBLANK(Measures!R311)),"",Measures!R311)</f>
        <v/>
      </c>
      <c r="M311" s="431" t="str">
        <f>IF(OR(Measures!AM311="Row Not Used",Measures!AM311="Fixtures Only",Measures!AM311="Decommissioning"),"",Measures!S311)</f>
        <v/>
      </c>
      <c r="N311" s="432" t="str">
        <f>IF(Measures!AM311="Row Not Used","",Measures!AF311)</f>
        <v/>
      </c>
      <c r="O311" s="426" t="str">
        <f>IF(Measures!AM311="Row Not Used","",Measures!C311)</f>
        <v/>
      </c>
      <c r="P311" s="133" t="str">
        <f t="shared" si="4"/>
        <v>No</v>
      </c>
    </row>
    <row r="312" spans="1:16" ht="75.599999999999994" customHeight="1" x14ac:dyDescent="0.3">
      <c r="A312" s="454">
        <f>Measures!A312</f>
        <v>305</v>
      </c>
      <c r="B312" s="425" t="str">
        <f>IF(Measures!AM312="Row Not Used","",IF(ISBLANK(Measures!V312),Measures!B312,_xlfn.CONCAT(Measures!B312," - ",Measures!V312)))</f>
        <v/>
      </c>
      <c r="C312" s="426" t="str">
        <f>IF(Measures!AM312="Row Not Used","",_xlfn.CONCAT(Measures!D312," - ",Measures!E312," - ",Measures!F312))</f>
        <v/>
      </c>
      <c r="D312" s="442" t="str">
        <f>IF(Measures!AM312="Row Not Used","",Measures!G312)</f>
        <v/>
      </c>
      <c r="E312" s="443" t="str">
        <f>IF(Measures!AM312="Row Not Used","",Measures!H312)</f>
        <v/>
      </c>
      <c r="F312" s="450" t="str">
        <f>IF(Measures!AM312="Row Not Used","",Measures!I312)</f>
        <v/>
      </c>
      <c r="G312" s="426" t="str">
        <f>IF(OR(Measures!AM312="Row Not Used",Measures!C312="Controls Only",Measures!C312="Decommissioning"),"",_xlfn.CONCAT(Measures!K312," - ",Measures!L312))</f>
        <v/>
      </c>
      <c r="H312" s="442" t="str">
        <f>IF(OR(Measures!AM312="Row Not Used",Measures!C312="Controls Only",Measures!C312="Decommissioning"),"",Measures!M312)</f>
        <v/>
      </c>
      <c r="I312" s="443" t="str">
        <f>IF(OR(Measures!AM312="Row Not Used",Measures!C312="Controls Only",Measures!C312="Decommissioning"),"",Measures!N312)</f>
        <v/>
      </c>
      <c r="J312" s="444" t="str">
        <f>IF(OR(Measures!AM312="Row Not Used",Measures!C312="Controls Only",Measures!C312="Decommissioning"),"",Measures!O312)</f>
        <v/>
      </c>
      <c r="K312" s="425" t="str">
        <f>IF(OR(Measures!AM312="Row Not Used",Measures!C312="Controls Only",Measures!C312="Decommissioning"),"",Measures!AS312)</f>
        <v/>
      </c>
      <c r="L312" s="426" t="str">
        <f>IF(OR(Measures!AM312="Row Not Used",Measures!AM312="Decommissioning",ISBLANK(Measures!R312)),"",Measures!R312)</f>
        <v/>
      </c>
      <c r="M312" s="431" t="str">
        <f>IF(OR(Measures!AM312="Row Not Used",Measures!AM312="Fixtures Only",Measures!AM312="Decommissioning"),"",Measures!S312)</f>
        <v/>
      </c>
      <c r="N312" s="432" t="str">
        <f>IF(Measures!AM312="Row Not Used","",Measures!AF312)</f>
        <v/>
      </c>
      <c r="O312" s="426" t="str">
        <f>IF(Measures!AM312="Row Not Used","",Measures!C312)</f>
        <v/>
      </c>
      <c r="P312" s="133" t="str">
        <f t="shared" si="4"/>
        <v>No</v>
      </c>
    </row>
    <row r="313" spans="1:16" ht="75.599999999999994" customHeight="1" x14ac:dyDescent="0.3">
      <c r="A313" s="454">
        <f>Measures!A313</f>
        <v>306</v>
      </c>
      <c r="B313" s="425" t="str">
        <f>IF(Measures!AM313="Row Not Used","",IF(ISBLANK(Measures!V313),Measures!B313,_xlfn.CONCAT(Measures!B313," - ",Measures!V313)))</f>
        <v/>
      </c>
      <c r="C313" s="426" t="str">
        <f>IF(Measures!AM313="Row Not Used","",_xlfn.CONCAT(Measures!D313," - ",Measures!E313," - ",Measures!F313))</f>
        <v/>
      </c>
      <c r="D313" s="442" t="str">
        <f>IF(Measures!AM313="Row Not Used","",Measures!G313)</f>
        <v/>
      </c>
      <c r="E313" s="443" t="str">
        <f>IF(Measures!AM313="Row Not Used","",Measures!H313)</f>
        <v/>
      </c>
      <c r="F313" s="450" t="str">
        <f>IF(Measures!AM313="Row Not Used","",Measures!I313)</f>
        <v/>
      </c>
      <c r="G313" s="426" t="str">
        <f>IF(OR(Measures!AM313="Row Not Used",Measures!C313="Controls Only",Measures!C313="Decommissioning"),"",_xlfn.CONCAT(Measures!K313," - ",Measures!L313))</f>
        <v/>
      </c>
      <c r="H313" s="442" t="str">
        <f>IF(OR(Measures!AM313="Row Not Used",Measures!C313="Controls Only",Measures!C313="Decommissioning"),"",Measures!M313)</f>
        <v/>
      </c>
      <c r="I313" s="443" t="str">
        <f>IF(OR(Measures!AM313="Row Not Used",Measures!C313="Controls Only",Measures!C313="Decommissioning"),"",Measures!N313)</f>
        <v/>
      </c>
      <c r="J313" s="444" t="str">
        <f>IF(OR(Measures!AM313="Row Not Used",Measures!C313="Controls Only",Measures!C313="Decommissioning"),"",Measures!O313)</f>
        <v/>
      </c>
      <c r="K313" s="425" t="str">
        <f>IF(OR(Measures!AM313="Row Not Used",Measures!C313="Controls Only",Measures!C313="Decommissioning"),"",Measures!AS313)</f>
        <v/>
      </c>
      <c r="L313" s="426" t="str">
        <f>IF(OR(Measures!AM313="Row Not Used",Measures!AM313="Decommissioning",ISBLANK(Measures!R313)),"",Measures!R313)</f>
        <v/>
      </c>
      <c r="M313" s="431" t="str">
        <f>IF(OR(Measures!AM313="Row Not Used",Measures!AM313="Fixtures Only",Measures!AM313="Decommissioning"),"",Measures!S313)</f>
        <v/>
      </c>
      <c r="N313" s="432" t="str">
        <f>IF(Measures!AM313="Row Not Used","",Measures!AF313)</f>
        <v/>
      </c>
      <c r="O313" s="426" t="str">
        <f>IF(Measures!AM313="Row Not Used","",Measures!C313)</f>
        <v/>
      </c>
      <c r="P313" s="133" t="str">
        <f t="shared" si="4"/>
        <v>No</v>
      </c>
    </row>
    <row r="314" spans="1:16" ht="75.599999999999994" customHeight="1" x14ac:dyDescent="0.3">
      <c r="A314" s="454">
        <f>Measures!A314</f>
        <v>307</v>
      </c>
      <c r="B314" s="425" t="str">
        <f>IF(Measures!AM314="Row Not Used","",IF(ISBLANK(Measures!V314),Measures!B314,_xlfn.CONCAT(Measures!B314," - ",Measures!V314)))</f>
        <v/>
      </c>
      <c r="C314" s="426" t="str">
        <f>IF(Measures!AM314="Row Not Used","",_xlfn.CONCAT(Measures!D314," - ",Measures!E314," - ",Measures!F314))</f>
        <v/>
      </c>
      <c r="D314" s="442" t="str">
        <f>IF(Measures!AM314="Row Not Used","",Measures!G314)</f>
        <v/>
      </c>
      <c r="E314" s="443" t="str">
        <f>IF(Measures!AM314="Row Not Used","",Measures!H314)</f>
        <v/>
      </c>
      <c r="F314" s="450" t="str">
        <f>IF(Measures!AM314="Row Not Used","",Measures!I314)</f>
        <v/>
      </c>
      <c r="G314" s="426" t="str">
        <f>IF(OR(Measures!AM314="Row Not Used",Measures!C314="Controls Only",Measures!C314="Decommissioning"),"",_xlfn.CONCAT(Measures!K314," - ",Measures!L314))</f>
        <v/>
      </c>
      <c r="H314" s="442" t="str">
        <f>IF(OR(Measures!AM314="Row Not Used",Measures!C314="Controls Only",Measures!C314="Decommissioning"),"",Measures!M314)</f>
        <v/>
      </c>
      <c r="I314" s="443" t="str">
        <f>IF(OR(Measures!AM314="Row Not Used",Measures!C314="Controls Only",Measures!C314="Decommissioning"),"",Measures!N314)</f>
        <v/>
      </c>
      <c r="J314" s="444" t="str">
        <f>IF(OR(Measures!AM314="Row Not Used",Measures!C314="Controls Only",Measures!C314="Decommissioning"),"",Measures!O314)</f>
        <v/>
      </c>
      <c r="K314" s="425" t="str">
        <f>IF(OR(Measures!AM314="Row Not Used",Measures!C314="Controls Only",Measures!C314="Decommissioning"),"",Measures!AS314)</f>
        <v/>
      </c>
      <c r="L314" s="426" t="str">
        <f>IF(OR(Measures!AM314="Row Not Used",Measures!AM314="Decommissioning",ISBLANK(Measures!R314)),"",Measures!R314)</f>
        <v/>
      </c>
      <c r="M314" s="431" t="str">
        <f>IF(OR(Measures!AM314="Row Not Used",Measures!AM314="Fixtures Only",Measures!AM314="Decommissioning"),"",Measures!S314)</f>
        <v/>
      </c>
      <c r="N314" s="432" t="str">
        <f>IF(Measures!AM314="Row Not Used","",Measures!AF314)</f>
        <v/>
      </c>
      <c r="O314" s="426" t="str">
        <f>IF(Measures!AM314="Row Not Used","",Measures!C314)</f>
        <v/>
      </c>
      <c r="P314" s="133" t="str">
        <f t="shared" si="4"/>
        <v>No</v>
      </c>
    </row>
    <row r="315" spans="1:16" ht="75.599999999999994" customHeight="1" x14ac:dyDescent="0.3">
      <c r="A315" s="454">
        <f>Measures!A315</f>
        <v>308</v>
      </c>
      <c r="B315" s="425" t="str">
        <f>IF(Measures!AM315="Row Not Used","",IF(ISBLANK(Measures!V315),Measures!B315,_xlfn.CONCAT(Measures!B315," - ",Measures!V315)))</f>
        <v/>
      </c>
      <c r="C315" s="426" t="str">
        <f>IF(Measures!AM315="Row Not Used","",_xlfn.CONCAT(Measures!D315," - ",Measures!E315," - ",Measures!F315))</f>
        <v/>
      </c>
      <c r="D315" s="442" t="str">
        <f>IF(Measures!AM315="Row Not Used","",Measures!G315)</f>
        <v/>
      </c>
      <c r="E315" s="443" t="str">
        <f>IF(Measures!AM315="Row Not Used","",Measures!H315)</f>
        <v/>
      </c>
      <c r="F315" s="450" t="str">
        <f>IF(Measures!AM315="Row Not Used","",Measures!I315)</f>
        <v/>
      </c>
      <c r="G315" s="426" t="str">
        <f>IF(OR(Measures!AM315="Row Not Used",Measures!C315="Controls Only",Measures!C315="Decommissioning"),"",_xlfn.CONCAT(Measures!K315," - ",Measures!L315))</f>
        <v/>
      </c>
      <c r="H315" s="442" t="str">
        <f>IF(OR(Measures!AM315="Row Not Used",Measures!C315="Controls Only",Measures!C315="Decommissioning"),"",Measures!M315)</f>
        <v/>
      </c>
      <c r="I315" s="443" t="str">
        <f>IF(OR(Measures!AM315="Row Not Used",Measures!C315="Controls Only",Measures!C315="Decommissioning"),"",Measures!N315)</f>
        <v/>
      </c>
      <c r="J315" s="444" t="str">
        <f>IF(OR(Measures!AM315="Row Not Used",Measures!C315="Controls Only",Measures!C315="Decommissioning"),"",Measures!O315)</f>
        <v/>
      </c>
      <c r="K315" s="425" t="str">
        <f>IF(OR(Measures!AM315="Row Not Used",Measures!C315="Controls Only",Measures!C315="Decommissioning"),"",Measures!AS315)</f>
        <v/>
      </c>
      <c r="L315" s="426" t="str">
        <f>IF(OR(Measures!AM315="Row Not Used",Measures!AM315="Decommissioning",ISBLANK(Measures!R315)),"",Measures!R315)</f>
        <v/>
      </c>
      <c r="M315" s="431" t="str">
        <f>IF(OR(Measures!AM315="Row Not Used",Measures!AM315="Fixtures Only",Measures!AM315="Decommissioning"),"",Measures!S315)</f>
        <v/>
      </c>
      <c r="N315" s="432" t="str">
        <f>IF(Measures!AM315="Row Not Used","",Measures!AF315)</f>
        <v/>
      </c>
      <c r="O315" s="426" t="str">
        <f>IF(Measures!AM315="Row Not Used","",Measures!C315)</f>
        <v/>
      </c>
      <c r="P315" s="133" t="str">
        <f t="shared" si="4"/>
        <v>No</v>
      </c>
    </row>
    <row r="316" spans="1:16" ht="75.599999999999994" customHeight="1" x14ac:dyDescent="0.3">
      <c r="A316" s="454">
        <f>Measures!A316</f>
        <v>309</v>
      </c>
      <c r="B316" s="425" t="str">
        <f>IF(Measures!AM316="Row Not Used","",IF(ISBLANK(Measures!V316),Measures!B316,_xlfn.CONCAT(Measures!B316," - ",Measures!V316)))</f>
        <v/>
      </c>
      <c r="C316" s="426" t="str">
        <f>IF(Measures!AM316="Row Not Used","",_xlfn.CONCAT(Measures!D316," - ",Measures!E316," - ",Measures!F316))</f>
        <v/>
      </c>
      <c r="D316" s="442" t="str">
        <f>IF(Measures!AM316="Row Not Used","",Measures!G316)</f>
        <v/>
      </c>
      <c r="E316" s="443" t="str">
        <f>IF(Measures!AM316="Row Not Used","",Measures!H316)</f>
        <v/>
      </c>
      <c r="F316" s="450" t="str">
        <f>IF(Measures!AM316="Row Not Used","",Measures!I316)</f>
        <v/>
      </c>
      <c r="G316" s="426" t="str">
        <f>IF(OR(Measures!AM316="Row Not Used",Measures!C316="Controls Only",Measures!C316="Decommissioning"),"",_xlfn.CONCAT(Measures!K316," - ",Measures!L316))</f>
        <v/>
      </c>
      <c r="H316" s="442" t="str">
        <f>IF(OR(Measures!AM316="Row Not Used",Measures!C316="Controls Only",Measures!C316="Decommissioning"),"",Measures!M316)</f>
        <v/>
      </c>
      <c r="I316" s="443" t="str">
        <f>IF(OR(Measures!AM316="Row Not Used",Measures!C316="Controls Only",Measures!C316="Decommissioning"),"",Measures!N316)</f>
        <v/>
      </c>
      <c r="J316" s="444" t="str">
        <f>IF(OR(Measures!AM316="Row Not Used",Measures!C316="Controls Only",Measures!C316="Decommissioning"),"",Measures!O316)</f>
        <v/>
      </c>
      <c r="K316" s="425" t="str">
        <f>IF(OR(Measures!AM316="Row Not Used",Measures!C316="Controls Only",Measures!C316="Decommissioning"),"",Measures!AS316)</f>
        <v/>
      </c>
      <c r="L316" s="426" t="str">
        <f>IF(OR(Measures!AM316="Row Not Used",Measures!AM316="Decommissioning",ISBLANK(Measures!R316)),"",Measures!R316)</f>
        <v/>
      </c>
      <c r="M316" s="431" t="str">
        <f>IF(OR(Measures!AM316="Row Not Used",Measures!AM316="Fixtures Only",Measures!AM316="Decommissioning"),"",Measures!S316)</f>
        <v/>
      </c>
      <c r="N316" s="432" t="str">
        <f>IF(Measures!AM316="Row Not Used","",Measures!AF316)</f>
        <v/>
      </c>
      <c r="O316" s="426" t="str">
        <f>IF(Measures!AM316="Row Not Used","",Measures!C316)</f>
        <v/>
      </c>
      <c r="P316" s="133" t="str">
        <f t="shared" si="4"/>
        <v>No</v>
      </c>
    </row>
    <row r="317" spans="1:16" ht="75.599999999999994" customHeight="1" x14ac:dyDescent="0.3">
      <c r="A317" s="454">
        <f>Measures!A317</f>
        <v>310</v>
      </c>
      <c r="B317" s="425" t="str">
        <f>IF(Measures!AM317="Row Not Used","",IF(ISBLANK(Measures!V317),Measures!B317,_xlfn.CONCAT(Measures!B317," - ",Measures!V317)))</f>
        <v/>
      </c>
      <c r="C317" s="426" t="str">
        <f>IF(Measures!AM317="Row Not Used","",_xlfn.CONCAT(Measures!D317," - ",Measures!E317," - ",Measures!F317))</f>
        <v/>
      </c>
      <c r="D317" s="442" t="str">
        <f>IF(Measures!AM317="Row Not Used","",Measures!G317)</f>
        <v/>
      </c>
      <c r="E317" s="443" t="str">
        <f>IF(Measures!AM317="Row Not Used","",Measures!H317)</f>
        <v/>
      </c>
      <c r="F317" s="450" t="str">
        <f>IF(Measures!AM317="Row Not Used","",Measures!I317)</f>
        <v/>
      </c>
      <c r="G317" s="426" t="str">
        <f>IF(OR(Measures!AM317="Row Not Used",Measures!C317="Controls Only",Measures!C317="Decommissioning"),"",_xlfn.CONCAT(Measures!K317," - ",Measures!L317))</f>
        <v/>
      </c>
      <c r="H317" s="442" t="str">
        <f>IF(OR(Measures!AM317="Row Not Used",Measures!C317="Controls Only",Measures!C317="Decommissioning"),"",Measures!M317)</f>
        <v/>
      </c>
      <c r="I317" s="443" t="str">
        <f>IF(OR(Measures!AM317="Row Not Used",Measures!C317="Controls Only",Measures!C317="Decommissioning"),"",Measures!N317)</f>
        <v/>
      </c>
      <c r="J317" s="444" t="str">
        <f>IF(OR(Measures!AM317="Row Not Used",Measures!C317="Controls Only",Measures!C317="Decommissioning"),"",Measures!O317)</f>
        <v/>
      </c>
      <c r="K317" s="425" t="str">
        <f>IF(OR(Measures!AM317="Row Not Used",Measures!C317="Controls Only",Measures!C317="Decommissioning"),"",Measures!AS317)</f>
        <v/>
      </c>
      <c r="L317" s="426" t="str">
        <f>IF(OR(Measures!AM317="Row Not Used",Measures!AM317="Decommissioning",ISBLANK(Measures!R317)),"",Measures!R317)</f>
        <v/>
      </c>
      <c r="M317" s="431" t="str">
        <f>IF(OR(Measures!AM317="Row Not Used",Measures!AM317="Fixtures Only",Measures!AM317="Decommissioning"),"",Measures!S317)</f>
        <v/>
      </c>
      <c r="N317" s="432" t="str">
        <f>IF(Measures!AM317="Row Not Used","",Measures!AF317)</f>
        <v/>
      </c>
      <c r="O317" s="426" t="str">
        <f>IF(Measures!AM317="Row Not Used","",Measures!C317)</f>
        <v/>
      </c>
      <c r="P317" s="133" t="str">
        <f t="shared" si="4"/>
        <v>No</v>
      </c>
    </row>
    <row r="318" spans="1:16" ht="75.599999999999994" customHeight="1" x14ac:dyDescent="0.3">
      <c r="A318" s="454">
        <f>Measures!A318</f>
        <v>311</v>
      </c>
      <c r="B318" s="425" t="str">
        <f>IF(Measures!AM318="Row Not Used","",IF(ISBLANK(Measures!V318),Measures!B318,_xlfn.CONCAT(Measures!B318," - ",Measures!V318)))</f>
        <v/>
      </c>
      <c r="C318" s="426" t="str">
        <f>IF(Measures!AM318="Row Not Used","",_xlfn.CONCAT(Measures!D318," - ",Measures!E318," - ",Measures!F318))</f>
        <v/>
      </c>
      <c r="D318" s="442" t="str">
        <f>IF(Measures!AM318="Row Not Used","",Measures!G318)</f>
        <v/>
      </c>
      <c r="E318" s="443" t="str">
        <f>IF(Measures!AM318="Row Not Used","",Measures!H318)</f>
        <v/>
      </c>
      <c r="F318" s="450" t="str">
        <f>IF(Measures!AM318="Row Not Used","",Measures!I318)</f>
        <v/>
      </c>
      <c r="G318" s="426" t="str">
        <f>IF(OR(Measures!AM318="Row Not Used",Measures!C318="Controls Only",Measures!C318="Decommissioning"),"",_xlfn.CONCAT(Measures!K318," - ",Measures!L318))</f>
        <v/>
      </c>
      <c r="H318" s="442" t="str">
        <f>IF(OR(Measures!AM318="Row Not Used",Measures!C318="Controls Only",Measures!C318="Decommissioning"),"",Measures!M318)</f>
        <v/>
      </c>
      <c r="I318" s="443" t="str">
        <f>IF(OR(Measures!AM318="Row Not Used",Measures!C318="Controls Only",Measures!C318="Decommissioning"),"",Measures!N318)</f>
        <v/>
      </c>
      <c r="J318" s="444" t="str">
        <f>IF(OR(Measures!AM318="Row Not Used",Measures!C318="Controls Only",Measures!C318="Decommissioning"),"",Measures!O318)</f>
        <v/>
      </c>
      <c r="K318" s="425" t="str">
        <f>IF(OR(Measures!AM318="Row Not Used",Measures!C318="Controls Only",Measures!C318="Decommissioning"),"",Measures!AS318)</f>
        <v/>
      </c>
      <c r="L318" s="426" t="str">
        <f>IF(OR(Measures!AM318="Row Not Used",Measures!AM318="Decommissioning",ISBLANK(Measures!R318)),"",Measures!R318)</f>
        <v/>
      </c>
      <c r="M318" s="431" t="str">
        <f>IF(OR(Measures!AM318="Row Not Used",Measures!AM318="Fixtures Only",Measures!AM318="Decommissioning"),"",Measures!S318)</f>
        <v/>
      </c>
      <c r="N318" s="432" t="str">
        <f>IF(Measures!AM318="Row Not Used","",Measures!AF318)</f>
        <v/>
      </c>
      <c r="O318" s="426" t="str">
        <f>IF(Measures!AM318="Row Not Used","",Measures!C318)</f>
        <v/>
      </c>
      <c r="P318" s="133" t="str">
        <f t="shared" si="4"/>
        <v>No</v>
      </c>
    </row>
    <row r="319" spans="1:16" ht="75.599999999999994" customHeight="1" x14ac:dyDescent="0.3">
      <c r="A319" s="454">
        <f>Measures!A319</f>
        <v>312</v>
      </c>
      <c r="B319" s="425" t="str">
        <f>IF(Measures!AM319="Row Not Used","",IF(ISBLANK(Measures!V319),Measures!B319,_xlfn.CONCAT(Measures!B319," - ",Measures!V319)))</f>
        <v/>
      </c>
      <c r="C319" s="426" t="str">
        <f>IF(Measures!AM319="Row Not Used","",_xlfn.CONCAT(Measures!D319," - ",Measures!E319," - ",Measures!F319))</f>
        <v/>
      </c>
      <c r="D319" s="442" t="str">
        <f>IF(Measures!AM319="Row Not Used","",Measures!G319)</f>
        <v/>
      </c>
      <c r="E319" s="443" t="str">
        <f>IF(Measures!AM319="Row Not Used","",Measures!H319)</f>
        <v/>
      </c>
      <c r="F319" s="450" t="str">
        <f>IF(Measures!AM319="Row Not Used","",Measures!I319)</f>
        <v/>
      </c>
      <c r="G319" s="426" t="str">
        <f>IF(OR(Measures!AM319="Row Not Used",Measures!C319="Controls Only",Measures!C319="Decommissioning"),"",_xlfn.CONCAT(Measures!K319," - ",Measures!L319))</f>
        <v/>
      </c>
      <c r="H319" s="442" t="str">
        <f>IF(OR(Measures!AM319="Row Not Used",Measures!C319="Controls Only",Measures!C319="Decommissioning"),"",Measures!M319)</f>
        <v/>
      </c>
      <c r="I319" s="443" t="str">
        <f>IF(OR(Measures!AM319="Row Not Used",Measures!C319="Controls Only",Measures!C319="Decommissioning"),"",Measures!N319)</f>
        <v/>
      </c>
      <c r="J319" s="444" t="str">
        <f>IF(OR(Measures!AM319="Row Not Used",Measures!C319="Controls Only",Measures!C319="Decommissioning"),"",Measures!O319)</f>
        <v/>
      </c>
      <c r="K319" s="425" t="str">
        <f>IF(OR(Measures!AM319="Row Not Used",Measures!C319="Controls Only",Measures!C319="Decommissioning"),"",Measures!AS319)</f>
        <v/>
      </c>
      <c r="L319" s="426" t="str">
        <f>IF(OR(Measures!AM319="Row Not Used",Measures!AM319="Decommissioning",ISBLANK(Measures!R319)),"",Measures!R319)</f>
        <v/>
      </c>
      <c r="M319" s="431" t="str">
        <f>IF(OR(Measures!AM319="Row Not Used",Measures!AM319="Fixtures Only",Measures!AM319="Decommissioning"),"",Measures!S319)</f>
        <v/>
      </c>
      <c r="N319" s="432" t="str">
        <f>IF(Measures!AM319="Row Not Used","",Measures!AF319)</f>
        <v/>
      </c>
      <c r="O319" s="426" t="str">
        <f>IF(Measures!AM319="Row Not Used","",Measures!C319)</f>
        <v/>
      </c>
      <c r="P319" s="133" t="str">
        <f t="shared" si="4"/>
        <v>No</v>
      </c>
    </row>
    <row r="320" spans="1:16" ht="75.599999999999994" customHeight="1" x14ac:dyDescent="0.3">
      <c r="A320" s="454">
        <f>Measures!A320</f>
        <v>313</v>
      </c>
      <c r="B320" s="425" t="str">
        <f>IF(Measures!AM320="Row Not Used","",IF(ISBLANK(Measures!V320),Measures!B320,_xlfn.CONCAT(Measures!B320," - ",Measures!V320)))</f>
        <v/>
      </c>
      <c r="C320" s="426" t="str">
        <f>IF(Measures!AM320="Row Not Used","",_xlfn.CONCAT(Measures!D320," - ",Measures!E320," - ",Measures!F320))</f>
        <v/>
      </c>
      <c r="D320" s="442" t="str">
        <f>IF(Measures!AM320="Row Not Used","",Measures!G320)</f>
        <v/>
      </c>
      <c r="E320" s="443" t="str">
        <f>IF(Measures!AM320="Row Not Used","",Measures!H320)</f>
        <v/>
      </c>
      <c r="F320" s="450" t="str">
        <f>IF(Measures!AM320="Row Not Used","",Measures!I320)</f>
        <v/>
      </c>
      <c r="G320" s="426" t="str">
        <f>IF(OR(Measures!AM320="Row Not Used",Measures!C320="Controls Only",Measures!C320="Decommissioning"),"",_xlfn.CONCAT(Measures!K320," - ",Measures!L320))</f>
        <v/>
      </c>
      <c r="H320" s="442" t="str">
        <f>IF(OR(Measures!AM320="Row Not Used",Measures!C320="Controls Only",Measures!C320="Decommissioning"),"",Measures!M320)</f>
        <v/>
      </c>
      <c r="I320" s="443" t="str">
        <f>IF(OR(Measures!AM320="Row Not Used",Measures!C320="Controls Only",Measures!C320="Decommissioning"),"",Measures!N320)</f>
        <v/>
      </c>
      <c r="J320" s="444" t="str">
        <f>IF(OR(Measures!AM320="Row Not Used",Measures!C320="Controls Only",Measures!C320="Decommissioning"),"",Measures!O320)</f>
        <v/>
      </c>
      <c r="K320" s="425" t="str">
        <f>IF(OR(Measures!AM320="Row Not Used",Measures!C320="Controls Only",Measures!C320="Decommissioning"),"",Measures!AS320)</f>
        <v/>
      </c>
      <c r="L320" s="426" t="str">
        <f>IF(OR(Measures!AM320="Row Not Used",Measures!AM320="Decommissioning",ISBLANK(Measures!R320)),"",Measures!R320)</f>
        <v/>
      </c>
      <c r="M320" s="431" t="str">
        <f>IF(OR(Measures!AM320="Row Not Used",Measures!AM320="Fixtures Only",Measures!AM320="Decommissioning"),"",Measures!S320)</f>
        <v/>
      </c>
      <c r="N320" s="432" t="str">
        <f>IF(Measures!AM320="Row Not Used","",Measures!AF320)</f>
        <v/>
      </c>
      <c r="O320" s="426" t="str">
        <f>IF(Measures!AM320="Row Not Used","",Measures!C320)</f>
        <v/>
      </c>
      <c r="P320" s="133" t="str">
        <f t="shared" si="4"/>
        <v>No</v>
      </c>
    </row>
    <row r="321" spans="1:16" ht="75.599999999999994" customHeight="1" x14ac:dyDescent="0.3">
      <c r="A321" s="454">
        <f>Measures!A321</f>
        <v>314</v>
      </c>
      <c r="B321" s="425" t="str">
        <f>IF(Measures!AM321="Row Not Used","",IF(ISBLANK(Measures!V321),Measures!B321,_xlfn.CONCAT(Measures!B321," - ",Measures!V321)))</f>
        <v/>
      </c>
      <c r="C321" s="426" t="str">
        <f>IF(Measures!AM321="Row Not Used","",_xlfn.CONCAT(Measures!D321," - ",Measures!E321," - ",Measures!F321))</f>
        <v/>
      </c>
      <c r="D321" s="442" t="str">
        <f>IF(Measures!AM321="Row Not Used","",Measures!G321)</f>
        <v/>
      </c>
      <c r="E321" s="443" t="str">
        <f>IF(Measures!AM321="Row Not Used","",Measures!H321)</f>
        <v/>
      </c>
      <c r="F321" s="450" t="str">
        <f>IF(Measures!AM321="Row Not Used","",Measures!I321)</f>
        <v/>
      </c>
      <c r="G321" s="426" t="str">
        <f>IF(OR(Measures!AM321="Row Not Used",Measures!C321="Controls Only",Measures!C321="Decommissioning"),"",_xlfn.CONCAT(Measures!K321," - ",Measures!L321))</f>
        <v/>
      </c>
      <c r="H321" s="442" t="str">
        <f>IF(OR(Measures!AM321="Row Not Used",Measures!C321="Controls Only",Measures!C321="Decommissioning"),"",Measures!M321)</f>
        <v/>
      </c>
      <c r="I321" s="443" t="str">
        <f>IF(OR(Measures!AM321="Row Not Used",Measures!C321="Controls Only",Measures!C321="Decommissioning"),"",Measures!N321)</f>
        <v/>
      </c>
      <c r="J321" s="444" t="str">
        <f>IF(OR(Measures!AM321="Row Not Used",Measures!C321="Controls Only",Measures!C321="Decommissioning"),"",Measures!O321)</f>
        <v/>
      </c>
      <c r="K321" s="425" t="str">
        <f>IF(OR(Measures!AM321="Row Not Used",Measures!C321="Controls Only",Measures!C321="Decommissioning"),"",Measures!AS321)</f>
        <v/>
      </c>
      <c r="L321" s="426" t="str">
        <f>IF(OR(Measures!AM321="Row Not Used",Measures!AM321="Decommissioning",ISBLANK(Measures!R321)),"",Measures!R321)</f>
        <v/>
      </c>
      <c r="M321" s="431" t="str">
        <f>IF(OR(Measures!AM321="Row Not Used",Measures!AM321="Fixtures Only",Measures!AM321="Decommissioning"),"",Measures!S321)</f>
        <v/>
      </c>
      <c r="N321" s="432" t="str">
        <f>IF(Measures!AM321="Row Not Used","",Measures!AF321)</f>
        <v/>
      </c>
      <c r="O321" s="426" t="str">
        <f>IF(Measures!AM321="Row Not Used","",Measures!C321)</f>
        <v/>
      </c>
      <c r="P321" s="133" t="str">
        <f t="shared" si="4"/>
        <v>No</v>
      </c>
    </row>
    <row r="322" spans="1:16" ht="75.599999999999994" customHeight="1" x14ac:dyDescent="0.3">
      <c r="A322" s="454">
        <f>Measures!A322</f>
        <v>315</v>
      </c>
      <c r="B322" s="425" t="str">
        <f>IF(Measures!AM322="Row Not Used","",IF(ISBLANK(Measures!V322),Measures!B322,_xlfn.CONCAT(Measures!B322," - ",Measures!V322)))</f>
        <v/>
      </c>
      <c r="C322" s="426" t="str">
        <f>IF(Measures!AM322="Row Not Used","",_xlfn.CONCAT(Measures!D322," - ",Measures!E322," - ",Measures!F322))</f>
        <v/>
      </c>
      <c r="D322" s="442" t="str">
        <f>IF(Measures!AM322="Row Not Used","",Measures!G322)</f>
        <v/>
      </c>
      <c r="E322" s="443" t="str">
        <f>IF(Measures!AM322="Row Not Used","",Measures!H322)</f>
        <v/>
      </c>
      <c r="F322" s="450" t="str">
        <f>IF(Measures!AM322="Row Not Used","",Measures!I322)</f>
        <v/>
      </c>
      <c r="G322" s="426" t="str">
        <f>IF(OR(Measures!AM322="Row Not Used",Measures!C322="Controls Only",Measures!C322="Decommissioning"),"",_xlfn.CONCAT(Measures!K322," - ",Measures!L322))</f>
        <v/>
      </c>
      <c r="H322" s="442" t="str">
        <f>IF(OR(Measures!AM322="Row Not Used",Measures!C322="Controls Only",Measures!C322="Decommissioning"),"",Measures!M322)</f>
        <v/>
      </c>
      <c r="I322" s="443" t="str">
        <f>IF(OR(Measures!AM322="Row Not Used",Measures!C322="Controls Only",Measures!C322="Decommissioning"),"",Measures!N322)</f>
        <v/>
      </c>
      <c r="J322" s="444" t="str">
        <f>IF(OR(Measures!AM322="Row Not Used",Measures!C322="Controls Only",Measures!C322="Decommissioning"),"",Measures!O322)</f>
        <v/>
      </c>
      <c r="K322" s="425" t="str">
        <f>IF(OR(Measures!AM322="Row Not Used",Measures!C322="Controls Only",Measures!C322="Decommissioning"),"",Measures!AS322)</f>
        <v/>
      </c>
      <c r="L322" s="426" t="str">
        <f>IF(OR(Measures!AM322="Row Not Used",Measures!AM322="Decommissioning",ISBLANK(Measures!R322)),"",Measures!R322)</f>
        <v/>
      </c>
      <c r="M322" s="431" t="str">
        <f>IF(OR(Measures!AM322="Row Not Used",Measures!AM322="Fixtures Only",Measures!AM322="Decommissioning"),"",Measures!S322)</f>
        <v/>
      </c>
      <c r="N322" s="432" t="str">
        <f>IF(Measures!AM322="Row Not Used","",Measures!AF322)</f>
        <v/>
      </c>
      <c r="O322" s="426" t="str">
        <f>IF(Measures!AM322="Row Not Used","",Measures!C322)</f>
        <v/>
      </c>
      <c r="P322" s="133" t="str">
        <f t="shared" si="4"/>
        <v>No</v>
      </c>
    </row>
    <row r="323" spans="1:16" ht="75.599999999999994" customHeight="1" x14ac:dyDescent="0.3">
      <c r="A323" s="454">
        <f>Measures!A323</f>
        <v>316</v>
      </c>
      <c r="B323" s="425" t="str">
        <f>IF(Measures!AM323="Row Not Used","",IF(ISBLANK(Measures!V323),Measures!B323,_xlfn.CONCAT(Measures!B323," - ",Measures!V323)))</f>
        <v/>
      </c>
      <c r="C323" s="426" t="str">
        <f>IF(Measures!AM323="Row Not Used","",_xlfn.CONCAT(Measures!D323," - ",Measures!E323," - ",Measures!F323))</f>
        <v/>
      </c>
      <c r="D323" s="442" t="str">
        <f>IF(Measures!AM323="Row Not Used","",Measures!G323)</f>
        <v/>
      </c>
      <c r="E323" s="443" t="str">
        <f>IF(Measures!AM323="Row Not Used","",Measures!H323)</f>
        <v/>
      </c>
      <c r="F323" s="450" t="str">
        <f>IF(Measures!AM323="Row Not Used","",Measures!I323)</f>
        <v/>
      </c>
      <c r="G323" s="426" t="str">
        <f>IF(OR(Measures!AM323="Row Not Used",Measures!C323="Controls Only",Measures!C323="Decommissioning"),"",_xlfn.CONCAT(Measures!K323," - ",Measures!L323))</f>
        <v/>
      </c>
      <c r="H323" s="442" t="str">
        <f>IF(OR(Measures!AM323="Row Not Used",Measures!C323="Controls Only",Measures!C323="Decommissioning"),"",Measures!M323)</f>
        <v/>
      </c>
      <c r="I323" s="443" t="str">
        <f>IF(OR(Measures!AM323="Row Not Used",Measures!C323="Controls Only",Measures!C323="Decommissioning"),"",Measures!N323)</f>
        <v/>
      </c>
      <c r="J323" s="444" t="str">
        <f>IF(OR(Measures!AM323="Row Not Used",Measures!C323="Controls Only",Measures!C323="Decommissioning"),"",Measures!O323)</f>
        <v/>
      </c>
      <c r="K323" s="425" t="str">
        <f>IF(OR(Measures!AM323="Row Not Used",Measures!C323="Controls Only",Measures!C323="Decommissioning"),"",Measures!AS323)</f>
        <v/>
      </c>
      <c r="L323" s="426" t="str">
        <f>IF(OR(Measures!AM323="Row Not Used",Measures!AM323="Decommissioning",ISBLANK(Measures!R323)),"",Measures!R323)</f>
        <v/>
      </c>
      <c r="M323" s="431" t="str">
        <f>IF(OR(Measures!AM323="Row Not Used",Measures!AM323="Fixtures Only",Measures!AM323="Decommissioning"),"",Measures!S323)</f>
        <v/>
      </c>
      <c r="N323" s="432" t="str">
        <f>IF(Measures!AM323="Row Not Used","",Measures!AF323)</f>
        <v/>
      </c>
      <c r="O323" s="426" t="str">
        <f>IF(Measures!AM323="Row Not Used","",Measures!C323)</f>
        <v/>
      </c>
      <c r="P323" s="133" t="str">
        <f t="shared" si="4"/>
        <v>No</v>
      </c>
    </row>
    <row r="324" spans="1:16" ht="75.599999999999994" customHeight="1" x14ac:dyDescent="0.3">
      <c r="A324" s="454">
        <f>Measures!A324</f>
        <v>317</v>
      </c>
      <c r="B324" s="425" t="str">
        <f>IF(Measures!AM324="Row Not Used","",IF(ISBLANK(Measures!V324),Measures!B324,_xlfn.CONCAT(Measures!B324," - ",Measures!V324)))</f>
        <v/>
      </c>
      <c r="C324" s="426" t="str">
        <f>IF(Measures!AM324="Row Not Used","",_xlfn.CONCAT(Measures!D324," - ",Measures!E324," - ",Measures!F324))</f>
        <v/>
      </c>
      <c r="D324" s="442" t="str">
        <f>IF(Measures!AM324="Row Not Used","",Measures!G324)</f>
        <v/>
      </c>
      <c r="E324" s="443" t="str">
        <f>IF(Measures!AM324="Row Not Used","",Measures!H324)</f>
        <v/>
      </c>
      <c r="F324" s="450" t="str">
        <f>IF(Measures!AM324="Row Not Used","",Measures!I324)</f>
        <v/>
      </c>
      <c r="G324" s="426" t="str">
        <f>IF(OR(Measures!AM324="Row Not Used",Measures!C324="Controls Only",Measures!C324="Decommissioning"),"",_xlfn.CONCAT(Measures!K324," - ",Measures!L324))</f>
        <v/>
      </c>
      <c r="H324" s="442" t="str">
        <f>IF(OR(Measures!AM324="Row Not Used",Measures!C324="Controls Only",Measures!C324="Decommissioning"),"",Measures!M324)</f>
        <v/>
      </c>
      <c r="I324" s="443" t="str">
        <f>IF(OR(Measures!AM324="Row Not Used",Measures!C324="Controls Only",Measures!C324="Decommissioning"),"",Measures!N324)</f>
        <v/>
      </c>
      <c r="J324" s="444" t="str">
        <f>IF(OR(Measures!AM324="Row Not Used",Measures!C324="Controls Only",Measures!C324="Decommissioning"),"",Measures!O324)</f>
        <v/>
      </c>
      <c r="K324" s="425" t="str">
        <f>IF(OR(Measures!AM324="Row Not Used",Measures!C324="Controls Only",Measures!C324="Decommissioning"),"",Measures!AS324)</f>
        <v/>
      </c>
      <c r="L324" s="426" t="str">
        <f>IF(OR(Measures!AM324="Row Not Used",Measures!AM324="Decommissioning",ISBLANK(Measures!R324)),"",Measures!R324)</f>
        <v/>
      </c>
      <c r="M324" s="431" t="str">
        <f>IF(OR(Measures!AM324="Row Not Used",Measures!AM324="Fixtures Only",Measures!AM324="Decommissioning"),"",Measures!S324)</f>
        <v/>
      </c>
      <c r="N324" s="432" t="str">
        <f>IF(Measures!AM324="Row Not Used","",Measures!AF324)</f>
        <v/>
      </c>
      <c r="O324" s="426" t="str">
        <f>IF(Measures!AM324="Row Not Used","",Measures!C324)</f>
        <v/>
      </c>
      <c r="P324" s="133" t="str">
        <f t="shared" si="4"/>
        <v>No</v>
      </c>
    </row>
    <row r="325" spans="1:16" ht="75.599999999999994" customHeight="1" x14ac:dyDescent="0.3">
      <c r="A325" s="454">
        <f>Measures!A325</f>
        <v>318</v>
      </c>
      <c r="B325" s="425" t="str">
        <f>IF(Measures!AM325="Row Not Used","",IF(ISBLANK(Measures!V325),Measures!B325,_xlfn.CONCAT(Measures!B325," - ",Measures!V325)))</f>
        <v/>
      </c>
      <c r="C325" s="426" t="str">
        <f>IF(Measures!AM325="Row Not Used","",_xlfn.CONCAT(Measures!D325," - ",Measures!E325," - ",Measures!F325))</f>
        <v/>
      </c>
      <c r="D325" s="442" t="str">
        <f>IF(Measures!AM325="Row Not Used","",Measures!G325)</f>
        <v/>
      </c>
      <c r="E325" s="443" t="str">
        <f>IF(Measures!AM325="Row Not Used","",Measures!H325)</f>
        <v/>
      </c>
      <c r="F325" s="450" t="str">
        <f>IF(Measures!AM325="Row Not Used","",Measures!I325)</f>
        <v/>
      </c>
      <c r="G325" s="426" t="str">
        <f>IF(OR(Measures!AM325="Row Not Used",Measures!C325="Controls Only",Measures!C325="Decommissioning"),"",_xlfn.CONCAT(Measures!K325," - ",Measures!L325))</f>
        <v/>
      </c>
      <c r="H325" s="442" t="str">
        <f>IF(OR(Measures!AM325="Row Not Used",Measures!C325="Controls Only",Measures!C325="Decommissioning"),"",Measures!M325)</f>
        <v/>
      </c>
      <c r="I325" s="443" t="str">
        <f>IF(OR(Measures!AM325="Row Not Used",Measures!C325="Controls Only",Measures!C325="Decommissioning"),"",Measures!N325)</f>
        <v/>
      </c>
      <c r="J325" s="444" t="str">
        <f>IF(OR(Measures!AM325="Row Not Used",Measures!C325="Controls Only",Measures!C325="Decommissioning"),"",Measures!O325)</f>
        <v/>
      </c>
      <c r="K325" s="425" t="str">
        <f>IF(OR(Measures!AM325="Row Not Used",Measures!C325="Controls Only",Measures!C325="Decommissioning"),"",Measures!AS325)</f>
        <v/>
      </c>
      <c r="L325" s="426" t="str">
        <f>IF(OR(Measures!AM325="Row Not Used",Measures!AM325="Decommissioning",ISBLANK(Measures!R325)),"",Measures!R325)</f>
        <v/>
      </c>
      <c r="M325" s="431" t="str">
        <f>IF(OR(Measures!AM325="Row Not Used",Measures!AM325="Fixtures Only",Measures!AM325="Decommissioning"),"",Measures!S325)</f>
        <v/>
      </c>
      <c r="N325" s="432" t="str">
        <f>IF(Measures!AM325="Row Not Used","",Measures!AF325)</f>
        <v/>
      </c>
      <c r="O325" s="426" t="str">
        <f>IF(Measures!AM325="Row Not Used","",Measures!C325)</f>
        <v/>
      </c>
      <c r="P325" s="133" t="str">
        <f t="shared" si="4"/>
        <v>No</v>
      </c>
    </row>
    <row r="326" spans="1:16" ht="75.599999999999994" customHeight="1" x14ac:dyDescent="0.3">
      <c r="A326" s="454">
        <f>Measures!A326</f>
        <v>319</v>
      </c>
      <c r="B326" s="425" t="str">
        <f>IF(Measures!AM326="Row Not Used","",IF(ISBLANK(Measures!V326),Measures!B326,_xlfn.CONCAT(Measures!B326," - ",Measures!V326)))</f>
        <v/>
      </c>
      <c r="C326" s="426" t="str">
        <f>IF(Measures!AM326="Row Not Used","",_xlfn.CONCAT(Measures!D326," - ",Measures!E326," - ",Measures!F326))</f>
        <v/>
      </c>
      <c r="D326" s="442" t="str">
        <f>IF(Measures!AM326="Row Not Used","",Measures!G326)</f>
        <v/>
      </c>
      <c r="E326" s="443" t="str">
        <f>IF(Measures!AM326="Row Not Used","",Measures!H326)</f>
        <v/>
      </c>
      <c r="F326" s="450" t="str">
        <f>IF(Measures!AM326="Row Not Used","",Measures!I326)</f>
        <v/>
      </c>
      <c r="G326" s="426" t="str">
        <f>IF(OR(Measures!AM326="Row Not Used",Measures!C326="Controls Only",Measures!C326="Decommissioning"),"",_xlfn.CONCAT(Measures!K326," - ",Measures!L326))</f>
        <v/>
      </c>
      <c r="H326" s="442" t="str">
        <f>IF(OR(Measures!AM326="Row Not Used",Measures!C326="Controls Only",Measures!C326="Decommissioning"),"",Measures!M326)</f>
        <v/>
      </c>
      <c r="I326" s="443" t="str">
        <f>IF(OR(Measures!AM326="Row Not Used",Measures!C326="Controls Only",Measures!C326="Decommissioning"),"",Measures!N326)</f>
        <v/>
      </c>
      <c r="J326" s="444" t="str">
        <f>IF(OR(Measures!AM326="Row Not Used",Measures!C326="Controls Only",Measures!C326="Decommissioning"),"",Measures!O326)</f>
        <v/>
      </c>
      <c r="K326" s="425" t="str">
        <f>IF(OR(Measures!AM326="Row Not Used",Measures!C326="Controls Only",Measures!C326="Decommissioning"),"",Measures!AS326)</f>
        <v/>
      </c>
      <c r="L326" s="426" t="str">
        <f>IF(OR(Measures!AM326="Row Not Used",Measures!AM326="Decommissioning",ISBLANK(Measures!R326)),"",Measures!R326)</f>
        <v/>
      </c>
      <c r="M326" s="431" t="str">
        <f>IF(OR(Measures!AM326="Row Not Used",Measures!AM326="Fixtures Only",Measures!AM326="Decommissioning"),"",Measures!S326)</f>
        <v/>
      </c>
      <c r="N326" s="432" t="str">
        <f>IF(Measures!AM326="Row Not Used","",Measures!AF326)</f>
        <v/>
      </c>
      <c r="O326" s="426" t="str">
        <f>IF(Measures!AM326="Row Not Used","",Measures!C326)</f>
        <v/>
      </c>
      <c r="P326" s="133" t="str">
        <f t="shared" si="4"/>
        <v>No</v>
      </c>
    </row>
    <row r="327" spans="1:16" ht="75.599999999999994" customHeight="1" x14ac:dyDescent="0.3">
      <c r="A327" s="454">
        <f>Measures!A327</f>
        <v>320</v>
      </c>
      <c r="B327" s="425" t="str">
        <f>IF(Measures!AM327="Row Not Used","",IF(ISBLANK(Measures!V327),Measures!B327,_xlfn.CONCAT(Measures!B327," - ",Measures!V327)))</f>
        <v/>
      </c>
      <c r="C327" s="426" t="str">
        <f>IF(Measures!AM327="Row Not Used","",_xlfn.CONCAT(Measures!D327," - ",Measures!E327," - ",Measures!F327))</f>
        <v/>
      </c>
      <c r="D327" s="442" t="str">
        <f>IF(Measures!AM327="Row Not Used","",Measures!G327)</f>
        <v/>
      </c>
      <c r="E327" s="443" t="str">
        <f>IF(Measures!AM327="Row Not Used","",Measures!H327)</f>
        <v/>
      </c>
      <c r="F327" s="450" t="str">
        <f>IF(Measures!AM327="Row Not Used","",Measures!I327)</f>
        <v/>
      </c>
      <c r="G327" s="426" t="str">
        <f>IF(OR(Measures!AM327="Row Not Used",Measures!C327="Controls Only",Measures!C327="Decommissioning"),"",_xlfn.CONCAT(Measures!K327," - ",Measures!L327))</f>
        <v/>
      </c>
      <c r="H327" s="442" t="str">
        <f>IF(OR(Measures!AM327="Row Not Used",Measures!C327="Controls Only",Measures!C327="Decommissioning"),"",Measures!M327)</f>
        <v/>
      </c>
      <c r="I327" s="443" t="str">
        <f>IF(OR(Measures!AM327="Row Not Used",Measures!C327="Controls Only",Measures!C327="Decommissioning"),"",Measures!N327)</f>
        <v/>
      </c>
      <c r="J327" s="444" t="str">
        <f>IF(OR(Measures!AM327="Row Not Used",Measures!C327="Controls Only",Measures!C327="Decommissioning"),"",Measures!O327)</f>
        <v/>
      </c>
      <c r="K327" s="425" t="str">
        <f>IF(OR(Measures!AM327="Row Not Used",Measures!C327="Controls Only",Measures!C327="Decommissioning"),"",Measures!AS327)</f>
        <v/>
      </c>
      <c r="L327" s="426" t="str">
        <f>IF(OR(Measures!AM327="Row Not Used",Measures!AM327="Decommissioning",ISBLANK(Measures!R327)),"",Measures!R327)</f>
        <v/>
      </c>
      <c r="M327" s="431" t="str">
        <f>IF(OR(Measures!AM327="Row Not Used",Measures!AM327="Fixtures Only",Measures!AM327="Decommissioning"),"",Measures!S327)</f>
        <v/>
      </c>
      <c r="N327" s="432" t="str">
        <f>IF(Measures!AM327="Row Not Used","",Measures!AF327)</f>
        <v/>
      </c>
      <c r="O327" s="426" t="str">
        <f>IF(Measures!AM327="Row Not Used","",Measures!C327)</f>
        <v/>
      </c>
      <c r="P327" s="133" t="str">
        <f t="shared" si="4"/>
        <v>No</v>
      </c>
    </row>
    <row r="328" spans="1:16" ht="75.599999999999994" customHeight="1" x14ac:dyDescent="0.3">
      <c r="A328" s="454">
        <f>Measures!A328</f>
        <v>321</v>
      </c>
      <c r="B328" s="425" t="str">
        <f>IF(Measures!AM328="Row Not Used","",IF(ISBLANK(Measures!V328),Measures!B328,_xlfn.CONCAT(Measures!B328," - ",Measures!V328)))</f>
        <v/>
      </c>
      <c r="C328" s="426" t="str">
        <f>IF(Measures!AM328="Row Not Used","",_xlfn.CONCAT(Measures!D328," - ",Measures!E328," - ",Measures!F328))</f>
        <v/>
      </c>
      <c r="D328" s="442" t="str">
        <f>IF(Measures!AM328="Row Not Used","",Measures!G328)</f>
        <v/>
      </c>
      <c r="E328" s="443" t="str">
        <f>IF(Measures!AM328="Row Not Used","",Measures!H328)</f>
        <v/>
      </c>
      <c r="F328" s="450" t="str">
        <f>IF(Measures!AM328="Row Not Used","",Measures!I328)</f>
        <v/>
      </c>
      <c r="G328" s="426" t="str">
        <f>IF(OR(Measures!AM328="Row Not Used",Measures!C328="Controls Only",Measures!C328="Decommissioning"),"",_xlfn.CONCAT(Measures!K328," - ",Measures!L328))</f>
        <v/>
      </c>
      <c r="H328" s="442" t="str">
        <f>IF(OR(Measures!AM328="Row Not Used",Measures!C328="Controls Only",Measures!C328="Decommissioning"),"",Measures!M328)</f>
        <v/>
      </c>
      <c r="I328" s="443" t="str">
        <f>IF(OR(Measures!AM328="Row Not Used",Measures!C328="Controls Only",Measures!C328="Decommissioning"),"",Measures!N328)</f>
        <v/>
      </c>
      <c r="J328" s="444" t="str">
        <f>IF(OR(Measures!AM328="Row Not Used",Measures!C328="Controls Only",Measures!C328="Decommissioning"),"",Measures!O328)</f>
        <v/>
      </c>
      <c r="K328" s="425" t="str">
        <f>IF(OR(Measures!AM328="Row Not Used",Measures!C328="Controls Only",Measures!C328="Decommissioning"),"",Measures!AS328)</f>
        <v/>
      </c>
      <c r="L328" s="426" t="str">
        <f>IF(OR(Measures!AM328="Row Not Used",Measures!AM328="Decommissioning",ISBLANK(Measures!R328)),"",Measures!R328)</f>
        <v/>
      </c>
      <c r="M328" s="431" t="str">
        <f>IF(OR(Measures!AM328="Row Not Used",Measures!AM328="Fixtures Only",Measures!AM328="Decommissioning"),"",Measures!S328)</f>
        <v/>
      </c>
      <c r="N328" s="432" t="str">
        <f>IF(Measures!AM328="Row Not Used","",Measures!AF328)</f>
        <v/>
      </c>
      <c r="O328" s="426" t="str">
        <f>IF(Measures!AM328="Row Not Used","",Measures!C328)</f>
        <v/>
      </c>
      <c r="P328" s="133" t="str">
        <f t="shared" si="4"/>
        <v>No</v>
      </c>
    </row>
    <row r="329" spans="1:16" ht="75.599999999999994" customHeight="1" x14ac:dyDescent="0.3">
      <c r="A329" s="454">
        <f>Measures!A329</f>
        <v>322</v>
      </c>
      <c r="B329" s="425" t="str">
        <f>IF(Measures!AM329="Row Not Used","",IF(ISBLANK(Measures!V329),Measures!B329,_xlfn.CONCAT(Measures!B329," - ",Measures!V329)))</f>
        <v/>
      </c>
      <c r="C329" s="426" t="str">
        <f>IF(Measures!AM329="Row Not Used","",_xlfn.CONCAT(Measures!D329," - ",Measures!E329," - ",Measures!F329))</f>
        <v/>
      </c>
      <c r="D329" s="442" t="str">
        <f>IF(Measures!AM329="Row Not Used","",Measures!G329)</f>
        <v/>
      </c>
      <c r="E329" s="443" t="str">
        <f>IF(Measures!AM329="Row Not Used","",Measures!H329)</f>
        <v/>
      </c>
      <c r="F329" s="450" t="str">
        <f>IF(Measures!AM329="Row Not Used","",Measures!I329)</f>
        <v/>
      </c>
      <c r="G329" s="426" t="str">
        <f>IF(OR(Measures!AM329="Row Not Used",Measures!C329="Controls Only",Measures!C329="Decommissioning"),"",_xlfn.CONCAT(Measures!K329," - ",Measures!L329))</f>
        <v/>
      </c>
      <c r="H329" s="442" t="str">
        <f>IF(OR(Measures!AM329="Row Not Used",Measures!C329="Controls Only",Measures!C329="Decommissioning"),"",Measures!M329)</f>
        <v/>
      </c>
      <c r="I329" s="443" t="str">
        <f>IF(OR(Measures!AM329="Row Not Used",Measures!C329="Controls Only",Measures!C329="Decommissioning"),"",Measures!N329)</f>
        <v/>
      </c>
      <c r="J329" s="444" t="str">
        <f>IF(OR(Measures!AM329="Row Not Used",Measures!C329="Controls Only",Measures!C329="Decommissioning"),"",Measures!O329)</f>
        <v/>
      </c>
      <c r="K329" s="425" t="str">
        <f>IF(OR(Measures!AM329="Row Not Used",Measures!C329="Controls Only",Measures!C329="Decommissioning"),"",Measures!AS329)</f>
        <v/>
      </c>
      <c r="L329" s="426" t="str">
        <f>IF(OR(Measures!AM329="Row Not Used",Measures!AM329="Decommissioning",ISBLANK(Measures!R329)),"",Measures!R329)</f>
        <v/>
      </c>
      <c r="M329" s="431" t="str">
        <f>IF(OR(Measures!AM329="Row Not Used",Measures!AM329="Fixtures Only",Measures!AM329="Decommissioning"),"",Measures!S329)</f>
        <v/>
      </c>
      <c r="N329" s="432" t="str">
        <f>IF(Measures!AM329="Row Not Used","",Measures!AF329)</f>
        <v/>
      </c>
      <c r="O329" s="426" t="str">
        <f>IF(Measures!AM329="Row Not Used","",Measures!C329)</f>
        <v/>
      </c>
      <c r="P329" s="133" t="str">
        <f t="shared" ref="P329:P392" si="5">IF(LEN(B329)&gt;0,"Yes","No")</f>
        <v>No</v>
      </c>
    </row>
    <row r="330" spans="1:16" ht="75.599999999999994" customHeight="1" x14ac:dyDescent="0.3">
      <c r="A330" s="454">
        <f>Measures!A330</f>
        <v>323</v>
      </c>
      <c r="B330" s="425" t="str">
        <f>IF(Measures!AM330="Row Not Used","",IF(ISBLANK(Measures!V330),Measures!B330,_xlfn.CONCAT(Measures!B330," - ",Measures!V330)))</f>
        <v/>
      </c>
      <c r="C330" s="426" t="str">
        <f>IF(Measures!AM330="Row Not Used","",_xlfn.CONCAT(Measures!D330," - ",Measures!E330," - ",Measures!F330))</f>
        <v/>
      </c>
      <c r="D330" s="442" t="str">
        <f>IF(Measures!AM330="Row Not Used","",Measures!G330)</f>
        <v/>
      </c>
      <c r="E330" s="443" t="str">
        <f>IF(Measures!AM330="Row Not Used","",Measures!H330)</f>
        <v/>
      </c>
      <c r="F330" s="450" t="str">
        <f>IF(Measures!AM330="Row Not Used","",Measures!I330)</f>
        <v/>
      </c>
      <c r="G330" s="426" t="str">
        <f>IF(OR(Measures!AM330="Row Not Used",Measures!C330="Controls Only",Measures!C330="Decommissioning"),"",_xlfn.CONCAT(Measures!K330," - ",Measures!L330))</f>
        <v/>
      </c>
      <c r="H330" s="442" t="str">
        <f>IF(OR(Measures!AM330="Row Not Used",Measures!C330="Controls Only",Measures!C330="Decommissioning"),"",Measures!M330)</f>
        <v/>
      </c>
      <c r="I330" s="443" t="str">
        <f>IF(OR(Measures!AM330="Row Not Used",Measures!C330="Controls Only",Measures!C330="Decommissioning"),"",Measures!N330)</f>
        <v/>
      </c>
      <c r="J330" s="444" t="str">
        <f>IF(OR(Measures!AM330="Row Not Used",Measures!C330="Controls Only",Measures!C330="Decommissioning"),"",Measures!O330)</f>
        <v/>
      </c>
      <c r="K330" s="425" t="str">
        <f>IF(OR(Measures!AM330="Row Not Used",Measures!C330="Controls Only",Measures!C330="Decommissioning"),"",Measures!AS330)</f>
        <v/>
      </c>
      <c r="L330" s="426" t="str">
        <f>IF(OR(Measures!AM330="Row Not Used",Measures!AM330="Decommissioning",ISBLANK(Measures!R330)),"",Measures!R330)</f>
        <v/>
      </c>
      <c r="M330" s="431" t="str">
        <f>IF(OR(Measures!AM330="Row Not Used",Measures!AM330="Fixtures Only",Measures!AM330="Decommissioning"),"",Measures!S330)</f>
        <v/>
      </c>
      <c r="N330" s="432" t="str">
        <f>IF(Measures!AM330="Row Not Used","",Measures!AF330)</f>
        <v/>
      </c>
      <c r="O330" s="426" t="str">
        <f>IF(Measures!AM330="Row Not Used","",Measures!C330)</f>
        <v/>
      </c>
      <c r="P330" s="133" t="str">
        <f t="shared" si="5"/>
        <v>No</v>
      </c>
    </row>
    <row r="331" spans="1:16" ht="75.599999999999994" customHeight="1" x14ac:dyDescent="0.3">
      <c r="A331" s="454">
        <f>Measures!A331</f>
        <v>324</v>
      </c>
      <c r="B331" s="425" t="str">
        <f>IF(Measures!AM331="Row Not Used","",IF(ISBLANK(Measures!V331),Measures!B331,_xlfn.CONCAT(Measures!B331," - ",Measures!V331)))</f>
        <v/>
      </c>
      <c r="C331" s="426" t="str">
        <f>IF(Measures!AM331="Row Not Used","",_xlfn.CONCAT(Measures!D331," - ",Measures!E331," - ",Measures!F331))</f>
        <v/>
      </c>
      <c r="D331" s="442" t="str">
        <f>IF(Measures!AM331="Row Not Used","",Measures!G331)</f>
        <v/>
      </c>
      <c r="E331" s="443" t="str">
        <f>IF(Measures!AM331="Row Not Used","",Measures!H331)</f>
        <v/>
      </c>
      <c r="F331" s="450" t="str">
        <f>IF(Measures!AM331="Row Not Used","",Measures!I331)</f>
        <v/>
      </c>
      <c r="G331" s="426" t="str">
        <f>IF(OR(Measures!AM331="Row Not Used",Measures!C331="Controls Only",Measures!C331="Decommissioning"),"",_xlfn.CONCAT(Measures!K331," - ",Measures!L331))</f>
        <v/>
      </c>
      <c r="H331" s="442" t="str">
        <f>IF(OR(Measures!AM331="Row Not Used",Measures!C331="Controls Only",Measures!C331="Decommissioning"),"",Measures!M331)</f>
        <v/>
      </c>
      <c r="I331" s="443" t="str">
        <f>IF(OR(Measures!AM331="Row Not Used",Measures!C331="Controls Only",Measures!C331="Decommissioning"),"",Measures!N331)</f>
        <v/>
      </c>
      <c r="J331" s="444" t="str">
        <f>IF(OR(Measures!AM331="Row Not Used",Measures!C331="Controls Only",Measures!C331="Decommissioning"),"",Measures!O331)</f>
        <v/>
      </c>
      <c r="K331" s="425" t="str">
        <f>IF(OR(Measures!AM331="Row Not Used",Measures!C331="Controls Only",Measures!C331="Decommissioning"),"",Measures!AS331)</f>
        <v/>
      </c>
      <c r="L331" s="426" t="str">
        <f>IF(OR(Measures!AM331="Row Not Used",Measures!AM331="Decommissioning",ISBLANK(Measures!R331)),"",Measures!R331)</f>
        <v/>
      </c>
      <c r="M331" s="431" t="str">
        <f>IF(OR(Measures!AM331="Row Not Used",Measures!AM331="Fixtures Only",Measures!AM331="Decommissioning"),"",Measures!S331)</f>
        <v/>
      </c>
      <c r="N331" s="432" t="str">
        <f>IF(Measures!AM331="Row Not Used","",Measures!AF331)</f>
        <v/>
      </c>
      <c r="O331" s="426" t="str">
        <f>IF(Measures!AM331="Row Not Used","",Measures!C331)</f>
        <v/>
      </c>
      <c r="P331" s="133" t="str">
        <f t="shared" si="5"/>
        <v>No</v>
      </c>
    </row>
    <row r="332" spans="1:16" ht="75.599999999999994" customHeight="1" x14ac:dyDescent="0.3">
      <c r="A332" s="454">
        <f>Measures!A332</f>
        <v>325</v>
      </c>
      <c r="B332" s="425" t="str">
        <f>IF(Measures!AM332="Row Not Used","",IF(ISBLANK(Measures!V332),Measures!B332,_xlfn.CONCAT(Measures!B332," - ",Measures!V332)))</f>
        <v/>
      </c>
      <c r="C332" s="426" t="str">
        <f>IF(Measures!AM332="Row Not Used","",_xlfn.CONCAT(Measures!D332," - ",Measures!E332," - ",Measures!F332))</f>
        <v/>
      </c>
      <c r="D332" s="442" t="str">
        <f>IF(Measures!AM332="Row Not Used","",Measures!G332)</f>
        <v/>
      </c>
      <c r="E332" s="443" t="str">
        <f>IF(Measures!AM332="Row Not Used","",Measures!H332)</f>
        <v/>
      </c>
      <c r="F332" s="450" t="str">
        <f>IF(Measures!AM332="Row Not Used","",Measures!I332)</f>
        <v/>
      </c>
      <c r="G332" s="426" t="str">
        <f>IF(OR(Measures!AM332="Row Not Used",Measures!C332="Controls Only",Measures!C332="Decommissioning"),"",_xlfn.CONCAT(Measures!K332," - ",Measures!L332))</f>
        <v/>
      </c>
      <c r="H332" s="442" t="str">
        <f>IF(OR(Measures!AM332="Row Not Used",Measures!C332="Controls Only",Measures!C332="Decommissioning"),"",Measures!M332)</f>
        <v/>
      </c>
      <c r="I332" s="443" t="str">
        <f>IF(OR(Measures!AM332="Row Not Used",Measures!C332="Controls Only",Measures!C332="Decommissioning"),"",Measures!N332)</f>
        <v/>
      </c>
      <c r="J332" s="444" t="str">
        <f>IF(OR(Measures!AM332="Row Not Used",Measures!C332="Controls Only",Measures!C332="Decommissioning"),"",Measures!O332)</f>
        <v/>
      </c>
      <c r="K332" s="425" t="str">
        <f>IF(OR(Measures!AM332="Row Not Used",Measures!C332="Controls Only",Measures!C332="Decommissioning"),"",Measures!AS332)</f>
        <v/>
      </c>
      <c r="L332" s="426" t="str">
        <f>IF(OR(Measures!AM332="Row Not Used",Measures!AM332="Decommissioning",ISBLANK(Measures!R332)),"",Measures!R332)</f>
        <v/>
      </c>
      <c r="M332" s="431" t="str">
        <f>IF(OR(Measures!AM332="Row Not Used",Measures!AM332="Fixtures Only",Measures!AM332="Decommissioning"),"",Measures!S332)</f>
        <v/>
      </c>
      <c r="N332" s="432" t="str">
        <f>IF(Measures!AM332="Row Not Used","",Measures!AF332)</f>
        <v/>
      </c>
      <c r="O332" s="426" t="str">
        <f>IF(Measures!AM332="Row Not Used","",Measures!C332)</f>
        <v/>
      </c>
      <c r="P332" s="133" t="str">
        <f t="shared" si="5"/>
        <v>No</v>
      </c>
    </row>
    <row r="333" spans="1:16" ht="75.599999999999994" customHeight="1" x14ac:dyDescent="0.3">
      <c r="A333" s="454">
        <f>Measures!A333</f>
        <v>326</v>
      </c>
      <c r="B333" s="425" t="str">
        <f>IF(Measures!AM333="Row Not Used","",IF(ISBLANK(Measures!V333),Measures!B333,_xlfn.CONCAT(Measures!B333," - ",Measures!V333)))</f>
        <v/>
      </c>
      <c r="C333" s="426" t="str">
        <f>IF(Measures!AM333="Row Not Used","",_xlfn.CONCAT(Measures!D333," - ",Measures!E333," - ",Measures!F333))</f>
        <v/>
      </c>
      <c r="D333" s="442" t="str">
        <f>IF(Measures!AM333="Row Not Used","",Measures!G333)</f>
        <v/>
      </c>
      <c r="E333" s="443" t="str">
        <f>IF(Measures!AM333="Row Not Used","",Measures!H333)</f>
        <v/>
      </c>
      <c r="F333" s="450" t="str">
        <f>IF(Measures!AM333="Row Not Used","",Measures!I333)</f>
        <v/>
      </c>
      <c r="G333" s="426" t="str">
        <f>IF(OR(Measures!AM333="Row Not Used",Measures!C333="Controls Only",Measures!C333="Decommissioning"),"",_xlfn.CONCAT(Measures!K333," - ",Measures!L333))</f>
        <v/>
      </c>
      <c r="H333" s="442" t="str">
        <f>IF(OR(Measures!AM333="Row Not Used",Measures!C333="Controls Only",Measures!C333="Decommissioning"),"",Measures!M333)</f>
        <v/>
      </c>
      <c r="I333" s="443" t="str">
        <f>IF(OR(Measures!AM333="Row Not Used",Measures!C333="Controls Only",Measures!C333="Decommissioning"),"",Measures!N333)</f>
        <v/>
      </c>
      <c r="J333" s="444" t="str">
        <f>IF(OR(Measures!AM333="Row Not Used",Measures!C333="Controls Only",Measures!C333="Decommissioning"),"",Measures!O333)</f>
        <v/>
      </c>
      <c r="K333" s="425" t="str">
        <f>IF(OR(Measures!AM333="Row Not Used",Measures!C333="Controls Only",Measures!C333="Decommissioning"),"",Measures!AS333)</f>
        <v/>
      </c>
      <c r="L333" s="426" t="str">
        <f>IF(OR(Measures!AM333="Row Not Used",Measures!AM333="Decommissioning",ISBLANK(Measures!R333)),"",Measures!R333)</f>
        <v/>
      </c>
      <c r="M333" s="431" t="str">
        <f>IF(OR(Measures!AM333="Row Not Used",Measures!AM333="Fixtures Only",Measures!AM333="Decommissioning"),"",Measures!S333)</f>
        <v/>
      </c>
      <c r="N333" s="432" t="str">
        <f>IF(Measures!AM333="Row Not Used","",Measures!AF333)</f>
        <v/>
      </c>
      <c r="O333" s="426" t="str">
        <f>IF(Measures!AM333="Row Not Used","",Measures!C333)</f>
        <v/>
      </c>
      <c r="P333" s="133" t="str">
        <f t="shared" si="5"/>
        <v>No</v>
      </c>
    </row>
    <row r="334" spans="1:16" ht="75.599999999999994" customHeight="1" x14ac:dyDescent="0.3">
      <c r="A334" s="454">
        <f>Measures!A334</f>
        <v>327</v>
      </c>
      <c r="B334" s="425" t="str">
        <f>IF(Measures!AM334="Row Not Used","",IF(ISBLANK(Measures!V334),Measures!B334,_xlfn.CONCAT(Measures!B334," - ",Measures!V334)))</f>
        <v/>
      </c>
      <c r="C334" s="426" t="str">
        <f>IF(Measures!AM334="Row Not Used","",_xlfn.CONCAT(Measures!D334," - ",Measures!E334," - ",Measures!F334))</f>
        <v/>
      </c>
      <c r="D334" s="442" t="str">
        <f>IF(Measures!AM334="Row Not Used","",Measures!G334)</f>
        <v/>
      </c>
      <c r="E334" s="443" t="str">
        <f>IF(Measures!AM334="Row Not Used","",Measures!H334)</f>
        <v/>
      </c>
      <c r="F334" s="450" t="str">
        <f>IF(Measures!AM334="Row Not Used","",Measures!I334)</f>
        <v/>
      </c>
      <c r="G334" s="426" t="str">
        <f>IF(OR(Measures!AM334="Row Not Used",Measures!C334="Controls Only",Measures!C334="Decommissioning"),"",_xlfn.CONCAT(Measures!K334," - ",Measures!L334))</f>
        <v/>
      </c>
      <c r="H334" s="442" t="str">
        <f>IF(OR(Measures!AM334="Row Not Used",Measures!C334="Controls Only",Measures!C334="Decommissioning"),"",Measures!M334)</f>
        <v/>
      </c>
      <c r="I334" s="443" t="str">
        <f>IF(OR(Measures!AM334="Row Not Used",Measures!C334="Controls Only",Measures!C334="Decommissioning"),"",Measures!N334)</f>
        <v/>
      </c>
      <c r="J334" s="444" t="str">
        <f>IF(OR(Measures!AM334="Row Not Used",Measures!C334="Controls Only",Measures!C334="Decommissioning"),"",Measures!O334)</f>
        <v/>
      </c>
      <c r="K334" s="425" t="str">
        <f>IF(OR(Measures!AM334="Row Not Used",Measures!C334="Controls Only",Measures!C334="Decommissioning"),"",Measures!AS334)</f>
        <v/>
      </c>
      <c r="L334" s="426" t="str">
        <f>IF(OR(Measures!AM334="Row Not Used",Measures!AM334="Decommissioning",ISBLANK(Measures!R334)),"",Measures!R334)</f>
        <v/>
      </c>
      <c r="M334" s="431" t="str">
        <f>IF(OR(Measures!AM334="Row Not Used",Measures!AM334="Fixtures Only",Measures!AM334="Decommissioning"),"",Measures!S334)</f>
        <v/>
      </c>
      <c r="N334" s="432" t="str">
        <f>IF(Measures!AM334="Row Not Used","",Measures!AF334)</f>
        <v/>
      </c>
      <c r="O334" s="426" t="str">
        <f>IF(Measures!AM334="Row Not Used","",Measures!C334)</f>
        <v/>
      </c>
      <c r="P334" s="133" t="str">
        <f t="shared" si="5"/>
        <v>No</v>
      </c>
    </row>
    <row r="335" spans="1:16" ht="75.599999999999994" customHeight="1" x14ac:dyDescent="0.3">
      <c r="A335" s="454">
        <f>Measures!A335</f>
        <v>328</v>
      </c>
      <c r="B335" s="425" t="str">
        <f>IF(Measures!AM335="Row Not Used","",IF(ISBLANK(Measures!V335),Measures!B335,_xlfn.CONCAT(Measures!B335," - ",Measures!V335)))</f>
        <v/>
      </c>
      <c r="C335" s="426" t="str">
        <f>IF(Measures!AM335="Row Not Used","",_xlfn.CONCAT(Measures!D335," - ",Measures!E335," - ",Measures!F335))</f>
        <v/>
      </c>
      <c r="D335" s="442" t="str">
        <f>IF(Measures!AM335="Row Not Used","",Measures!G335)</f>
        <v/>
      </c>
      <c r="E335" s="443" t="str">
        <f>IF(Measures!AM335="Row Not Used","",Measures!H335)</f>
        <v/>
      </c>
      <c r="F335" s="450" t="str">
        <f>IF(Measures!AM335="Row Not Used","",Measures!I335)</f>
        <v/>
      </c>
      <c r="G335" s="426" t="str">
        <f>IF(OR(Measures!AM335="Row Not Used",Measures!C335="Controls Only",Measures!C335="Decommissioning"),"",_xlfn.CONCAT(Measures!K335," - ",Measures!L335))</f>
        <v/>
      </c>
      <c r="H335" s="442" t="str">
        <f>IF(OR(Measures!AM335="Row Not Used",Measures!C335="Controls Only",Measures!C335="Decommissioning"),"",Measures!M335)</f>
        <v/>
      </c>
      <c r="I335" s="443" t="str">
        <f>IF(OR(Measures!AM335="Row Not Used",Measures!C335="Controls Only",Measures!C335="Decommissioning"),"",Measures!N335)</f>
        <v/>
      </c>
      <c r="J335" s="444" t="str">
        <f>IF(OR(Measures!AM335="Row Not Used",Measures!C335="Controls Only",Measures!C335="Decommissioning"),"",Measures!O335)</f>
        <v/>
      </c>
      <c r="K335" s="425" t="str">
        <f>IF(OR(Measures!AM335="Row Not Used",Measures!C335="Controls Only",Measures!C335="Decommissioning"),"",Measures!AS335)</f>
        <v/>
      </c>
      <c r="L335" s="426" t="str">
        <f>IF(OR(Measures!AM335="Row Not Used",Measures!AM335="Decommissioning",ISBLANK(Measures!R335)),"",Measures!R335)</f>
        <v/>
      </c>
      <c r="M335" s="431" t="str">
        <f>IF(OR(Measures!AM335="Row Not Used",Measures!AM335="Fixtures Only",Measures!AM335="Decommissioning"),"",Measures!S335)</f>
        <v/>
      </c>
      <c r="N335" s="432" t="str">
        <f>IF(Measures!AM335="Row Not Used","",Measures!AF335)</f>
        <v/>
      </c>
      <c r="O335" s="426" t="str">
        <f>IF(Measures!AM335="Row Not Used","",Measures!C335)</f>
        <v/>
      </c>
      <c r="P335" s="133" t="str">
        <f t="shared" si="5"/>
        <v>No</v>
      </c>
    </row>
    <row r="336" spans="1:16" ht="75.599999999999994" customHeight="1" x14ac:dyDescent="0.3">
      <c r="A336" s="454">
        <f>Measures!A336</f>
        <v>329</v>
      </c>
      <c r="B336" s="425" t="str">
        <f>IF(Measures!AM336="Row Not Used","",IF(ISBLANK(Measures!V336),Measures!B336,_xlfn.CONCAT(Measures!B336," - ",Measures!V336)))</f>
        <v/>
      </c>
      <c r="C336" s="426" t="str">
        <f>IF(Measures!AM336="Row Not Used","",_xlfn.CONCAT(Measures!D336," - ",Measures!E336," - ",Measures!F336))</f>
        <v/>
      </c>
      <c r="D336" s="442" t="str">
        <f>IF(Measures!AM336="Row Not Used","",Measures!G336)</f>
        <v/>
      </c>
      <c r="E336" s="443" t="str">
        <f>IF(Measures!AM336="Row Not Used","",Measures!H336)</f>
        <v/>
      </c>
      <c r="F336" s="450" t="str">
        <f>IF(Measures!AM336="Row Not Used","",Measures!I336)</f>
        <v/>
      </c>
      <c r="G336" s="426" t="str">
        <f>IF(OR(Measures!AM336="Row Not Used",Measures!C336="Controls Only",Measures!C336="Decommissioning"),"",_xlfn.CONCAT(Measures!K336," - ",Measures!L336))</f>
        <v/>
      </c>
      <c r="H336" s="442" t="str">
        <f>IF(OR(Measures!AM336="Row Not Used",Measures!C336="Controls Only",Measures!C336="Decommissioning"),"",Measures!M336)</f>
        <v/>
      </c>
      <c r="I336" s="443" t="str">
        <f>IF(OR(Measures!AM336="Row Not Used",Measures!C336="Controls Only",Measures!C336="Decommissioning"),"",Measures!N336)</f>
        <v/>
      </c>
      <c r="J336" s="444" t="str">
        <f>IF(OR(Measures!AM336="Row Not Used",Measures!C336="Controls Only",Measures!C336="Decommissioning"),"",Measures!O336)</f>
        <v/>
      </c>
      <c r="K336" s="425" t="str">
        <f>IF(OR(Measures!AM336="Row Not Used",Measures!C336="Controls Only",Measures!C336="Decommissioning"),"",Measures!AS336)</f>
        <v/>
      </c>
      <c r="L336" s="426" t="str">
        <f>IF(OR(Measures!AM336="Row Not Used",Measures!AM336="Decommissioning",ISBLANK(Measures!R336)),"",Measures!R336)</f>
        <v/>
      </c>
      <c r="M336" s="431" t="str">
        <f>IF(OR(Measures!AM336="Row Not Used",Measures!AM336="Fixtures Only",Measures!AM336="Decommissioning"),"",Measures!S336)</f>
        <v/>
      </c>
      <c r="N336" s="432" t="str">
        <f>IF(Measures!AM336="Row Not Used","",Measures!AF336)</f>
        <v/>
      </c>
      <c r="O336" s="426" t="str">
        <f>IF(Measures!AM336="Row Not Used","",Measures!C336)</f>
        <v/>
      </c>
      <c r="P336" s="133" t="str">
        <f t="shared" si="5"/>
        <v>No</v>
      </c>
    </row>
    <row r="337" spans="1:16" ht="75.599999999999994" customHeight="1" x14ac:dyDescent="0.3">
      <c r="A337" s="454">
        <f>Measures!A337</f>
        <v>330</v>
      </c>
      <c r="B337" s="425" t="str">
        <f>IF(Measures!AM337="Row Not Used","",IF(ISBLANK(Measures!V337),Measures!B337,_xlfn.CONCAT(Measures!B337," - ",Measures!V337)))</f>
        <v/>
      </c>
      <c r="C337" s="426" t="str">
        <f>IF(Measures!AM337="Row Not Used","",_xlfn.CONCAT(Measures!D337," - ",Measures!E337," - ",Measures!F337))</f>
        <v/>
      </c>
      <c r="D337" s="442" t="str">
        <f>IF(Measures!AM337="Row Not Used","",Measures!G337)</f>
        <v/>
      </c>
      <c r="E337" s="443" t="str">
        <f>IF(Measures!AM337="Row Not Used","",Measures!H337)</f>
        <v/>
      </c>
      <c r="F337" s="450" t="str">
        <f>IF(Measures!AM337="Row Not Used","",Measures!I337)</f>
        <v/>
      </c>
      <c r="G337" s="426" t="str">
        <f>IF(OR(Measures!AM337="Row Not Used",Measures!C337="Controls Only",Measures!C337="Decommissioning"),"",_xlfn.CONCAT(Measures!K337," - ",Measures!L337))</f>
        <v/>
      </c>
      <c r="H337" s="442" t="str">
        <f>IF(OR(Measures!AM337="Row Not Used",Measures!C337="Controls Only",Measures!C337="Decommissioning"),"",Measures!M337)</f>
        <v/>
      </c>
      <c r="I337" s="443" t="str">
        <f>IF(OR(Measures!AM337="Row Not Used",Measures!C337="Controls Only",Measures!C337="Decommissioning"),"",Measures!N337)</f>
        <v/>
      </c>
      <c r="J337" s="444" t="str">
        <f>IF(OR(Measures!AM337="Row Not Used",Measures!C337="Controls Only",Measures!C337="Decommissioning"),"",Measures!O337)</f>
        <v/>
      </c>
      <c r="K337" s="425" t="str">
        <f>IF(OR(Measures!AM337="Row Not Used",Measures!C337="Controls Only",Measures!C337="Decommissioning"),"",Measures!AS337)</f>
        <v/>
      </c>
      <c r="L337" s="426" t="str">
        <f>IF(OR(Measures!AM337="Row Not Used",Measures!AM337="Decommissioning",ISBLANK(Measures!R337)),"",Measures!R337)</f>
        <v/>
      </c>
      <c r="M337" s="431" t="str">
        <f>IF(OR(Measures!AM337="Row Not Used",Measures!AM337="Fixtures Only",Measures!AM337="Decommissioning"),"",Measures!S337)</f>
        <v/>
      </c>
      <c r="N337" s="432" t="str">
        <f>IF(Measures!AM337="Row Not Used","",Measures!AF337)</f>
        <v/>
      </c>
      <c r="O337" s="426" t="str">
        <f>IF(Measures!AM337="Row Not Used","",Measures!C337)</f>
        <v/>
      </c>
      <c r="P337" s="133" t="str">
        <f t="shared" si="5"/>
        <v>No</v>
      </c>
    </row>
    <row r="338" spans="1:16" ht="75.599999999999994" customHeight="1" x14ac:dyDescent="0.3">
      <c r="A338" s="454">
        <f>Measures!A338</f>
        <v>331</v>
      </c>
      <c r="B338" s="425" t="str">
        <f>IF(Measures!AM338="Row Not Used","",IF(ISBLANK(Measures!V338),Measures!B338,_xlfn.CONCAT(Measures!B338," - ",Measures!V338)))</f>
        <v/>
      </c>
      <c r="C338" s="426" t="str">
        <f>IF(Measures!AM338="Row Not Used","",_xlfn.CONCAT(Measures!D338," - ",Measures!E338," - ",Measures!F338))</f>
        <v/>
      </c>
      <c r="D338" s="442" t="str">
        <f>IF(Measures!AM338="Row Not Used","",Measures!G338)</f>
        <v/>
      </c>
      <c r="E338" s="443" t="str">
        <f>IF(Measures!AM338="Row Not Used","",Measures!H338)</f>
        <v/>
      </c>
      <c r="F338" s="450" t="str">
        <f>IF(Measures!AM338="Row Not Used","",Measures!I338)</f>
        <v/>
      </c>
      <c r="G338" s="426" t="str">
        <f>IF(OR(Measures!AM338="Row Not Used",Measures!C338="Controls Only",Measures!C338="Decommissioning"),"",_xlfn.CONCAT(Measures!K338," - ",Measures!L338))</f>
        <v/>
      </c>
      <c r="H338" s="442" t="str">
        <f>IF(OR(Measures!AM338="Row Not Used",Measures!C338="Controls Only",Measures!C338="Decommissioning"),"",Measures!M338)</f>
        <v/>
      </c>
      <c r="I338" s="443" t="str">
        <f>IF(OR(Measures!AM338="Row Not Used",Measures!C338="Controls Only",Measures!C338="Decommissioning"),"",Measures!N338)</f>
        <v/>
      </c>
      <c r="J338" s="444" t="str">
        <f>IF(OR(Measures!AM338="Row Not Used",Measures!C338="Controls Only",Measures!C338="Decommissioning"),"",Measures!O338)</f>
        <v/>
      </c>
      <c r="K338" s="425" t="str">
        <f>IF(OR(Measures!AM338="Row Not Used",Measures!C338="Controls Only",Measures!C338="Decommissioning"),"",Measures!AS338)</f>
        <v/>
      </c>
      <c r="L338" s="426" t="str">
        <f>IF(OR(Measures!AM338="Row Not Used",Measures!AM338="Decommissioning",ISBLANK(Measures!R338)),"",Measures!R338)</f>
        <v/>
      </c>
      <c r="M338" s="431" t="str">
        <f>IF(OR(Measures!AM338="Row Not Used",Measures!AM338="Fixtures Only",Measures!AM338="Decommissioning"),"",Measures!S338)</f>
        <v/>
      </c>
      <c r="N338" s="432" t="str">
        <f>IF(Measures!AM338="Row Not Used","",Measures!AF338)</f>
        <v/>
      </c>
      <c r="O338" s="426" t="str">
        <f>IF(Measures!AM338="Row Not Used","",Measures!C338)</f>
        <v/>
      </c>
      <c r="P338" s="133" t="str">
        <f t="shared" si="5"/>
        <v>No</v>
      </c>
    </row>
    <row r="339" spans="1:16" ht="75.599999999999994" customHeight="1" x14ac:dyDescent="0.3">
      <c r="A339" s="454">
        <f>Measures!A339</f>
        <v>332</v>
      </c>
      <c r="B339" s="425" t="str">
        <f>IF(Measures!AM339="Row Not Used","",IF(ISBLANK(Measures!V339),Measures!B339,_xlfn.CONCAT(Measures!B339," - ",Measures!V339)))</f>
        <v/>
      </c>
      <c r="C339" s="426" t="str">
        <f>IF(Measures!AM339="Row Not Used","",_xlfn.CONCAT(Measures!D339," - ",Measures!E339," - ",Measures!F339))</f>
        <v/>
      </c>
      <c r="D339" s="442" t="str">
        <f>IF(Measures!AM339="Row Not Used","",Measures!G339)</f>
        <v/>
      </c>
      <c r="E339" s="443" t="str">
        <f>IF(Measures!AM339="Row Not Used","",Measures!H339)</f>
        <v/>
      </c>
      <c r="F339" s="450" t="str">
        <f>IF(Measures!AM339="Row Not Used","",Measures!I339)</f>
        <v/>
      </c>
      <c r="G339" s="426" t="str">
        <f>IF(OR(Measures!AM339="Row Not Used",Measures!C339="Controls Only",Measures!C339="Decommissioning"),"",_xlfn.CONCAT(Measures!K339," - ",Measures!L339))</f>
        <v/>
      </c>
      <c r="H339" s="442" t="str">
        <f>IF(OR(Measures!AM339="Row Not Used",Measures!C339="Controls Only",Measures!C339="Decommissioning"),"",Measures!M339)</f>
        <v/>
      </c>
      <c r="I339" s="443" t="str">
        <f>IF(OR(Measures!AM339="Row Not Used",Measures!C339="Controls Only",Measures!C339="Decommissioning"),"",Measures!N339)</f>
        <v/>
      </c>
      <c r="J339" s="444" t="str">
        <f>IF(OR(Measures!AM339="Row Not Used",Measures!C339="Controls Only",Measures!C339="Decommissioning"),"",Measures!O339)</f>
        <v/>
      </c>
      <c r="K339" s="425" t="str">
        <f>IF(OR(Measures!AM339="Row Not Used",Measures!C339="Controls Only",Measures!C339="Decommissioning"),"",Measures!AS339)</f>
        <v/>
      </c>
      <c r="L339" s="426" t="str">
        <f>IF(OR(Measures!AM339="Row Not Used",Measures!AM339="Decommissioning",ISBLANK(Measures!R339)),"",Measures!R339)</f>
        <v/>
      </c>
      <c r="M339" s="431" t="str">
        <f>IF(OR(Measures!AM339="Row Not Used",Measures!AM339="Fixtures Only",Measures!AM339="Decommissioning"),"",Measures!S339)</f>
        <v/>
      </c>
      <c r="N339" s="432" t="str">
        <f>IF(Measures!AM339="Row Not Used","",Measures!AF339)</f>
        <v/>
      </c>
      <c r="O339" s="426" t="str">
        <f>IF(Measures!AM339="Row Not Used","",Measures!C339)</f>
        <v/>
      </c>
      <c r="P339" s="133" t="str">
        <f t="shared" si="5"/>
        <v>No</v>
      </c>
    </row>
    <row r="340" spans="1:16" ht="75.599999999999994" customHeight="1" x14ac:dyDescent="0.3">
      <c r="A340" s="454">
        <f>Measures!A340</f>
        <v>333</v>
      </c>
      <c r="B340" s="425" t="str">
        <f>IF(Measures!AM340="Row Not Used","",IF(ISBLANK(Measures!V340),Measures!B340,_xlfn.CONCAT(Measures!B340," - ",Measures!V340)))</f>
        <v/>
      </c>
      <c r="C340" s="426" t="str">
        <f>IF(Measures!AM340="Row Not Used","",_xlfn.CONCAT(Measures!D340," - ",Measures!E340," - ",Measures!F340))</f>
        <v/>
      </c>
      <c r="D340" s="442" t="str">
        <f>IF(Measures!AM340="Row Not Used","",Measures!G340)</f>
        <v/>
      </c>
      <c r="E340" s="443" t="str">
        <f>IF(Measures!AM340="Row Not Used","",Measures!H340)</f>
        <v/>
      </c>
      <c r="F340" s="450" t="str">
        <f>IF(Measures!AM340="Row Not Used","",Measures!I340)</f>
        <v/>
      </c>
      <c r="G340" s="426" t="str">
        <f>IF(OR(Measures!AM340="Row Not Used",Measures!C340="Controls Only",Measures!C340="Decommissioning"),"",_xlfn.CONCAT(Measures!K340," - ",Measures!L340))</f>
        <v/>
      </c>
      <c r="H340" s="442" t="str">
        <f>IF(OR(Measures!AM340="Row Not Used",Measures!C340="Controls Only",Measures!C340="Decommissioning"),"",Measures!M340)</f>
        <v/>
      </c>
      <c r="I340" s="443" t="str">
        <f>IF(OR(Measures!AM340="Row Not Used",Measures!C340="Controls Only",Measures!C340="Decommissioning"),"",Measures!N340)</f>
        <v/>
      </c>
      <c r="J340" s="444" t="str">
        <f>IF(OR(Measures!AM340="Row Not Used",Measures!C340="Controls Only",Measures!C340="Decommissioning"),"",Measures!O340)</f>
        <v/>
      </c>
      <c r="K340" s="425" t="str">
        <f>IF(OR(Measures!AM340="Row Not Used",Measures!C340="Controls Only",Measures!C340="Decommissioning"),"",Measures!AS340)</f>
        <v/>
      </c>
      <c r="L340" s="426" t="str">
        <f>IF(OR(Measures!AM340="Row Not Used",Measures!AM340="Decommissioning",ISBLANK(Measures!R340)),"",Measures!R340)</f>
        <v/>
      </c>
      <c r="M340" s="431" t="str">
        <f>IF(OR(Measures!AM340="Row Not Used",Measures!AM340="Fixtures Only",Measures!AM340="Decommissioning"),"",Measures!S340)</f>
        <v/>
      </c>
      <c r="N340" s="432" t="str">
        <f>IF(Measures!AM340="Row Not Used","",Measures!AF340)</f>
        <v/>
      </c>
      <c r="O340" s="426" t="str">
        <f>IF(Measures!AM340="Row Not Used","",Measures!C340)</f>
        <v/>
      </c>
      <c r="P340" s="133" t="str">
        <f t="shared" si="5"/>
        <v>No</v>
      </c>
    </row>
    <row r="341" spans="1:16" ht="75.599999999999994" customHeight="1" x14ac:dyDescent="0.3">
      <c r="A341" s="454">
        <f>Measures!A341</f>
        <v>334</v>
      </c>
      <c r="B341" s="425" t="str">
        <f>IF(Measures!AM341="Row Not Used","",IF(ISBLANK(Measures!V341),Measures!B341,_xlfn.CONCAT(Measures!B341," - ",Measures!V341)))</f>
        <v/>
      </c>
      <c r="C341" s="426" t="str">
        <f>IF(Measures!AM341="Row Not Used","",_xlfn.CONCAT(Measures!D341," - ",Measures!E341," - ",Measures!F341))</f>
        <v/>
      </c>
      <c r="D341" s="442" t="str">
        <f>IF(Measures!AM341="Row Not Used","",Measures!G341)</f>
        <v/>
      </c>
      <c r="E341" s="443" t="str">
        <f>IF(Measures!AM341="Row Not Used","",Measures!H341)</f>
        <v/>
      </c>
      <c r="F341" s="450" t="str">
        <f>IF(Measures!AM341="Row Not Used","",Measures!I341)</f>
        <v/>
      </c>
      <c r="G341" s="426" t="str">
        <f>IF(OR(Measures!AM341="Row Not Used",Measures!C341="Controls Only",Measures!C341="Decommissioning"),"",_xlfn.CONCAT(Measures!K341," - ",Measures!L341))</f>
        <v/>
      </c>
      <c r="H341" s="442" t="str">
        <f>IF(OR(Measures!AM341="Row Not Used",Measures!C341="Controls Only",Measures!C341="Decommissioning"),"",Measures!M341)</f>
        <v/>
      </c>
      <c r="I341" s="443" t="str">
        <f>IF(OR(Measures!AM341="Row Not Used",Measures!C341="Controls Only",Measures!C341="Decommissioning"),"",Measures!N341)</f>
        <v/>
      </c>
      <c r="J341" s="444" t="str">
        <f>IF(OR(Measures!AM341="Row Not Used",Measures!C341="Controls Only",Measures!C341="Decommissioning"),"",Measures!O341)</f>
        <v/>
      </c>
      <c r="K341" s="425" t="str">
        <f>IF(OR(Measures!AM341="Row Not Used",Measures!C341="Controls Only",Measures!C341="Decommissioning"),"",Measures!AS341)</f>
        <v/>
      </c>
      <c r="L341" s="426" t="str">
        <f>IF(OR(Measures!AM341="Row Not Used",Measures!AM341="Decommissioning",ISBLANK(Measures!R341)),"",Measures!R341)</f>
        <v/>
      </c>
      <c r="M341" s="431" t="str">
        <f>IF(OR(Measures!AM341="Row Not Used",Measures!AM341="Fixtures Only",Measures!AM341="Decommissioning"),"",Measures!S341)</f>
        <v/>
      </c>
      <c r="N341" s="432" t="str">
        <f>IF(Measures!AM341="Row Not Used","",Measures!AF341)</f>
        <v/>
      </c>
      <c r="O341" s="426" t="str">
        <f>IF(Measures!AM341="Row Not Used","",Measures!C341)</f>
        <v/>
      </c>
      <c r="P341" s="133" t="str">
        <f t="shared" si="5"/>
        <v>No</v>
      </c>
    </row>
    <row r="342" spans="1:16" ht="75.599999999999994" customHeight="1" x14ac:dyDescent="0.3">
      <c r="A342" s="454">
        <f>Measures!A342</f>
        <v>335</v>
      </c>
      <c r="B342" s="425" t="str">
        <f>IF(Measures!AM342="Row Not Used","",IF(ISBLANK(Measures!V342),Measures!B342,_xlfn.CONCAT(Measures!B342," - ",Measures!V342)))</f>
        <v/>
      </c>
      <c r="C342" s="426" t="str">
        <f>IF(Measures!AM342="Row Not Used","",_xlfn.CONCAT(Measures!D342," - ",Measures!E342," - ",Measures!F342))</f>
        <v/>
      </c>
      <c r="D342" s="442" t="str">
        <f>IF(Measures!AM342="Row Not Used","",Measures!G342)</f>
        <v/>
      </c>
      <c r="E342" s="443" t="str">
        <f>IF(Measures!AM342="Row Not Used","",Measures!H342)</f>
        <v/>
      </c>
      <c r="F342" s="450" t="str">
        <f>IF(Measures!AM342="Row Not Used","",Measures!I342)</f>
        <v/>
      </c>
      <c r="G342" s="426" t="str">
        <f>IF(OR(Measures!AM342="Row Not Used",Measures!C342="Controls Only",Measures!C342="Decommissioning"),"",_xlfn.CONCAT(Measures!K342," - ",Measures!L342))</f>
        <v/>
      </c>
      <c r="H342" s="442" t="str">
        <f>IF(OR(Measures!AM342="Row Not Used",Measures!C342="Controls Only",Measures!C342="Decommissioning"),"",Measures!M342)</f>
        <v/>
      </c>
      <c r="I342" s="443" t="str">
        <f>IF(OR(Measures!AM342="Row Not Used",Measures!C342="Controls Only",Measures!C342="Decommissioning"),"",Measures!N342)</f>
        <v/>
      </c>
      <c r="J342" s="444" t="str">
        <f>IF(OR(Measures!AM342="Row Not Used",Measures!C342="Controls Only",Measures!C342="Decommissioning"),"",Measures!O342)</f>
        <v/>
      </c>
      <c r="K342" s="425" t="str">
        <f>IF(OR(Measures!AM342="Row Not Used",Measures!C342="Controls Only",Measures!C342="Decommissioning"),"",Measures!AS342)</f>
        <v/>
      </c>
      <c r="L342" s="426" t="str">
        <f>IF(OR(Measures!AM342="Row Not Used",Measures!AM342="Decommissioning",ISBLANK(Measures!R342)),"",Measures!R342)</f>
        <v/>
      </c>
      <c r="M342" s="431" t="str">
        <f>IF(OR(Measures!AM342="Row Not Used",Measures!AM342="Fixtures Only",Measures!AM342="Decommissioning"),"",Measures!S342)</f>
        <v/>
      </c>
      <c r="N342" s="432" t="str">
        <f>IF(Measures!AM342="Row Not Used","",Measures!AF342)</f>
        <v/>
      </c>
      <c r="O342" s="426" t="str">
        <f>IF(Measures!AM342="Row Not Used","",Measures!C342)</f>
        <v/>
      </c>
      <c r="P342" s="133" t="str">
        <f t="shared" si="5"/>
        <v>No</v>
      </c>
    </row>
    <row r="343" spans="1:16" ht="75.599999999999994" customHeight="1" x14ac:dyDescent="0.3">
      <c r="A343" s="454">
        <f>Measures!A343</f>
        <v>336</v>
      </c>
      <c r="B343" s="425" t="str">
        <f>IF(Measures!AM343="Row Not Used","",IF(ISBLANK(Measures!V343),Measures!B343,_xlfn.CONCAT(Measures!B343," - ",Measures!V343)))</f>
        <v/>
      </c>
      <c r="C343" s="426" t="str">
        <f>IF(Measures!AM343="Row Not Used","",_xlfn.CONCAT(Measures!D343," - ",Measures!E343," - ",Measures!F343))</f>
        <v/>
      </c>
      <c r="D343" s="442" t="str">
        <f>IF(Measures!AM343="Row Not Used","",Measures!G343)</f>
        <v/>
      </c>
      <c r="E343" s="443" t="str">
        <f>IF(Measures!AM343="Row Not Used","",Measures!H343)</f>
        <v/>
      </c>
      <c r="F343" s="450" t="str">
        <f>IF(Measures!AM343="Row Not Used","",Measures!I343)</f>
        <v/>
      </c>
      <c r="G343" s="426" t="str">
        <f>IF(OR(Measures!AM343="Row Not Used",Measures!C343="Controls Only",Measures!C343="Decommissioning"),"",_xlfn.CONCAT(Measures!K343," - ",Measures!L343))</f>
        <v/>
      </c>
      <c r="H343" s="442" t="str">
        <f>IF(OR(Measures!AM343="Row Not Used",Measures!C343="Controls Only",Measures!C343="Decommissioning"),"",Measures!M343)</f>
        <v/>
      </c>
      <c r="I343" s="443" t="str">
        <f>IF(OR(Measures!AM343="Row Not Used",Measures!C343="Controls Only",Measures!C343="Decommissioning"),"",Measures!N343)</f>
        <v/>
      </c>
      <c r="J343" s="444" t="str">
        <f>IF(OR(Measures!AM343="Row Not Used",Measures!C343="Controls Only",Measures!C343="Decommissioning"),"",Measures!O343)</f>
        <v/>
      </c>
      <c r="K343" s="425" t="str">
        <f>IF(OR(Measures!AM343="Row Not Used",Measures!C343="Controls Only",Measures!C343="Decommissioning"),"",Measures!AS343)</f>
        <v/>
      </c>
      <c r="L343" s="426" t="str">
        <f>IF(OR(Measures!AM343="Row Not Used",Measures!AM343="Decommissioning",ISBLANK(Measures!R343)),"",Measures!R343)</f>
        <v/>
      </c>
      <c r="M343" s="431" t="str">
        <f>IF(OR(Measures!AM343="Row Not Used",Measures!AM343="Fixtures Only",Measures!AM343="Decommissioning"),"",Measures!S343)</f>
        <v/>
      </c>
      <c r="N343" s="432" t="str">
        <f>IF(Measures!AM343="Row Not Used","",Measures!AF343)</f>
        <v/>
      </c>
      <c r="O343" s="426" t="str">
        <f>IF(Measures!AM343="Row Not Used","",Measures!C343)</f>
        <v/>
      </c>
      <c r="P343" s="133" t="str">
        <f t="shared" si="5"/>
        <v>No</v>
      </c>
    </row>
    <row r="344" spans="1:16" ht="75.599999999999994" customHeight="1" x14ac:dyDescent="0.3">
      <c r="A344" s="454">
        <f>Measures!A344</f>
        <v>337</v>
      </c>
      <c r="B344" s="425" t="str">
        <f>IF(Measures!AM344="Row Not Used","",IF(ISBLANK(Measures!V344),Measures!B344,_xlfn.CONCAT(Measures!B344," - ",Measures!V344)))</f>
        <v/>
      </c>
      <c r="C344" s="426" t="str">
        <f>IF(Measures!AM344="Row Not Used","",_xlfn.CONCAT(Measures!D344," - ",Measures!E344," - ",Measures!F344))</f>
        <v/>
      </c>
      <c r="D344" s="442" t="str">
        <f>IF(Measures!AM344="Row Not Used","",Measures!G344)</f>
        <v/>
      </c>
      <c r="E344" s="443" t="str">
        <f>IF(Measures!AM344="Row Not Used","",Measures!H344)</f>
        <v/>
      </c>
      <c r="F344" s="450" t="str">
        <f>IF(Measures!AM344="Row Not Used","",Measures!I344)</f>
        <v/>
      </c>
      <c r="G344" s="426" t="str">
        <f>IF(OR(Measures!AM344="Row Not Used",Measures!C344="Controls Only",Measures!C344="Decommissioning"),"",_xlfn.CONCAT(Measures!K344," - ",Measures!L344))</f>
        <v/>
      </c>
      <c r="H344" s="442" t="str">
        <f>IF(OR(Measures!AM344="Row Not Used",Measures!C344="Controls Only",Measures!C344="Decommissioning"),"",Measures!M344)</f>
        <v/>
      </c>
      <c r="I344" s="443" t="str">
        <f>IF(OR(Measures!AM344="Row Not Used",Measures!C344="Controls Only",Measures!C344="Decommissioning"),"",Measures!N344)</f>
        <v/>
      </c>
      <c r="J344" s="444" t="str">
        <f>IF(OR(Measures!AM344="Row Not Used",Measures!C344="Controls Only",Measures!C344="Decommissioning"),"",Measures!O344)</f>
        <v/>
      </c>
      <c r="K344" s="425" t="str">
        <f>IF(OR(Measures!AM344="Row Not Used",Measures!C344="Controls Only",Measures!C344="Decommissioning"),"",Measures!AS344)</f>
        <v/>
      </c>
      <c r="L344" s="426" t="str">
        <f>IF(OR(Measures!AM344="Row Not Used",Measures!AM344="Decommissioning",ISBLANK(Measures!R344)),"",Measures!R344)</f>
        <v/>
      </c>
      <c r="M344" s="431" t="str">
        <f>IF(OR(Measures!AM344="Row Not Used",Measures!AM344="Fixtures Only",Measures!AM344="Decommissioning"),"",Measures!S344)</f>
        <v/>
      </c>
      <c r="N344" s="432" t="str">
        <f>IF(Measures!AM344="Row Not Used","",Measures!AF344)</f>
        <v/>
      </c>
      <c r="O344" s="426" t="str">
        <f>IF(Measures!AM344="Row Not Used","",Measures!C344)</f>
        <v/>
      </c>
      <c r="P344" s="133" t="str">
        <f t="shared" si="5"/>
        <v>No</v>
      </c>
    </row>
    <row r="345" spans="1:16" ht="75.599999999999994" customHeight="1" x14ac:dyDescent="0.3">
      <c r="A345" s="454">
        <f>Measures!A345</f>
        <v>338</v>
      </c>
      <c r="B345" s="425" t="str">
        <f>IF(Measures!AM345="Row Not Used","",IF(ISBLANK(Measures!V345),Measures!B345,_xlfn.CONCAT(Measures!B345," - ",Measures!V345)))</f>
        <v/>
      </c>
      <c r="C345" s="426" t="str">
        <f>IF(Measures!AM345="Row Not Used","",_xlfn.CONCAT(Measures!D345," - ",Measures!E345," - ",Measures!F345))</f>
        <v/>
      </c>
      <c r="D345" s="442" t="str">
        <f>IF(Measures!AM345="Row Not Used","",Measures!G345)</f>
        <v/>
      </c>
      <c r="E345" s="443" t="str">
        <f>IF(Measures!AM345="Row Not Used","",Measures!H345)</f>
        <v/>
      </c>
      <c r="F345" s="450" t="str">
        <f>IF(Measures!AM345="Row Not Used","",Measures!I345)</f>
        <v/>
      </c>
      <c r="G345" s="426" t="str">
        <f>IF(OR(Measures!AM345="Row Not Used",Measures!C345="Controls Only",Measures!C345="Decommissioning"),"",_xlfn.CONCAT(Measures!K345," - ",Measures!L345))</f>
        <v/>
      </c>
      <c r="H345" s="442" t="str">
        <f>IF(OR(Measures!AM345="Row Not Used",Measures!C345="Controls Only",Measures!C345="Decommissioning"),"",Measures!M345)</f>
        <v/>
      </c>
      <c r="I345" s="443" t="str">
        <f>IF(OR(Measures!AM345="Row Not Used",Measures!C345="Controls Only",Measures!C345="Decommissioning"),"",Measures!N345)</f>
        <v/>
      </c>
      <c r="J345" s="444" t="str">
        <f>IF(OR(Measures!AM345="Row Not Used",Measures!C345="Controls Only",Measures!C345="Decommissioning"),"",Measures!O345)</f>
        <v/>
      </c>
      <c r="K345" s="425" t="str">
        <f>IF(OR(Measures!AM345="Row Not Used",Measures!C345="Controls Only",Measures!C345="Decommissioning"),"",Measures!AS345)</f>
        <v/>
      </c>
      <c r="L345" s="426" t="str">
        <f>IF(OR(Measures!AM345="Row Not Used",Measures!AM345="Decommissioning",ISBLANK(Measures!R345)),"",Measures!R345)</f>
        <v/>
      </c>
      <c r="M345" s="431" t="str">
        <f>IF(OR(Measures!AM345="Row Not Used",Measures!AM345="Fixtures Only",Measures!AM345="Decommissioning"),"",Measures!S345)</f>
        <v/>
      </c>
      <c r="N345" s="432" t="str">
        <f>IF(Measures!AM345="Row Not Used","",Measures!AF345)</f>
        <v/>
      </c>
      <c r="O345" s="426" t="str">
        <f>IF(Measures!AM345="Row Not Used","",Measures!C345)</f>
        <v/>
      </c>
      <c r="P345" s="133" t="str">
        <f t="shared" si="5"/>
        <v>No</v>
      </c>
    </row>
    <row r="346" spans="1:16" ht="75.599999999999994" customHeight="1" x14ac:dyDescent="0.3">
      <c r="A346" s="454">
        <f>Measures!A346</f>
        <v>339</v>
      </c>
      <c r="B346" s="425" t="str">
        <f>IF(Measures!AM346="Row Not Used","",IF(ISBLANK(Measures!V346),Measures!B346,_xlfn.CONCAT(Measures!B346," - ",Measures!V346)))</f>
        <v/>
      </c>
      <c r="C346" s="426" t="str">
        <f>IF(Measures!AM346="Row Not Used","",_xlfn.CONCAT(Measures!D346," - ",Measures!E346," - ",Measures!F346))</f>
        <v/>
      </c>
      <c r="D346" s="442" t="str">
        <f>IF(Measures!AM346="Row Not Used","",Measures!G346)</f>
        <v/>
      </c>
      <c r="E346" s="443" t="str">
        <f>IF(Measures!AM346="Row Not Used","",Measures!H346)</f>
        <v/>
      </c>
      <c r="F346" s="450" t="str">
        <f>IF(Measures!AM346="Row Not Used","",Measures!I346)</f>
        <v/>
      </c>
      <c r="G346" s="426" t="str">
        <f>IF(OR(Measures!AM346="Row Not Used",Measures!C346="Controls Only",Measures!C346="Decommissioning"),"",_xlfn.CONCAT(Measures!K346," - ",Measures!L346))</f>
        <v/>
      </c>
      <c r="H346" s="442" t="str">
        <f>IF(OR(Measures!AM346="Row Not Used",Measures!C346="Controls Only",Measures!C346="Decommissioning"),"",Measures!M346)</f>
        <v/>
      </c>
      <c r="I346" s="443" t="str">
        <f>IF(OR(Measures!AM346="Row Not Used",Measures!C346="Controls Only",Measures!C346="Decommissioning"),"",Measures!N346)</f>
        <v/>
      </c>
      <c r="J346" s="444" t="str">
        <f>IF(OR(Measures!AM346="Row Not Used",Measures!C346="Controls Only",Measures!C346="Decommissioning"),"",Measures!O346)</f>
        <v/>
      </c>
      <c r="K346" s="425" t="str">
        <f>IF(OR(Measures!AM346="Row Not Used",Measures!C346="Controls Only",Measures!C346="Decommissioning"),"",Measures!AS346)</f>
        <v/>
      </c>
      <c r="L346" s="426" t="str">
        <f>IF(OR(Measures!AM346="Row Not Used",Measures!AM346="Decommissioning",ISBLANK(Measures!R346)),"",Measures!R346)</f>
        <v/>
      </c>
      <c r="M346" s="431" t="str">
        <f>IF(OR(Measures!AM346="Row Not Used",Measures!AM346="Fixtures Only",Measures!AM346="Decommissioning"),"",Measures!S346)</f>
        <v/>
      </c>
      <c r="N346" s="432" t="str">
        <f>IF(Measures!AM346="Row Not Used","",Measures!AF346)</f>
        <v/>
      </c>
      <c r="O346" s="426" t="str">
        <f>IF(Measures!AM346="Row Not Used","",Measures!C346)</f>
        <v/>
      </c>
      <c r="P346" s="133" t="str">
        <f t="shared" si="5"/>
        <v>No</v>
      </c>
    </row>
    <row r="347" spans="1:16" ht="75.599999999999994" customHeight="1" x14ac:dyDescent="0.3">
      <c r="A347" s="454">
        <f>Measures!A347</f>
        <v>340</v>
      </c>
      <c r="B347" s="425" t="str">
        <f>IF(Measures!AM347="Row Not Used","",IF(ISBLANK(Measures!V347),Measures!B347,_xlfn.CONCAT(Measures!B347," - ",Measures!V347)))</f>
        <v/>
      </c>
      <c r="C347" s="426" t="str">
        <f>IF(Measures!AM347="Row Not Used","",_xlfn.CONCAT(Measures!D347," - ",Measures!E347," - ",Measures!F347))</f>
        <v/>
      </c>
      <c r="D347" s="442" t="str">
        <f>IF(Measures!AM347="Row Not Used","",Measures!G347)</f>
        <v/>
      </c>
      <c r="E347" s="443" t="str">
        <f>IF(Measures!AM347="Row Not Used","",Measures!H347)</f>
        <v/>
      </c>
      <c r="F347" s="450" t="str">
        <f>IF(Measures!AM347="Row Not Used","",Measures!I347)</f>
        <v/>
      </c>
      <c r="G347" s="426" t="str">
        <f>IF(OR(Measures!AM347="Row Not Used",Measures!C347="Controls Only",Measures!C347="Decommissioning"),"",_xlfn.CONCAT(Measures!K347," - ",Measures!L347))</f>
        <v/>
      </c>
      <c r="H347" s="442" t="str">
        <f>IF(OR(Measures!AM347="Row Not Used",Measures!C347="Controls Only",Measures!C347="Decommissioning"),"",Measures!M347)</f>
        <v/>
      </c>
      <c r="I347" s="443" t="str">
        <f>IF(OR(Measures!AM347="Row Not Used",Measures!C347="Controls Only",Measures!C347="Decommissioning"),"",Measures!N347)</f>
        <v/>
      </c>
      <c r="J347" s="444" t="str">
        <f>IF(OR(Measures!AM347="Row Not Used",Measures!C347="Controls Only",Measures!C347="Decommissioning"),"",Measures!O347)</f>
        <v/>
      </c>
      <c r="K347" s="425" t="str">
        <f>IF(OR(Measures!AM347="Row Not Used",Measures!C347="Controls Only",Measures!C347="Decommissioning"),"",Measures!AS347)</f>
        <v/>
      </c>
      <c r="L347" s="426" t="str">
        <f>IF(OR(Measures!AM347="Row Not Used",Measures!AM347="Decommissioning",ISBLANK(Measures!R347)),"",Measures!R347)</f>
        <v/>
      </c>
      <c r="M347" s="431" t="str">
        <f>IF(OR(Measures!AM347="Row Not Used",Measures!AM347="Fixtures Only",Measures!AM347="Decommissioning"),"",Measures!S347)</f>
        <v/>
      </c>
      <c r="N347" s="432" t="str">
        <f>IF(Measures!AM347="Row Not Used","",Measures!AF347)</f>
        <v/>
      </c>
      <c r="O347" s="426" t="str">
        <f>IF(Measures!AM347="Row Not Used","",Measures!C347)</f>
        <v/>
      </c>
      <c r="P347" s="133" t="str">
        <f t="shared" si="5"/>
        <v>No</v>
      </c>
    </row>
    <row r="348" spans="1:16" ht="75.599999999999994" customHeight="1" x14ac:dyDescent="0.3">
      <c r="A348" s="454">
        <f>Measures!A348</f>
        <v>341</v>
      </c>
      <c r="B348" s="425" t="str">
        <f>IF(Measures!AM348="Row Not Used","",IF(ISBLANK(Measures!V348),Measures!B348,_xlfn.CONCAT(Measures!B348," - ",Measures!V348)))</f>
        <v/>
      </c>
      <c r="C348" s="426" t="str">
        <f>IF(Measures!AM348="Row Not Used","",_xlfn.CONCAT(Measures!D348," - ",Measures!E348," - ",Measures!F348))</f>
        <v/>
      </c>
      <c r="D348" s="442" t="str">
        <f>IF(Measures!AM348="Row Not Used","",Measures!G348)</f>
        <v/>
      </c>
      <c r="E348" s="443" t="str">
        <f>IF(Measures!AM348="Row Not Used","",Measures!H348)</f>
        <v/>
      </c>
      <c r="F348" s="450" t="str">
        <f>IF(Measures!AM348="Row Not Used","",Measures!I348)</f>
        <v/>
      </c>
      <c r="G348" s="426" t="str">
        <f>IF(OR(Measures!AM348="Row Not Used",Measures!C348="Controls Only",Measures!C348="Decommissioning"),"",_xlfn.CONCAT(Measures!K348," - ",Measures!L348))</f>
        <v/>
      </c>
      <c r="H348" s="442" t="str">
        <f>IF(OR(Measures!AM348="Row Not Used",Measures!C348="Controls Only",Measures!C348="Decommissioning"),"",Measures!M348)</f>
        <v/>
      </c>
      <c r="I348" s="443" t="str">
        <f>IF(OR(Measures!AM348="Row Not Used",Measures!C348="Controls Only",Measures!C348="Decommissioning"),"",Measures!N348)</f>
        <v/>
      </c>
      <c r="J348" s="444" t="str">
        <f>IF(OR(Measures!AM348="Row Not Used",Measures!C348="Controls Only",Measures!C348="Decommissioning"),"",Measures!O348)</f>
        <v/>
      </c>
      <c r="K348" s="425" t="str">
        <f>IF(OR(Measures!AM348="Row Not Used",Measures!C348="Controls Only",Measures!C348="Decommissioning"),"",Measures!AS348)</f>
        <v/>
      </c>
      <c r="L348" s="426" t="str">
        <f>IF(OR(Measures!AM348="Row Not Used",Measures!AM348="Decommissioning",ISBLANK(Measures!R348)),"",Measures!R348)</f>
        <v/>
      </c>
      <c r="M348" s="431" t="str">
        <f>IF(OR(Measures!AM348="Row Not Used",Measures!AM348="Fixtures Only",Measures!AM348="Decommissioning"),"",Measures!S348)</f>
        <v/>
      </c>
      <c r="N348" s="432" t="str">
        <f>IF(Measures!AM348="Row Not Used","",Measures!AF348)</f>
        <v/>
      </c>
      <c r="O348" s="426" t="str">
        <f>IF(Measures!AM348="Row Not Used","",Measures!C348)</f>
        <v/>
      </c>
      <c r="P348" s="133" t="str">
        <f t="shared" si="5"/>
        <v>No</v>
      </c>
    </row>
    <row r="349" spans="1:16" ht="75.599999999999994" customHeight="1" x14ac:dyDescent="0.3">
      <c r="A349" s="454">
        <f>Measures!A349</f>
        <v>342</v>
      </c>
      <c r="B349" s="425" t="str">
        <f>IF(Measures!AM349="Row Not Used","",IF(ISBLANK(Measures!V349),Measures!B349,_xlfn.CONCAT(Measures!B349," - ",Measures!V349)))</f>
        <v/>
      </c>
      <c r="C349" s="426" t="str">
        <f>IF(Measures!AM349="Row Not Used","",_xlfn.CONCAT(Measures!D349," - ",Measures!E349," - ",Measures!F349))</f>
        <v/>
      </c>
      <c r="D349" s="442" t="str">
        <f>IF(Measures!AM349="Row Not Used","",Measures!G349)</f>
        <v/>
      </c>
      <c r="E349" s="443" t="str">
        <f>IF(Measures!AM349="Row Not Used","",Measures!H349)</f>
        <v/>
      </c>
      <c r="F349" s="450" t="str">
        <f>IF(Measures!AM349="Row Not Used","",Measures!I349)</f>
        <v/>
      </c>
      <c r="G349" s="426" t="str">
        <f>IF(OR(Measures!AM349="Row Not Used",Measures!C349="Controls Only",Measures!C349="Decommissioning"),"",_xlfn.CONCAT(Measures!K349," - ",Measures!L349))</f>
        <v/>
      </c>
      <c r="H349" s="442" t="str">
        <f>IF(OR(Measures!AM349="Row Not Used",Measures!C349="Controls Only",Measures!C349="Decommissioning"),"",Measures!M349)</f>
        <v/>
      </c>
      <c r="I349" s="443" t="str">
        <f>IF(OR(Measures!AM349="Row Not Used",Measures!C349="Controls Only",Measures!C349="Decommissioning"),"",Measures!N349)</f>
        <v/>
      </c>
      <c r="J349" s="444" t="str">
        <f>IF(OR(Measures!AM349="Row Not Used",Measures!C349="Controls Only",Measures!C349="Decommissioning"),"",Measures!O349)</f>
        <v/>
      </c>
      <c r="K349" s="425" t="str">
        <f>IF(OR(Measures!AM349="Row Not Used",Measures!C349="Controls Only",Measures!C349="Decommissioning"),"",Measures!AS349)</f>
        <v/>
      </c>
      <c r="L349" s="426" t="str">
        <f>IF(OR(Measures!AM349="Row Not Used",Measures!AM349="Decommissioning",ISBLANK(Measures!R349)),"",Measures!R349)</f>
        <v/>
      </c>
      <c r="M349" s="431" t="str">
        <f>IF(OR(Measures!AM349="Row Not Used",Measures!AM349="Fixtures Only",Measures!AM349="Decommissioning"),"",Measures!S349)</f>
        <v/>
      </c>
      <c r="N349" s="432" t="str">
        <f>IF(Measures!AM349="Row Not Used","",Measures!AF349)</f>
        <v/>
      </c>
      <c r="O349" s="426" t="str">
        <f>IF(Measures!AM349="Row Not Used","",Measures!C349)</f>
        <v/>
      </c>
      <c r="P349" s="133" t="str">
        <f t="shared" si="5"/>
        <v>No</v>
      </c>
    </row>
    <row r="350" spans="1:16" ht="75.599999999999994" customHeight="1" x14ac:dyDescent="0.3">
      <c r="A350" s="454">
        <f>Measures!A350</f>
        <v>343</v>
      </c>
      <c r="B350" s="425" t="str">
        <f>IF(Measures!AM350="Row Not Used","",IF(ISBLANK(Measures!V350),Measures!B350,_xlfn.CONCAT(Measures!B350," - ",Measures!V350)))</f>
        <v/>
      </c>
      <c r="C350" s="426" t="str">
        <f>IF(Measures!AM350="Row Not Used","",_xlfn.CONCAT(Measures!D350," - ",Measures!E350," - ",Measures!F350))</f>
        <v/>
      </c>
      <c r="D350" s="442" t="str">
        <f>IF(Measures!AM350="Row Not Used","",Measures!G350)</f>
        <v/>
      </c>
      <c r="E350" s="443" t="str">
        <f>IF(Measures!AM350="Row Not Used","",Measures!H350)</f>
        <v/>
      </c>
      <c r="F350" s="450" t="str">
        <f>IF(Measures!AM350="Row Not Used","",Measures!I350)</f>
        <v/>
      </c>
      <c r="G350" s="426" t="str">
        <f>IF(OR(Measures!AM350="Row Not Used",Measures!C350="Controls Only",Measures!C350="Decommissioning"),"",_xlfn.CONCAT(Measures!K350," - ",Measures!L350))</f>
        <v/>
      </c>
      <c r="H350" s="442" t="str">
        <f>IF(OR(Measures!AM350="Row Not Used",Measures!C350="Controls Only",Measures!C350="Decommissioning"),"",Measures!M350)</f>
        <v/>
      </c>
      <c r="I350" s="443" t="str">
        <f>IF(OR(Measures!AM350="Row Not Used",Measures!C350="Controls Only",Measures!C350="Decommissioning"),"",Measures!N350)</f>
        <v/>
      </c>
      <c r="J350" s="444" t="str">
        <f>IF(OR(Measures!AM350="Row Not Used",Measures!C350="Controls Only",Measures!C350="Decommissioning"),"",Measures!O350)</f>
        <v/>
      </c>
      <c r="K350" s="425" t="str">
        <f>IF(OR(Measures!AM350="Row Not Used",Measures!C350="Controls Only",Measures!C350="Decommissioning"),"",Measures!AS350)</f>
        <v/>
      </c>
      <c r="L350" s="426" t="str">
        <f>IF(OR(Measures!AM350="Row Not Used",Measures!AM350="Decommissioning",ISBLANK(Measures!R350)),"",Measures!R350)</f>
        <v/>
      </c>
      <c r="M350" s="431" t="str">
        <f>IF(OR(Measures!AM350="Row Not Used",Measures!AM350="Fixtures Only",Measures!AM350="Decommissioning"),"",Measures!S350)</f>
        <v/>
      </c>
      <c r="N350" s="432" t="str">
        <f>IF(Measures!AM350="Row Not Used","",Measures!AF350)</f>
        <v/>
      </c>
      <c r="O350" s="426" t="str">
        <f>IF(Measures!AM350="Row Not Used","",Measures!C350)</f>
        <v/>
      </c>
      <c r="P350" s="133" t="str">
        <f t="shared" si="5"/>
        <v>No</v>
      </c>
    </row>
    <row r="351" spans="1:16" ht="75.599999999999994" customHeight="1" x14ac:dyDescent="0.3">
      <c r="A351" s="454">
        <f>Measures!A351</f>
        <v>344</v>
      </c>
      <c r="B351" s="425" t="str">
        <f>IF(Measures!AM351="Row Not Used","",IF(ISBLANK(Measures!V351),Measures!B351,_xlfn.CONCAT(Measures!B351," - ",Measures!V351)))</f>
        <v/>
      </c>
      <c r="C351" s="426" t="str">
        <f>IF(Measures!AM351="Row Not Used","",_xlfn.CONCAT(Measures!D351," - ",Measures!E351," - ",Measures!F351))</f>
        <v/>
      </c>
      <c r="D351" s="442" t="str">
        <f>IF(Measures!AM351="Row Not Used","",Measures!G351)</f>
        <v/>
      </c>
      <c r="E351" s="443" t="str">
        <f>IF(Measures!AM351="Row Not Used","",Measures!H351)</f>
        <v/>
      </c>
      <c r="F351" s="450" t="str">
        <f>IF(Measures!AM351="Row Not Used","",Measures!I351)</f>
        <v/>
      </c>
      <c r="G351" s="426" t="str">
        <f>IF(OR(Measures!AM351="Row Not Used",Measures!C351="Controls Only",Measures!C351="Decommissioning"),"",_xlfn.CONCAT(Measures!K351," - ",Measures!L351))</f>
        <v/>
      </c>
      <c r="H351" s="442" t="str">
        <f>IF(OR(Measures!AM351="Row Not Used",Measures!C351="Controls Only",Measures!C351="Decommissioning"),"",Measures!M351)</f>
        <v/>
      </c>
      <c r="I351" s="443" t="str">
        <f>IF(OR(Measures!AM351="Row Not Used",Measures!C351="Controls Only",Measures!C351="Decommissioning"),"",Measures!N351)</f>
        <v/>
      </c>
      <c r="J351" s="444" t="str">
        <f>IF(OR(Measures!AM351="Row Not Used",Measures!C351="Controls Only",Measures!C351="Decommissioning"),"",Measures!O351)</f>
        <v/>
      </c>
      <c r="K351" s="425" t="str">
        <f>IF(OR(Measures!AM351="Row Not Used",Measures!C351="Controls Only",Measures!C351="Decommissioning"),"",Measures!AS351)</f>
        <v/>
      </c>
      <c r="L351" s="426" t="str">
        <f>IF(OR(Measures!AM351="Row Not Used",Measures!AM351="Decommissioning",ISBLANK(Measures!R351)),"",Measures!R351)</f>
        <v/>
      </c>
      <c r="M351" s="431" t="str">
        <f>IF(OR(Measures!AM351="Row Not Used",Measures!AM351="Fixtures Only",Measures!AM351="Decommissioning"),"",Measures!S351)</f>
        <v/>
      </c>
      <c r="N351" s="432" t="str">
        <f>IF(Measures!AM351="Row Not Used","",Measures!AF351)</f>
        <v/>
      </c>
      <c r="O351" s="426" t="str">
        <f>IF(Measures!AM351="Row Not Used","",Measures!C351)</f>
        <v/>
      </c>
      <c r="P351" s="133" t="str">
        <f t="shared" si="5"/>
        <v>No</v>
      </c>
    </row>
    <row r="352" spans="1:16" ht="75.599999999999994" customHeight="1" x14ac:dyDescent="0.3">
      <c r="A352" s="454">
        <f>Measures!A352</f>
        <v>345</v>
      </c>
      <c r="B352" s="425" t="str">
        <f>IF(Measures!AM352="Row Not Used","",IF(ISBLANK(Measures!V352),Measures!B352,_xlfn.CONCAT(Measures!B352," - ",Measures!V352)))</f>
        <v/>
      </c>
      <c r="C352" s="426" t="str">
        <f>IF(Measures!AM352="Row Not Used","",_xlfn.CONCAT(Measures!D352," - ",Measures!E352," - ",Measures!F352))</f>
        <v/>
      </c>
      <c r="D352" s="442" t="str">
        <f>IF(Measures!AM352="Row Not Used","",Measures!G352)</f>
        <v/>
      </c>
      <c r="E352" s="443" t="str">
        <f>IF(Measures!AM352="Row Not Used","",Measures!H352)</f>
        <v/>
      </c>
      <c r="F352" s="450" t="str">
        <f>IF(Measures!AM352="Row Not Used","",Measures!I352)</f>
        <v/>
      </c>
      <c r="G352" s="426" t="str">
        <f>IF(OR(Measures!AM352="Row Not Used",Measures!C352="Controls Only",Measures!C352="Decommissioning"),"",_xlfn.CONCAT(Measures!K352," - ",Measures!L352))</f>
        <v/>
      </c>
      <c r="H352" s="442" t="str">
        <f>IF(OR(Measures!AM352="Row Not Used",Measures!C352="Controls Only",Measures!C352="Decommissioning"),"",Measures!M352)</f>
        <v/>
      </c>
      <c r="I352" s="443" t="str">
        <f>IF(OR(Measures!AM352="Row Not Used",Measures!C352="Controls Only",Measures!C352="Decommissioning"),"",Measures!N352)</f>
        <v/>
      </c>
      <c r="J352" s="444" t="str">
        <f>IF(OR(Measures!AM352="Row Not Used",Measures!C352="Controls Only",Measures!C352="Decommissioning"),"",Measures!O352)</f>
        <v/>
      </c>
      <c r="K352" s="425" t="str">
        <f>IF(OR(Measures!AM352="Row Not Used",Measures!C352="Controls Only",Measures!C352="Decommissioning"),"",Measures!AS352)</f>
        <v/>
      </c>
      <c r="L352" s="426" t="str">
        <f>IF(OR(Measures!AM352="Row Not Used",Measures!AM352="Decommissioning",ISBLANK(Measures!R352)),"",Measures!R352)</f>
        <v/>
      </c>
      <c r="M352" s="431" t="str">
        <f>IF(OR(Measures!AM352="Row Not Used",Measures!AM352="Fixtures Only",Measures!AM352="Decommissioning"),"",Measures!S352)</f>
        <v/>
      </c>
      <c r="N352" s="432" t="str">
        <f>IF(Measures!AM352="Row Not Used","",Measures!AF352)</f>
        <v/>
      </c>
      <c r="O352" s="426" t="str">
        <f>IF(Measures!AM352="Row Not Used","",Measures!C352)</f>
        <v/>
      </c>
      <c r="P352" s="133" t="str">
        <f t="shared" si="5"/>
        <v>No</v>
      </c>
    </row>
    <row r="353" spans="1:16" ht="75.599999999999994" customHeight="1" x14ac:dyDescent="0.3">
      <c r="A353" s="454">
        <f>Measures!A353</f>
        <v>346</v>
      </c>
      <c r="B353" s="425" t="str">
        <f>IF(Measures!AM353="Row Not Used","",IF(ISBLANK(Measures!V353),Measures!B353,_xlfn.CONCAT(Measures!B353," - ",Measures!V353)))</f>
        <v/>
      </c>
      <c r="C353" s="426" t="str">
        <f>IF(Measures!AM353="Row Not Used","",_xlfn.CONCAT(Measures!D353," - ",Measures!E353," - ",Measures!F353))</f>
        <v/>
      </c>
      <c r="D353" s="442" t="str">
        <f>IF(Measures!AM353="Row Not Used","",Measures!G353)</f>
        <v/>
      </c>
      <c r="E353" s="443" t="str">
        <f>IF(Measures!AM353="Row Not Used","",Measures!H353)</f>
        <v/>
      </c>
      <c r="F353" s="450" t="str">
        <f>IF(Measures!AM353="Row Not Used","",Measures!I353)</f>
        <v/>
      </c>
      <c r="G353" s="426" t="str">
        <f>IF(OR(Measures!AM353="Row Not Used",Measures!C353="Controls Only",Measures!C353="Decommissioning"),"",_xlfn.CONCAT(Measures!K353," - ",Measures!L353))</f>
        <v/>
      </c>
      <c r="H353" s="442" t="str">
        <f>IF(OR(Measures!AM353="Row Not Used",Measures!C353="Controls Only",Measures!C353="Decommissioning"),"",Measures!M353)</f>
        <v/>
      </c>
      <c r="I353" s="443" t="str">
        <f>IF(OR(Measures!AM353="Row Not Used",Measures!C353="Controls Only",Measures!C353="Decommissioning"),"",Measures!N353)</f>
        <v/>
      </c>
      <c r="J353" s="444" t="str">
        <f>IF(OR(Measures!AM353="Row Not Used",Measures!C353="Controls Only",Measures!C353="Decommissioning"),"",Measures!O353)</f>
        <v/>
      </c>
      <c r="K353" s="425" t="str">
        <f>IF(OR(Measures!AM353="Row Not Used",Measures!C353="Controls Only",Measures!C353="Decommissioning"),"",Measures!AS353)</f>
        <v/>
      </c>
      <c r="L353" s="426" t="str">
        <f>IF(OR(Measures!AM353="Row Not Used",Measures!AM353="Decommissioning",ISBLANK(Measures!R353)),"",Measures!R353)</f>
        <v/>
      </c>
      <c r="M353" s="431" t="str">
        <f>IF(OR(Measures!AM353="Row Not Used",Measures!AM353="Fixtures Only",Measures!AM353="Decommissioning"),"",Measures!S353)</f>
        <v/>
      </c>
      <c r="N353" s="432" t="str">
        <f>IF(Measures!AM353="Row Not Used","",Measures!AF353)</f>
        <v/>
      </c>
      <c r="O353" s="426" t="str">
        <f>IF(Measures!AM353="Row Not Used","",Measures!C353)</f>
        <v/>
      </c>
      <c r="P353" s="133" t="str">
        <f t="shared" si="5"/>
        <v>No</v>
      </c>
    </row>
    <row r="354" spans="1:16" ht="75.599999999999994" customHeight="1" x14ac:dyDescent="0.3">
      <c r="A354" s="454">
        <f>Measures!A354</f>
        <v>347</v>
      </c>
      <c r="B354" s="425" t="str">
        <f>IF(Measures!AM354="Row Not Used","",IF(ISBLANK(Measures!V354),Measures!B354,_xlfn.CONCAT(Measures!B354," - ",Measures!V354)))</f>
        <v/>
      </c>
      <c r="C354" s="426" t="str">
        <f>IF(Measures!AM354="Row Not Used","",_xlfn.CONCAT(Measures!D354," - ",Measures!E354," - ",Measures!F354))</f>
        <v/>
      </c>
      <c r="D354" s="442" t="str">
        <f>IF(Measures!AM354="Row Not Used","",Measures!G354)</f>
        <v/>
      </c>
      <c r="E354" s="443" t="str">
        <f>IF(Measures!AM354="Row Not Used","",Measures!H354)</f>
        <v/>
      </c>
      <c r="F354" s="450" t="str">
        <f>IF(Measures!AM354="Row Not Used","",Measures!I354)</f>
        <v/>
      </c>
      <c r="G354" s="426" t="str">
        <f>IF(OR(Measures!AM354="Row Not Used",Measures!C354="Controls Only",Measures!C354="Decommissioning"),"",_xlfn.CONCAT(Measures!K354," - ",Measures!L354))</f>
        <v/>
      </c>
      <c r="H354" s="442" t="str">
        <f>IF(OR(Measures!AM354="Row Not Used",Measures!C354="Controls Only",Measures!C354="Decommissioning"),"",Measures!M354)</f>
        <v/>
      </c>
      <c r="I354" s="443" t="str">
        <f>IF(OR(Measures!AM354="Row Not Used",Measures!C354="Controls Only",Measures!C354="Decommissioning"),"",Measures!N354)</f>
        <v/>
      </c>
      <c r="J354" s="444" t="str">
        <f>IF(OR(Measures!AM354="Row Not Used",Measures!C354="Controls Only",Measures!C354="Decommissioning"),"",Measures!O354)</f>
        <v/>
      </c>
      <c r="K354" s="425" t="str">
        <f>IF(OR(Measures!AM354="Row Not Used",Measures!C354="Controls Only",Measures!C354="Decommissioning"),"",Measures!AS354)</f>
        <v/>
      </c>
      <c r="L354" s="426" t="str">
        <f>IF(OR(Measures!AM354="Row Not Used",Measures!AM354="Decommissioning",ISBLANK(Measures!R354)),"",Measures!R354)</f>
        <v/>
      </c>
      <c r="M354" s="431" t="str">
        <f>IF(OR(Measures!AM354="Row Not Used",Measures!AM354="Fixtures Only",Measures!AM354="Decommissioning"),"",Measures!S354)</f>
        <v/>
      </c>
      <c r="N354" s="432" t="str">
        <f>IF(Measures!AM354="Row Not Used","",Measures!AF354)</f>
        <v/>
      </c>
      <c r="O354" s="426" t="str">
        <f>IF(Measures!AM354="Row Not Used","",Measures!C354)</f>
        <v/>
      </c>
      <c r="P354" s="133" t="str">
        <f t="shared" si="5"/>
        <v>No</v>
      </c>
    </row>
    <row r="355" spans="1:16" ht="75.599999999999994" customHeight="1" x14ac:dyDescent="0.3">
      <c r="A355" s="454">
        <f>Measures!A355</f>
        <v>348</v>
      </c>
      <c r="B355" s="425" t="str">
        <f>IF(Measures!AM355="Row Not Used","",IF(ISBLANK(Measures!V355),Measures!B355,_xlfn.CONCAT(Measures!B355," - ",Measures!V355)))</f>
        <v/>
      </c>
      <c r="C355" s="426" t="str">
        <f>IF(Measures!AM355="Row Not Used","",_xlfn.CONCAT(Measures!D355," - ",Measures!E355," - ",Measures!F355))</f>
        <v/>
      </c>
      <c r="D355" s="442" t="str">
        <f>IF(Measures!AM355="Row Not Used","",Measures!G355)</f>
        <v/>
      </c>
      <c r="E355" s="443" t="str">
        <f>IF(Measures!AM355="Row Not Used","",Measures!H355)</f>
        <v/>
      </c>
      <c r="F355" s="450" t="str">
        <f>IF(Measures!AM355="Row Not Used","",Measures!I355)</f>
        <v/>
      </c>
      <c r="G355" s="426" t="str">
        <f>IF(OR(Measures!AM355="Row Not Used",Measures!C355="Controls Only",Measures!C355="Decommissioning"),"",_xlfn.CONCAT(Measures!K355," - ",Measures!L355))</f>
        <v/>
      </c>
      <c r="H355" s="442" t="str">
        <f>IF(OR(Measures!AM355="Row Not Used",Measures!C355="Controls Only",Measures!C355="Decommissioning"),"",Measures!M355)</f>
        <v/>
      </c>
      <c r="I355" s="443" t="str">
        <f>IF(OR(Measures!AM355="Row Not Used",Measures!C355="Controls Only",Measures!C355="Decommissioning"),"",Measures!N355)</f>
        <v/>
      </c>
      <c r="J355" s="444" t="str">
        <f>IF(OR(Measures!AM355="Row Not Used",Measures!C355="Controls Only",Measures!C355="Decommissioning"),"",Measures!O355)</f>
        <v/>
      </c>
      <c r="K355" s="425" t="str">
        <f>IF(OR(Measures!AM355="Row Not Used",Measures!C355="Controls Only",Measures!C355="Decommissioning"),"",Measures!AS355)</f>
        <v/>
      </c>
      <c r="L355" s="426" t="str">
        <f>IF(OR(Measures!AM355="Row Not Used",Measures!AM355="Decommissioning",ISBLANK(Measures!R355)),"",Measures!R355)</f>
        <v/>
      </c>
      <c r="M355" s="431" t="str">
        <f>IF(OR(Measures!AM355="Row Not Used",Measures!AM355="Fixtures Only",Measures!AM355="Decommissioning"),"",Measures!S355)</f>
        <v/>
      </c>
      <c r="N355" s="432" t="str">
        <f>IF(Measures!AM355="Row Not Used","",Measures!AF355)</f>
        <v/>
      </c>
      <c r="O355" s="426" t="str">
        <f>IF(Measures!AM355="Row Not Used","",Measures!C355)</f>
        <v/>
      </c>
      <c r="P355" s="133" t="str">
        <f t="shared" si="5"/>
        <v>No</v>
      </c>
    </row>
    <row r="356" spans="1:16" ht="75.599999999999994" customHeight="1" x14ac:dyDescent="0.3">
      <c r="A356" s="454">
        <f>Measures!A356</f>
        <v>349</v>
      </c>
      <c r="B356" s="425" t="str">
        <f>IF(Measures!AM356="Row Not Used","",IF(ISBLANK(Measures!V356),Measures!B356,_xlfn.CONCAT(Measures!B356," - ",Measures!V356)))</f>
        <v/>
      </c>
      <c r="C356" s="426" t="str">
        <f>IF(Measures!AM356="Row Not Used","",_xlfn.CONCAT(Measures!D356," - ",Measures!E356," - ",Measures!F356))</f>
        <v/>
      </c>
      <c r="D356" s="442" t="str">
        <f>IF(Measures!AM356="Row Not Used","",Measures!G356)</f>
        <v/>
      </c>
      <c r="E356" s="443" t="str">
        <f>IF(Measures!AM356="Row Not Used","",Measures!H356)</f>
        <v/>
      </c>
      <c r="F356" s="450" t="str">
        <f>IF(Measures!AM356="Row Not Used","",Measures!I356)</f>
        <v/>
      </c>
      <c r="G356" s="426" t="str">
        <f>IF(OR(Measures!AM356="Row Not Used",Measures!C356="Controls Only",Measures!C356="Decommissioning"),"",_xlfn.CONCAT(Measures!K356," - ",Measures!L356))</f>
        <v/>
      </c>
      <c r="H356" s="442" t="str">
        <f>IF(OR(Measures!AM356="Row Not Used",Measures!C356="Controls Only",Measures!C356="Decommissioning"),"",Measures!M356)</f>
        <v/>
      </c>
      <c r="I356" s="443" t="str">
        <f>IF(OR(Measures!AM356="Row Not Used",Measures!C356="Controls Only",Measures!C356="Decommissioning"),"",Measures!N356)</f>
        <v/>
      </c>
      <c r="J356" s="444" t="str">
        <f>IF(OR(Measures!AM356="Row Not Used",Measures!C356="Controls Only",Measures!C356="Decommissioning"),"",Measures!O356)</f>
        <v/>
      </c>
      <c r="K356" s="425" t="str">
        <f>IF(OR(Measures!AM356="Row Not Used",Measures!C356="Controls Only",Measures!C356="Decommissioning"),"",Measures!AS356)</f>
        <v/>
      </c>
      <c r="L356" s="426" t="str">
        <f>IF(OR(Measures!AM356="Row Not Used",Measures!AM356="Decommissioning",ISBLANK(Measures!R356)),"",Measures!R356)</f>
        <v/>
      </c>
      <c r="M356" s="431" t="str">
        <f>IF(OR(Measures!AM356="Row Not Used",Measures!AM356="Fixtures Only",Measures!AM356="Decommissioning"),"",Measures!S356)</f>
        <v/>
      </c>
      <c r="N356" s="432" t="str">
        <f>IF(Measures!AM356="Row Not Used","",Measures!AF356)</f>
        <v/>
      </c>
      <c r="O356" s="426" t="str">
        <f>IF(Measures!AM356="Row Not Used","",Measures!C356)</f>
        <v/>
      </c>
      <c r="P356" s="133" t="str">
        <f t="shared" si="5"/>
        <v>No</v>
      </c>
    </row>
    <row r="357" spans="1:16" ht="75.599999999999994" customHeight="1" x14ac:dyDescent="0.3">
      <c r="A357" s="454">
        <f>Measures!A357</f>
        <v>350</v>
      </c>
      <c r="B357" s="425" t="str">
        <f>IF(Measures!AM357="Row Not Used","",IF(ISBLANK(Measures!V357),Measures!B357,_xlfn.CONCAT(Measures!B357," - ",Measures!V357)))</f>
        <v/>
      </c>
      <c r="C357" s="426" t="str">
        <f>IF(Measures!AM357="Row Not Used","",_xlfn.CONCAT(Measures!D357," - ",Measures!E357," - ",Measures!F357))</f>
        <v/>
      </c>
      <c r="D357" s="442" t="str">
        <f>IF(Measures!AM357="Row Not Used","",Measures!G357)</f>
        <v/>
      </c>
      <c r="E357" s="443" t="str">
        <f>IF(Measures!AM357="Row Not Used","",Measures!H357)</f>
        <v/>
      </c>
      <c r="F357" s="450" t="str">
        <f>IF(Measures!AM357="Row Not Used","",Measures!I357)</f>
        <v/>
      </c>
      <c r="G357" s="426" t="str">
        <f>IF(OR(Measures!AM357="Row Not Used",Measures!C357="Controls Only",Measures!C357="Decommissioning"),"",_xlfn.CONCAT(Measures!K357," - ",Measures!L357))</f>
        <v/>
      </c>
      <c r="H357" s="442" t="str">
        <f>IF(OR(Measures!AM357="Row Not Used",Measures!C357="Controls Only",Measures!C357="Decommissioning"),"",Measures!M357)</f>
        <v/>
      </c>
      <c r="I357" s="443" t="str">
        <f>IF(OR(Measures!AM357="Row Not Used",Measures!C357="Controls Only",Measures!C357="Decommissioning"),"",Measures!N357)</f>
        <v/>
      </c>
      <c r="J357" s="444" t="str">
        <f>IF(OR(Measures!AM357="Row Not Used",Measures!C357="Controls Only",Measures!C357="Decommissioning"),"",Measures!O357)</f>
        <v/>
      </c>
      <c r="K357" s="425" t="str">
        <f>IF(OR(Measures!AM357="Row Not Used",Measures!C357="Controls Only",Measures!C357="Decommissioning"),"",Measures!AS357)</f>
        <v/>
      </c>
      <c r="L357" s="426" t="str">
        <f>IF(OR(Measures!AM357="Row Not Used",Measures!AM357="Decommissioning",ISBLANK(Measures!R357)),"",Measures!R357)</f>
        <v/>
      </c>
      <c r="M357" s="431" t="str">
        <f>IF(OR(Measures!AM357="Row Not Used",Measures!AM357="Fixtures Only",Measures!AM357="Decommissioning"),"",Measures!S357)</f>
        <v/>
      </c>
      <c r="N357" s="432" t="str">
        <f>IF(Measures!AM357="Row Not Used","",Measures!AF357)</f>
        <v/>
      </c>
      <c r="O357" s="426" t="str">
        <f>IF(Measures!AM357="Row Not Used","",Measures!C357)</f>
        <v/>
      </c>
      <c r="P357" s="133" t="str">
        <f t="shared" si="5"/>
        <v>No</v>
      </c>
    </row>
    <row r="358" spans="1:16" ht="75.599999999999994" customHeight="1" x14ac:dyDescent="0.3">
      <c r="A358" s="454">
        <f>Measures!A358</f>
        <v>351</v>
      </c>
      <c r="B358" s="425" t="str">
        <f>IF(Measures!AM358="Row Not Used","",IF(ISBLANK(Measures!V358),Measures!B358,_xlfn.CONCAT(Measures!B358," - ",Measures!V358)))</f>
        <v/>
      </c>
      <c r="C358" s="426" t="str">
        <f>IF(Measures!AM358="Row Not Used","",_xlfn.CONCAT(Measures!D358," - ",Measures!E358," - ",Measures!F358))</f>
        <v/>
      </c>
      <c r="D358" s="442" t="str">
        <f>IF(Measures!AM358="Row Not Used","",Measures!G358)</f>
        <v/>
      </c>
      <c r="E358" s="443" t="str">
        <f>IF(Measures!AM358="Row Not Used","",Measures!H358)</f>
        <v/>
      </c>
      <c r="F358" s="450" t="str">
        <f>IF(Measures!AM358="Row Not Used","",Measures!I358)</f>
        <v/>
      </c>
      <c r="G358" s="426" t="str">
        <f>IF(OR(Measures!AM358="Row Not Used",Measures!C358="Controls Only",Measures!C358="Decommissioning"),"",_xlfn.CONCAT(Measures!K358," - ",Measures!L358))</f>
        <v/>
      </c>
      <c r="H358" s="442" t="str">
        <f>IF(OR(Measures!AM358="Row Not Used",Measures!C358="Controls Only",Measures!C358="Decommissioning"),"",Measures!M358)</f>
        <v/>
      </c>
      <c r="I358" s="443" t="str">
        <f>IF(OR(Measures!AM358="Row Not Used",Measures!C358="Controls Only",Measures!C358="Decommissioning"),"",Measures!N358)</f>
        <v/>
      </c>
      <c r="J358" s="444" t="str">
        <f>IF(OR(Measures!AM358="Row Not Used",Measures!C358="Controls Only",Measures!C358="Decommissioning"),"",Measures!O358)</f>
        <v/>
      </c>
      <c r="K358" s="425" t="str">
        <f>IF(OR(Measures!AM358="Row Not Used",Measures!C358="Controls Only",Measures!C358="Decommissioning"),"",Measures!AS358)</f>
        <v/>
      </c>
      <c r="L358" s="426" t="str">
        <f>IF(OR(Measures!AM358="Row Not Used",Measures!AM358="Decommissioning",ISBLANK(Measures!R358)),"",Measures!R358)</f>
        <v/>
      </c>
      <c r="M358" s="431" t="str">
        <f>IF(OR(Measures!AM358="Row Not Used",Measures!AM358="Fixtures Only",Measures!AM358="Decommissioning"),"",Measures!S358)</f>
        <v/>
      </c>
      <c r="N358" s="432" t="str">
        <f>IF(Measures!AM358="Row Not Used","",Measures!AF358)</f>
        <v/>
      </c>
      <c r="O358" s="426" t="str">
        <f>IF(Measures!AM358="Row Not Used","",Measures!C358)</f>
        <v/>
      </c>
      <c r="P358" s="133" t="str">
        <f t="shared" si="5"/>
        <v>No</v>
      </c>
    </row>
    <row r="359" spans="1:16" ht="75.599999999999994" customHeight="1" x14ac:dyDescent="0.3">
      <c r="A359" s="454">
        <f>Measures!A359</f>
        <v>352</v>
      </c>
      <c r="B359" s="425" t="str">
        <f>IF(Measures!AM359="Row Not Used","",IF(ISBLANK(Measures!V359),Measures!B359,_xlfn.CONCAT(Measures!B359," - ",Measures!V359)))</f>
        <v/>
      </c>
      <c r="C359" s="426" t="str">
        <f>IF(Measures!AM359="Row Not Used","",_xlfn.CONCAT(Measures!D359," - ",Measures!E359," - ",Measures!F359))</f>
        <v/>
      </c>
      <c r="D359" s="442" t="str">
        <f>IF(Measures!AM359="Row Not Used","",Measures!G359)</f>
        <v/>
      </c>
      <c r="E359" s="443" t="str">
        <f>IF(Measures!AM359="Row Not Used","",Measures!H359)</f>
        <v/>
      </c>
      <c r="F359" s="450" t="str">
        <f>IF(Measures!AM359="Row Not Used","",Measures!I359)</f>
        <v/>
      </c>
      <c r="G359" s="426" t="str">
        <f>IF(OR(Measures!AM359="Row Not Used",Measures!C359="Controls Only",Measures!C359="Decommissioning"),"",_xlfn.CONCAT(Measures!K359," - ",Measures!L359))</f>
        <v/>
      </c>
      <c r="H359" s="442" t="str">
        <f>IF(OR(Measures!AM359="Row Not Used",Measures!C359="Controls Only",Measures!C359="Decommissioning"),"",Measures!M359)</f>
        <v/>
      </c>
      <c r="I359" s="443" t="str">
        <f>IF(OR(Measures!AM359="Row Not Used",Measures!C359="Controls Only",Measures!C359="Decommissioning"),"",Measures!N359)</f>
        <v/>
      </c>
      <c r="J359" s="444" t="str">
        <f>IF(OR(Measures!AM359="Row Not Used",Measures!C359="Controls Only",Measures!C359="Decommissioning"),"",Measures!O359)</f>
        <v/>
      </c>
      <c r="K359" s="425" t="str">
        <f>IF(OR(Measures!AM359="Row Not Used",Measures!C359="Controls Only",Measures!C359="Decommissioning"),"",Measures!AS359)</f>
        <v/>
      </c>
      <c r="L359" s="426" t="str">
        <f>IF(OR(Measures!AM359="Row Not Used",Measures!AM359="Decommissioning",ISBLANK(Measures!R359)),"",Measures!R359)</f>
        <v/>
      </c>
      <c r="M359" s="431" t="str">
        <f>IF(OR(Measures!AM359="Row Not Used",Measures!AM359="Fixtures Only",Measures!AM359="Decommissioning"),"",Measures!S359)</f>
        <v/>
      </c>
      <c r="N359" s="432" t="str">
        <f>IF(Measures!AM359="Row Not Used","",Measures!AF359)</f>
        <v/>
      </c>
      <c r="O359" s="426" t="str">
        <f>IF(Measures!AM359="Row Not Used","",Measures!C359)</f>
        <v/>
      </c>
      <c r="P359" s="133" t="str">
        <f t="shared" si="5"/>
        <v>No</v>
      </c>
    </row>
    <row r="360" spans="1:16" ht="75.599999999999994" customHeight="1" x14ac:dyDescent="0.3">
      <c r="A360" s="454">
        <f>Measures!A360</f>
        <v>353</v>
      </c>
      <c r="B360" s="425" t="str">
        <f>IF(Measures!AM360="Row Not Used","",IF(ISBLANK(Measures!V360),Measures!B360,_xlfn.CONCAT(Measures!B360," - ",Measures!V360)))</f>
        <v/>
      </c>
      <c r="C360" s="426" t="str">
        <f>IF(Measures!AM360="Row Not Used","",_xlfn.CONCAT(Measures!D360," - ",Measures!E360," - ",Measures!F360))</f>
        <v/>
      </c>
      <c r="D360" s="442" t="str">
        <f>IF(Measures!AM360="Row Not Used","",Measures!G360)</f>
        <v/>
      </c>
      <c r="E360" s="443" t="str">
        <f>IF(Measures!AM360="Row Not Used","",Measures!H360)</f>
        <v/>
      </c>
      <c r="F360" s="450" t="str">
        <f>IF(Measures!AM360="Row Not Used","",Measures!I360)</f>
        <v/>
      </c>
      <c r="G360" s="426" t="str">
        <f>IF(OR(Measures!AM360="Row Not Used",Measures!C360="Controls Only",Measures!C360="Decommissioning"),"",_xlfn.CONCAT(Measures!K360," - ",Measures!L360))</f>
        <v/>
      </c>
      <c r="H360" s="442" t="str">
        <f>IF(OR(Measures!AM360="Row Not Used",Measures!C360="Controls Only",Measures!C360="Decommissioning"),"",Measures!M360)</f>
        <v/>
      </c>
      <c r="I360" s="443" t="str">
        <f>IF(OR(Measures!AM360="Row Not Used",Measures!C360="Controls Only",Measures!C360="Decommissioning"),"",Measures!N360)</f>
        <v/>
      </c>
      <c r="J360" s="444" t="str">
        <f>IF(OR(Measures!AM360="Row Not Used",Measures!C360="Controls Only",Measures!C360="Decommissioning"),"",Measures!O360)</f>
        <v/>
      </c>
      <c r="K360" s="425" t="str">
        <f>IF(OR(Measures!AM360="Row Not Used",Measures!C360="Controls Only",Measures!C360="Decommissioning"),"",Measures!AS360)</f>
        <v/>
      </c>
      <c r="L360" s="426" t="str">
        <f>IF(OR(Measures!AM360="Row Not Used",Measures!AM360="Decommissioning",ISBLANK(Measures!R360)),"",Measures!R360)</f>
        <v/>
      </c>
      <c r="M360" s="431" t="str">
        <f>IF(OR(Measures!AM360="Row Not Used",Measures!AM360="Fixtures Only",Measures!AM360="Decommissioning"),"",Measures!S360)</f>
        <v/>
      </c>
      <c r="N360" s="432" t="str">
        <f>IF(Measures!AM360="Row Not Used","",Measures!AF360)</f>
        <v/>
      </c>
      <c r="O360" s="426" t="str">
        <f>IF(Measures!AM360="Row Not Used","",Measures!C360)</f>
        <v/>
      </c>
      <c r="P360" s="133" t="str">
        <f t="shared" si="5"/>
        <v>No</v>
      </c>
    </row>
    <row r="361" spans="1:16" ht="75.599999999999994" customHeight="1" x14ac:dyDescent="0.3">
      <c r="A361" s="454">
        <f>Measures!A361</f>
        <v>354</v>
      </c>
      <c r="B361" s="425" t="str">
        <f>IF(Measures!AM361="Row Not Used","",IF(ISBLANK(Measures!V361),Measures!B361,_xlfn.CONCAT(Measures!B361," - ",Measures!V361)))</f>
        <v/>
      </c>
      <c r="C361" s="426" t="str">
        <f>IF(Measures!AM361="Row Not Used","",_xlfn.CONCAT(Measures!D361," - ",Measures!E361," - ",Measures!F361))</f>
        <v/>
      </c>
      <c r="D361" s="442" t="str">
        <f>IF(Measures!AM361="Row Not Used","",Measures!G361)</f>
        <v/>
      </c>
      <c r="E361" s="443" t="str">
        <f>IF(Measures!AM361="Row Not Used","",Measures!H361)</f>
        <v/>
      </c>
      <c r="F361" s="450" t="str">
        <f>IF(Measures!AM361="Row Not Used","",Measures!I361)</f>
        <v/>
      </c>
      <c r="G361" s="426" t="str">
        <f>IF(OR(Measures!AM361="Row Not Used",Measures!C361="Controls Only",Measures!C361="Decommissioning"),"",_xlfn.CONCAT(Measures!K361," - ",Measures!L361))</f>
        <v/>
      </c>
      <c r="H361" s="442" t="str">
        <f>IF(OR(Measures!AM361="Row Not Used",Measures!C361="Controls Only",Measures!C361="Decommissioning"),"",Measures!M361)</f>
        <v/>
      </c>
      <c r="I361" s="443" t="str">
        <f>IF(OR(Measures!AM361="Row Not Used",Measures!C361="Controls Only",Measures!C361="Decommissioning"),"",Measures!N361)</f>
        <v/>
      </c>
      <c r="J361" s="444" t="str">
        <f>IF(OR(Measures!AM361="Row Not Used",Measures!C361="Controls Only",Measures!C361="Decommissioning"),"",Measures!O361)</f>
        <v/>
      </c>
      <c r="K361" s="425" t="str">
        <f>IF(OR(Measures!AM361="Row Not Used",Measures!C361="Controls Only",Measures!C361="Decommissioning"),"",Measures!AS361)</f>
        <v/>
      </c>
      <c r="L361" s="426" t="str">
        <f>IF(OR(Measures!AM361="Row Not Used",Measures!AM361="Decommissioning",ISBLANK(Measures!R361)),"",Measures!R361)</f>
        <v/>
      </c>
      <c r="M361" s="431" t="str">
        <f>IF(OR(Measures!AM361="Row Not Used",Measures!AM361="Fixtures Only",Measures!AM361="Decommissioning"),"",Measures!S361)</f>
        <v/>
      </c>
      <c r="N361" s="432" t="str">
        <f>IF(Measures!AM361="Row Not Used","",Measures!AF361)</f>
        <v/>
      </c>
      <c r="O361" s="426" t="str">
        <f>IF(Measures!AM361="Row Not Used","",Measures!C361)</f>
        <v/>
      </c>
      <c r="P361" s="133" t="str">
        <f t="shared" si="5"/>
        <v>No</v>
      </c>
    </row>
    <row r="362" spans="1:16" ht="75.599999999999994" customHeight="1" x14ac:dyDescent="0.3">
      <c r="A362" s="454">
        <f>Measures!A362</f>
        <v>355</v>
      </c>
      <c r="B362" s="425" t="str">
        <f>IF(Measures!AM362="Row Not Used","",IF(ISBLANK(Measures!V362),Measures!B362,_xlfn.CONCAT(Measures!B362," - ",Measures!V362)))</f>
        <v/>
      </c>
      <c r="C362" s="426" t="str">
        <f>IF(Measures!AM362="Row Not Used","",_xlfn.CONCAT(Measures!D362," - ",Measures!E362," - ",Measures!F362))</f>
        <v/>
      </c>
      <c r="D362" s="442" t="str">
        <f>IF(Measures!AM362="Row Not Used","",Measures!G362)</f>
        <v/>
      </c>
      <c r="E362" s="443" t="str">
        <f>IF(Measures!AM362="Row Not Used","",Measures!H362)</f>
        <v/>
      </c>
      <c r="F362" s="450" t="str">
        <f>IF(Measures!AM362="Row Not Used","",Measures!I362)</f>
        <v/>
      </c>
      <c r="G362" s="426" t="str">
        <f>IF(OR(Measures!AM362="Row Not Used",Measures!C362="Controls Only",Measures!C362="Decommissioning"),"",_xlfn.CONCAT(Measures!K362," - ",Measures!L362))</f>
        <v/>
      </c>
      <c r="H362" s="442" t="str">
        <f>IF(OR(Measures!AM362="Row Not Used",Measures!C362="Controls Only",Measures!C362="Decommissioning"),"",Measures!M362)</f>
        <v/>
      </c>
      <c r="I362" s="443" t="str">
        <f>IF(OR(Measures!AM362="Row Not Used",Measures!C362="Controls Only",Measures!C362="Decommissioning"),"",Measures!N362)</f>
        <v/>
      </c>
      <c r="J362" s="444" t="str">
        <f>IF(OR(Measures!AM362="Row Not Used",Measures!C362="Controls Only",Measures!C362="Decommissioning"),"",Measures!O362)</f>
        <v/>
      </c>
      <c r="K362" s="425" t="str">
        <f>IF(OR(Measures!AM362="Row Not Used",Measures!C362="Controls Only",Measures!C362="Decommissioning"),"",Measures!AS362)</f>
        <v/>
      </c>
      <c r="L362" s="426" t="str">
        <f>IF(OR(Measures!AM362="Row Not Used",Measures!AM362="Decommissioning",ISBLANK(Measures!R362)),"",Measures!R362)</f>
        <v/>
      </c>
      <c r="M362" s="431" t="str">
        <f>IF(OR(Measures!AM362="Row Not Used",Measures!AM362="Fixtures Only",Measures!AM362="Decommissioning"),"",Measures!S362)</f>
        <v/>
      </c>
      <c r="N362" s="432" t="str">
        <f>IF(Measures!AM362="Row Not Used","",Measures!AF362)</f>
        <v/>
      </c>
      <c r="O362" s="426" t="str">
        <f>IF(Measures!AM362="Row Not Used","",Measures!C362)</f>
        <v/>
      </c>
      <c r="P362" s="133" t="str">
        <f t="shared" si="5"/>
        <v>No</v>
      </c>
    </row>
    <row r="363" spans="1:16" ht="75.599999999999994" customHeight="1" x14ac:dyDescent="0.3">
      <c r="A363" s="454">
        <f>Measures!A363</f>
        <v>356</v>
      </c>
      <c r="B363" s="425" t="str">
        <f>IF(Measures!AM363="Row Not Used","",IF(ISBLANK(Measures!V363),Measures!B363,_xlfn.CONCAT(Measures!B363," - ",Measures!V363)))</f>
        <v/>
      </c>
      <c r="C363" s="426" t="str">
        <f>IF(Measures!AM363="Row Not Used","",_xlfn.CONCAT(Measures!D363," - ",Measures!E363," - ",Measures!F363))</f>
        <v/>
      </c>
      <c r="D363" s="442" t="str">
        <f>IF(Measures!AM363="Row Not Used","",Measures!G363)</f>
        <v/>
      </c>
      <c r="E363" s="443" t="str">
        <f>IF(Measures!AM363="Row Not Used","",Measures!H363)</f>
        <v/>
      </c>
      <c r="F363" s="450" t="str">
        <f>IF(Measures!AM363="Row Not Used","",Measures!I363)</f>
        <v/>
      </c>
      <c r="G363" s="426" t="str">
        <f>IF(OR(Measures!AM363="Row Not Used",Measures!C363="Controls Only",Measures!C363="Decommissioning"),"",_xlfn.CONCAT(Measures!K363," - ",Measures!L363))</f>
        <v/>
      </c>
      <c r="H363" s="442" t="str">
        <f>IF(OR(Measures!AM363="Row Not Used",Measures!C363="Controls Only",Measures!C363="Decommissioning"),"",Measures!M363)</f>
        <v/>
      </c>
      <c r="I363" s="443" t="str">
        <f>IF(OR(Measures!AM363="Row Not Used",Measures!C363="Controls Only",Measures!C363="Decommissioning"),"",Measures!N363)</f>
        <v/>
      </c>
      <c r="J363" s="444" t="str">
        <f>IF(OR(Measures!AM363="Row Not Used",Measures!C363="Controls Only",Measures!C363="Decommissioning"),"",Measures!O363)</f>
        <v/>
      </c>
      <c r="K363" s="425" t="str">
        <f>IF(OR(Measures!AM363="Row Not Used",Measures!C363="Controls Only",Measures!C363="Decommissioning"),"",Measures!AS363)</f>
        <v/>
      </c>
      <c r="L363" s="426" t="str">
        <f>IF(OR(Measures!AM363="Row Not Used",Measures!AM363="Decommissioning",ISBLANK(Measures!R363)),"",Measures!R363)</f>
        <v/>
      </c>
      <c r="M363" s="431" t="str">
        <f>IF(OR(Measures!AM363="Row Not Used",Measures!AM363="Fixtures Only",Measures!AM363="Decommissioning"),"",Measures!S363)</f>
        <v/>
      </c>
      <c r="N363" s="432" t="str">
        <f>IF(Measures!AM363="Row Not Used","",Measures!AF363)</f>
        <v/>
      </c>
      <c r="O363" s="426" t="str">
        <f>IF(Measures!AM363="Row Not Used","",Measures!C363)</f>
        <v/>
      </c>
      <c r="P363" s="133" t="str">
        <f t="shared" si="5"/>
        <v>No</v>
      </c>
    </row>
    <row r="364" spans="1:16" ht="75.599999999999994" customHeight="1" x14ac:dyDescent="0.3">
      <c r="A364" s="454">
        <f>Measures!A364</f>
        <v>357</v>
      </c>
      <c r="B364" s="425" t="str">
        <f>IF(Measures!AM364="Row Not Used","",IF(ISBLANK(Measures!V364),Measures!B364,_xlfn.CONCAT(Measures!B364," - ",Measures!V364)))</f>
        <v/>
      </c>
      <c r="C364" s="426" t="str">
        <f>IF(Measures!AM364="Row Not Used","",_xlfn.CONCAT(Measures!D364," - ",Measures!E364," - ",Measures!F364))</f>
        <v/>
      </c>
      <c r="D364" s="442" t="str">
        <f>IF(Measures!AM364="Row Not Used","",Measures!G364)</f>
        <v/>
      </c>
      <c r="E364" s="443" t="str">
        <f>IF(Measures!AM364="Row Not Used","",Measures!H364)</f>
        <v/>
      </c>
      <c r="F364" s="450" t="str">
        <f>IF(Measures!AM364="Row Not Used","",Measures!I364)</f>
        <v/>
      </c>
      <c r="G364" s="426" t="str">
        <f>IF(OR(Measures!AM364="Row Not Used",Measures!C364="Controls Only",Measures!C364="Decommissioning"),"",_xlfn.CONCAT(Measures!K364," - ",Measures!L364))</f>
        <v/>
      </c>
      <c r="H364" s="442" t="str">
        <f>IF(OR(Measures!AM364="Row Not Used",Measures!C364="Controls Only",Measures!C364="Decommissioning"),"",Measures!M364)</f>
        <v/>
      </c>
      <c r="I364" s="443" t="str">
        <f>IF(OR(Measures!AM364="Row Not Used",Measures!C364="Controls Only",Measures!C364="Decommissioning"),"",Measures!N364)</f>
        <v/>
      </c>
      <c r="J364" s="444" t="str">
        <f>IF(OR(Measures!AM364="Row Not Used",Measures!C364="Controls Only",Measures!C364="Decommissioning"),"",Measures!O364)</f>
        <v/>
      </c>
      <c r="K364" s="425" t="str">
        <f>IF(OR(Measures!AM364="Row Not Used",Measures!C364="Controls Only",Measures!C364="Decommissioning"),"",Measures!AS364)</f>
        <v/>
      </c>
      <c r="L364" s="426" t="str">
        <f>IF(OR(Measures!AM364="Row Not Used",Measures!AM364="Decommissioning",ISBLANK(Measures!R364)),"",Measures!R364)</f>
        <v/>
      </c>
      <c r="M364" s="431" t="str">
        <f>IF(OR(Measures!AM364="Row Not Used",Measures!AM364="Fixtures Only",Measures!AM364="Decommissioning"),"",Measures!S364)</f>
        <v/>
      </c>
      <c r="N364" s="432" t="str">
        <f>IF(Measures!AM364="Row Not Used","",Measures!AF364)</f>
        <v/>
      </c>
      <c r="O364" s="426" t="str">
        <f>IF(Measures!AM364="Row Not Used","",Measures!C364)</f>
        <v/>
      </c>
      <c r="P364" s="133" t="str">
        <f t="shared" si="5"/>
        <v>No</v>
      </c>
    </row>
    <row r="365" spans="1:16" ht="75.599999999999994" customHeight="1" x14ac:dyDescent="0.3">
      <c r="A365" s="454">
        <f>Measures!A365</f>
        <v>358</v>
      </c>
      <c r="B365" s="425" t="str">
        <f>IF(Measures!AM365="Row Not Used","",IF(ISBLANK(Measures!V365),Measures!B365,_xlfn.CONCAT(Measures!B365," - ",Measures!V365)))</f>
        <v/>
      </c>
      <c r="C365" s="426" t="str">
        <f>IF(Measures!AM365="Row Not Used","",_xlfn.CONCAT(Measures!D365," - ",Measures!E365," - ",Measures!F365))</f>
        <v/>
      </c>
      <c r="D365" s="442" t="str">
        <f>IF(Measures!AM365="Row Not Used","",Measures!G365)</f>
        <v/>
      </c>
      <c r="E365" s="443" t="str">
        <f>IF(Measures!AM365="Row Not Used","",Measures!H365)</f>
        <v/>
      </c>
      <c r="F365" s="450" t="str">
        <f>IF(Measures!AM365="Row Not Used","",Measures!I365)</f>
        <v/>
      </c>
      <c r="G365" s="426" t="str">
        <f>IF(OR(Measures!AM365="Row Not Used",Measures!C365="Controls Only",Measures!C365="Decommissioning"),"",_xlfn.CONCAT(Measures!K365," - ",Measures!L365))</f>
        <v/>
      </c>
      <c r="H365" s="442" t="str">
        <f>IF(OR(Measures!AM365="Row Not Used",Measures!C365="Controls Only",Measures!C365="Decommissioning"),"",Measures!M365)</f>
        <v/>
      </c>
      <c r="I365" s="443" t="str">
        <f>IF(OR(Measures!AM365="Row Not Used",Measures!C365="Controls Only",Measures!C365="Decommissioning"),"",Measures!N365)</f>
        <v/>
      </c>
      <c r="J365" s="444" t="str">
        <f>IF(OR(Measures!AM365="Row Not Used",Measures!C365="Controls Only",Measures!C365="Decommissioning"),"",Measures!O365)</f>
        <v/>
      </c>
      <c r="K365" s="425" t="str">
        <f>IF(OR(Measures!AM365="Row Not Used",Measures!C365="Controls Only",Measures!C365="Decommissioning"),"",Measures!AS365)</f>
        <v/>
      </c>
      <c r="L365" s="426" t="str">
        <f>IF(OR(Measures!AM365="Row Not Used",Measures!AM365="Decommissioning",ISBLANK(Measures!R365)),"",Measures!R365)</f>
        <v/>
      </c>
      <c r="M365" s="431" t="str">
        <f>IF(OR(Measures!AM365="Row Not Used",Measures!AM365="Fixtures Only",Measures!AM365="Decommissioning"),"",Measures!S365)</f>
        <v/>
      </c>
      <c r="N365" s="432" t="str">
        <f>IF(Measures!AM365="Row Not Used","",Measures!AF365)</f>
        <v/>
      </c>
      <c r="O365" s="426" t="str">
        <f>IF(Measures!AM365="Row Not Used","",Measures!C365)</f>
        <v/>
      </c>
      <c r="P365" s="133" t="str">
        <f t="shared" si="5"/>
        <v>No</v>
      </c>
    </row>
    <row r="366" spans="1:16" ht="75.599999999999994" customHeight="1" x14ac:dyDescent="0.3">
      <c r="A366" s="454">
        <f>Measures!A366</f>
        <v>359</v>
      </c>
      <c r="B366" s="425" t="str">
        <f>IF(Measures!AM366="Row Not Used","",IF(ISBLANK(Measures!V366),Measures!B366,_xlfn.CONCAT(Measures!B366," - ",Measures!V366)))</f>
        <v/>
      </c>
      <c r="C366" s="426" t="str">
        <f>IF(Measures!AM366="Row Not Used","",_xlfn.CONCAT(Measures!D366," - ",Measures!E366," - ",Measures!F366))</f>
        <v/>
      </c>
      <c r="D366" s="442" t="str">
        <f>IF(Measures!AM366="Row Not Used","",Measures!G366)</f>
        <v/>
      </c>
      <c r="E366" s="443" t="str">
        <f>IF(Measures!AM366="Row Not Used","",Measures!H366)</f>
        <v/>
      </c>
      <c r="F366" s="450" t="str">
        <f>IF(Measures!AM366="Row Not Used","",Measures!I366)</f>
        <v/>
      </c>
      <c r="G366" s="426" t="str">
        <f>IF(OR(Measures!AM366="Row Not Used",Measures!C366="Controls Only",Measures!C366="Decommissioning"),"",_xlfn.CONCAT(Measures!K366," - ",Measures!L366))</f>
        <v/>
      </c>
      <c r="H366" s="442" t="str">
        <f>IF(OR(Measures!AM366="Row Not Used",Measures!C366="Controls Only",Measures!C366="Decommissioning"),"",Measures!M366)</f>
        <v/>
      </c>
      <c r="I366" s="443" t="str">
        <f>IF(OR(Measures!AM366="Row Not Used",Measures!C366="Controls Only",Measures!C366="Decommissioning"),"",Measures!N366)</f>
        <v/>
      </c>
      <c r="J366" s="444" t="str">
        <f>IF(OR(Measures!AM366="Row Not Used",Measures!C366="Controls Only",Measures!C366="Decommissioning"),"",Measures!O366)</f>
        <v/>
      </c>
      <c r="K366" s="425" t="str">
        <f>IF(OR(Measures!AM366="Row Not Used",Measures!C366="Controls Only",Measures!C366="Decommissioning"),"",Measures!AS366)</f>
        <v/>
      </c>
      <c r="L366" s="426" t="str">
        <f>IF(OR(Measures!AM366="Row Not Used",Measures!AM366="Decommissioning",ISBLANK(Measures!R366)),"",Measures!R366)</f>
        <v/>
      </c>
      <c r="M366" s="431" t="str">
        <f>IF(OR(Measures!AM366="Row Not Used",Measures!AM366="Fixtures Only",Measures!AM366="Decommissioning"),"",Measures!S366)</f>
        <v/>
      </c>
      <c r="N366" s="432" t="str">
        <f>IF(Measures!AM366="Row Not Used","",Measures!AF366)</f>
        <v/>
      </c>
      <c r="O366" s="426" t="str">
        <f>IF(Measures!AM366="Row Not Used","",Measures!C366)</f>
        <v/>
      </c>
      <c r="P366" s="133" t="str">
        <f t="shared" si="5"/>
        <v>No</v>
      </c>
    </row>
    <row r="367" spans="1:16" ht="75.599999999999994" customHeight="1" x14ac:dyDescent="0.3">
      <c r="A367" s="454">
        <f>Measures!A367</f>
        <v>360</v>
      </c>
      <c r="B367" s="425" t="str">
        <f>IF(Measures!AM367="Row Not Used","",IF(ISBLANK(Measures!V367),Measures!B367,_xlfn.CONCAT(Measures!B367," - ",Measures!V367)))</f>
        <v/>
      </c>
      <c r="C367" s="426" t="str">
        <f>IF(Measures!AM367="Row Not Used","",_xlfn.CONCAT(Measures!D367," - ",Measures!E367," - ",Measures!F367))</f>
        <v/>
      </c>
      <c r="D367" s="442" t="str">
        <f>IF(Measures!AM367="Row Not Used","",Measures!G367)</f>
        <v/>
      </c>
      <c r="E367" s="443" t="str">
        <f>IF(Measures!AM367="Row Not Used","",Measures!H367)</f>
        <v/>
      </c>
      <c r="F367" s="450" t="str">
        <f>IF(Measures!AM367="Row Not Used","",Measures!I367)</f>
        <v/>
      </c>
      <c r="G367" s="426" t="str">
        <f>IF(OR(Measures!AM367="Row Not Used",Measures!C367="Controls Only",Measures!C367="Decommissioning"),"",_xlfn.CONCAT(Measures!K367," - ",Measures!L367))</f>
        <v/>
      </c>
      <c r="H367" s="442" t="str">
        <f>IF(OR(Measures!AM367="Row Not Used",Measures!C367="Controls Only",Measures!C367="Decommissioning"),"",Measures!M367)</f>
        <v/>
      </c>
      <c r="I367" s="443" t="str">
        <f>IF(OR(Measures!AM367="Row Not Used",Measures!C367="Controls Only",Measures!C367="Decommissioning"),"",Measures!N367)</f>
        <v/>
      </c>
      <c r="J367" s="444" t="str">
        <f>IF(OR(Measures!AM367="Row Not Used",Measures!C367="Controls Only",Measures!C367="Decommissioning"),"",Measures!O367)</f>
        <v/>
      </c>
      <c r="K367" s="425" t="str">
        <f>IF(OR(Measures!AM367="Row Not Used",Measures!C367="Controls Only",Measures!C367="Decommissioning"),"",Measures!AS367)</f>
        <v/>
      </c>
      <c r="L367" s="426" t="str">
        <f>IF(OR(Measures!AM367="Row Not Used",Measures!AM367="Decommissioning",ISBLANK(Measures!R367)),"",Measures!R367)</f>
        <v/>
      </c>
      <c r="M367" s="431" t="str">
        <f>IF(OR(Measures!AM367="Row Not Used",Measures!AM367="Fixtures Only",Measures!AM367="Decommissioning"),"",Measures!S367)</f>
        <v/>
      </c>
      <c r="N367" s="432" t="str">
        <f>IF(Measures!AM367="Row Not Used","",Measures!AF367)</f>
        <v/>
      </c>
      <c r="O367" s="426" t="str">
        <f>IF(Measures!AM367="Row Not Used","",Measures!C367)</f>
        <v/>
      </c>
      <c r="P367" s="133" t="str">
        <f t="shared" si="5"/>
        <v>No</v>
      </c>
    </row>
    <row r="368" spans="1:16" ht="75.599999999999994" customHeight="1" x14ac:dyDescent="0.3">
      <c r="A368" s="454">
        <f>Measures!A368</f>
        <v>361</v>
      </c>
      <c r="B368" s="425" t="str">
        <f>IF(Measures!AM368="Row Not Used","",IF(ISBLANK(Measures!V368),Measures!B368,_xlfn.CONCAT(Measures!B368," - ",Measures!V368)))</f>
        <v/>
      </c>
      <c r="C368" s="426" t="str">
        <f>IF(Measures!AM368="Row Not Used","",_xlfn.CONCAT(Measures!D368," - ",Measures!E368," - ",Measures!F368))</f>
        <v/>
      </c>
      <c r="D368" s="442" t="str">
        <f>IF(Measures!AM368="Row Not Used","",Measures!G368)</f>
        <v/>
      </c>
      <c r="E368" s="443" t="str">
        <f>IF(Measures!AM368="Row Not Used","",Measures!H368)</f>
        <v/>
      </c>
      <c r="F368" s="450" t="str">
        <f>IF(Measures!AM368="Row Not Used","",Measures!I368)</f>
        <v/>
      </c>
      <c r="G368" s="426" t="str">
        <f>IF(OR(Measures!AM368="Row Not Used",Measures!C368="Controls Only",Measures!C368="Decommissioning"),"",_xlfn.CONCAT(Measures!K368," - ",Measures!L368))</f>
        <v/>
      </c>
      <c r="H368" s="442" t="str">
        <f>IF(OR(Measures!AM368="Row Not Used",Measures!C368="Controls Only",Measures!C368="Decommissioning"),"",Measures!M368)</f>
        <v/>
      </c>
      <c r="I368" s="443" t="str">
        <f>IF(OR(Measures!AM368="Row Not Used",Measures!C368="Controls Only",Measures!C368="Decommissioning"),"",Measures!N368)</f>
        <v/>
      </c>
      <c r="J368" s="444" t="str">
        <f>IF(OR(Measures!AM368="Row Not Used",Measures!C368="Controls Only",Measures!C368="Decommissioning"),"",Measures!O368)</f>
        <v/>
      </c>
      <c r="K368" s="425" t="str">
        <f>IF(OR(Measures!AM368="Row Not Used",Measures!C368="Controls Only",Measures!C368="Decommissioning"),"",Measures!AS368)</f>
        <v/>
      </c>
      <c r="L368" s="426" t="str">
        <f>IF(OR(Measures!AM368="Row Not Used",Measures!AM368="Decommissioning",ISBLANK(Measures!R368)),"",Measures!R368)</f>
        <v/>
      </c>
      <c r="M368" s="431" t="str">
        <f>IF(OR(Measures!AM368="Row Not Used",Measures!AM368="Fixtures Only",Measures!AM368="Decommissioning"),"",Measures!S368)</f>
        <v/>
      </c>
      <c r="N368" s="432" t="str">
        <f>IF(Measures!AM368="Row Not Used","",Measures!AF368)</f>
        <v/>
      </c>
      <c r="O368" s="426" t="str">
        <f>IF(Measures!AM368="Row Not Used","",Measures!C368)</f>
        <v/>
      </c>
      <c r="P368" s="133" t="str">
        <f t="shared" si="5"/>
        <v>No</v>
      </c>
    </row>
    <row r="369" spans="1:16" ht="75.599999999999994" customHeight="1" x14ac:dyDescent="0.3">
      <c r="A369" s="454">
        <f>Measures!A369</f>
        <v>362</v>
      </c>
      <c r="B369" s="425" t="str">
        <f>IF(Measures!AM369="Row Not Used","",IF(ISBLANK(Measures!V369),Measures!B369,_xlfn.CONCAT(Measures!B369," - ",Measures!V369)))</f>
        <v/>
      </c>
      <c r="C369" s="426" t="str">
        <f>IF(Measures!AM369="Row Not Used","",_xlfn.CONCAT(Measures!D369," - ",Measures!E369," - ",Measures!F369))</f>
        <v/>
      </c>
      <c r="D369" s="442" t="str">
        <f>IF(Measures!AM369="Row Not Used","",Measures!G369)</f>
        <v/>
      </c>
      <c r="E369" s="443" t="str">
        <f>IF(Measures!AM369="Row Not Used","",Measures!H369)</f>
        <v/>
      </c>
      <c r="F369" s="450" t="str">
        <f>IF(Measures!AM369="Row Not Used","",Measures!I369)</f>
        <v/>
      </c>
      <c r="G369" s="426" t="str">
        <f>IF(OR(Measures!AM369="Row Not Used",Measures!C369="Controls Only",Measures!C369="Decommissioning"),"",_xlfn.CONCAT(Measures!K369," - ",Measures!L369))</f>
        <v/>
      </c>
      <c r="H369" s="442" t="str">
        <f>IF(OR(Measures!AM369="Row Not Used",Measures!C369="Controls Only",Measures!C369="Decommissioning"),"",Measures!M369)</f>
        <v/>
      </c>
      <c r="I369" s="443" t="str">
        <f>IF(OR(Measures!AM369="Row Not Used",Measures!C369="Controls Only",Measures!C369="Decommissioning"),"",Measures!N369)</f>
        <v/>
      </c>
      <c r="J369" s="444" t="str">
        <f>IF(OR(Measures!AM369="Row Not Used",Measures!C369="Controls Only",Measures!C369="Decommissioning"),"",Measures!O369)</f>
        <v/>
      </c>
      <c r="K369" s="425" t="str">
        <f>IF(OR(Measures!AM369="Row Not Used",Measures!C369="Controls Only",Measures!C369="Decommissioning"),"",Measures!AS369)</f>
        <v/>
      </c>
      <c r="L369" s="426" t="str">
        <f>IF(OR(Measures!AM369="Row Not Used",Measures!AM369="Decommissioning",ISBLANK(Measures!R369)),"",Measures!R369)</f>
        <v/>
      </c>
      <c r="M369" s="431" t="str">
        <f>IF(OR(Measures!AM369="Row Not Used",Measures!AM369="Fixtures Only",Measures!AM369="Decommissioning"),"",Measures!S369)</f>
        <v/>
      </c>
      <c r="N369" s="432" t="str">
        <f>IF(Measures!AM369="Row Not Used","",Measures!AF369)</f>
        <v/>
      </c>
      <c r="O369" s="426" t="str">
        <f>IF(Measures!AM369="Row Not Used","",Measures!C369)</f>
        <v/>
      </c>
      <c r="P369" s="133" t="str">
        <f t="shared" si="5"/>
        <v>No</v>
      </c>
    </row>
    <row r="370" spans="1:16" ht="75.599999999999994" customHeight="1" x14ac:dyDescent="0.3">
      <c r="A370" s="454">
        <f>Measures!A370</f>
        <v>363</v>
      </c>
      <c r="B370" s="425" t="str">
        <f>IF(Measures!AM370="Row Not Used","",IF(ISBLANK(Measures!V370),Measures!B370,_xlfn.CONCAT(Measures!B370," - ",Measures!V370)))</f>
        <v/>
      </c>
      <c r="C370" s="426" t="str">
        <f>IF(Measures!AM370="Row Not Used","",_xlfn.CONCAT(Measures!D370," - ",Measures!E370," - ",Measures!F370))</f>
        <v/>
      </c>
      <c r="D370" s="442" t="str">
        <f>IF(Measures!AM370="Row Not Used","",Measures!G370)</f>
        <v/>
      </c>
      <c r="E370" s="443" t="str">
        <f>IF(Measures!AM370="Row Not Used","",Measures!H370)</f>
        <v/>
      </c>
      <c r="F370" s="450" t="str">
        <f>IF(Measures!AM370="Row Not Used","",Measures!I370)</f>
        <v/>
      </c>
      <c r="G370" s="426" t="str">
        <f>IF(OR(Measures!AM370="Row Not Used",Measures!C370="Controls Only",Measures!C370="Decommissioning"),"",_xlfn.CONCAT(Measures!K370," - ",Measures!L370))</f>
        <v/>
      </c>
      <c r="H370" s="442" t="str">
        <f>IF(OR(Measures!AM370="Row Not Used",Measures!C370="Controls Only",Measures!C370="Decommissioning"),"",Measures!M370)</f>
        <v/>
      </c>
      <c r="I370" s="443" t="str">
        <f>IF(OR(Measures!AM370="Row Not Used",Measures!C370="Controls Only",Measures!C370="Decommissioning"),"",Measures!N370)</f>
        <v/>
      </c>
      <c r="J370" s="444" t="str">
        <f>IF(OR(Measures!AM370="Row Not Used",Measures!C370="Controls Only",Measures!C370="Decommissioning"),"",Measures!O370)</f>
        <v/>
      </c>
      <c r="K370" s="425" t="str">
        <f>IF(OR(Measures!AM370="Row Not Used",Measures!C370="Controls Only",Measures!C370="Decommissioning"),"",Measures!AS370)</f>
        <v/>
      </c>
      <c r="L370" s="426" t="str">
        <f>IF(OR(Measures!AM370="Row Not Used",Measures!AM370="Decommissioning",ISBLANK(Measures!R370)),"",Measures!R370)</f>
        <v/>
      </c>
      <c r="M370" s="431" t="str">
        <f>IF(OR(Measures!AM370="Row Not Used",Measures!AM370="Fixtures Only",Measures!AM370="Decommissioning"),"",Measures!S370)</f>
        <v/>
      </c>
      <c r="N370" s="432" t="str">
        <f>IF(Measures!AM370="Row Not Used","",Measures!AF370)</f>
        <v/>
      </c>
      <c r="O370" s="426" t="str">
        <f>IF(Measures!AM370="Row Not Used","",Measures!C370)</f>
        <v/>
      </c>
      <c r="P370" s="133" t="str">
        <f t="shared" si="5"/>
        <v>No</v>
      </c>
    </row>
    <row r="371" spans="1:16" ht="75.599999999999994" customHeight="1" x14ac:dyDescent="0.3">
      <c r="A371" s="454">
        <f>Measures!A371</f>
        <v>364</v>
      </c>
      <c r="B371" s="425" t="str">
        <f>IF(Measures!AM371="Row Not Used","",IF(ISBLANK(Measures!V371),Measures!B371,_xlfn.CONCAT(Measures!B371," - ",Measures!V371)))</f>
        <v/>
      </c>
      <c r="C371" s="426" t="str">
        <f>IF(Measures!AM371="Row Not Used","",_xlfn.CONCAT(Measures!D371," - ",Measures!E371," - ",Measures!F371))</f>
        <v/>
      </c>
      <c r="D371" s="442" t="str">
        <f>IF(Measures!AM371="Row Not Used","",Measures!G371)</f>
        <v/>
      </c>
      <c r="E371" s="443" t="str">
        <f>IF(Measures!AM371="Row Not Used","",Measures!H371)</f>
        <v/>
      </c>
      <c r="F371" s="450" t="str">
        <f>IF(Measures!AM371="Row Not Used","",Measures!I371)</f>
        <v/>
      </c>
      <c r="G371" s="426" t="str">
        <f>IF(OR(Measures!AM371="Row Not Used",Measures!C371="Controls Only",Measures!C371="Decommissioning"),"",_xlfn.CONCAT(Measures!K371," - ",Measures!L371))</f>
        <v/>
      </c>
      <c r="H371" s="442" t="str">
        <f>IF(OR(Measures!AM371="Row Not Used",Measures!C371="Controls Only",Measures!C371="Decommissioning"),"",Measures!M371)</f>
        <v/>
      </c>
      <c r="I371" s="443" t="str">
        <f>IF(OR(Measures!AM371="Row Not Used",Measures!C371="Controls Only",Measures!C371="Decommissioning"),"",Measures!N371)</f>
        <v/>
      </c>
      <c r="J371" s="444" t="str">
        <f>IF(OR(Measures!AM371="Row Not Used",Measures!C371="Controls Only",Measures!C371="Decommissioning"),"",Measures!O371)</f>
        <v/>
      </c>
      <c r="K371" s="425" t="str">
        <f>IF(OR(Measures!AM371="Row Not Used",Measures!C371="Controls Only",Measures!C371="Decommissioning"),"",Measures!AS371)</f>
        <v/>
      </c>
      <c r="L371" s="426" t="str">
        <f>IF(OR(Measures!AM371="Row Not Used",Measures!AM371="Decommissioning",ISBLANK(Measures!R371)),"",Measures!R371)</f>
        <v/>
      </c>
      <c r="M371" s="431" t="str">
        <f>IF(OR(Measures!AM371="Row Not Used",Measures!AM371="Fixtures Only",Measures!AM371="Decommissioning"),"",Measures!S371)</f>
        <v/>
      </c>
      <c r="N371" s="432" t="str">
        <f>IF(Measures!AM371="Row Not Used","",Measures!AF371)</f>
        <v/>
      </c>
      <c r="O371" s="426" t="str">
        <f>IF(Measures!AM371="Row Not Used","",Measures!C371)</f>
        <v/>
      </c>
      <c r="P371" s="133" t="str">
        <f t="shared" si="5"/>
        <v>No</v>
      </c>
    </row>
    <row r="372" spans="1:16" ht="75.599999999999994" customHeight="1" x14ac:dyDescent="0.3">
      <c r="A372" s="454">
        <f>Measures!A372</f>
        <v>365</v>
      </c>
      <c r="B372" s="425" t="str">
        <f>IF(Measures!AM372="Row Not Used","",IF(ISBLANK(Measures!V372),Measures!B372,_xlfn.CONCAT(Measures!B372," - ",Measures!V372)))</f>
        <v/>
      </c>
      <c r="C372" s="426" t="str">
        <f>IF(Measures!AM372="Row Not Used","",_xlfn.CONCAT(Measures!D372," - ",Measures!E372," - ",Measures!F372))</f>
        <v/>
      </c>
      <c r="D372" s="442" t="str">
        <f>IF(Measures!AM372="Row Not Used","",Measures!G372)</f>
        <v/>
      </c>
      <c r="E372" s="443" t="str">
        <f>IF(Measures!AM372="Row Not Used","",Measures!H372)</f>
        <v/>
      </c>
      <c r="F372" s="450" t="str">
        <f>IF(Measures!AM372="Row Not Used","",Measures!I372)</f>
        <v/>
      </c>
      <c r="G372" s="426" t="str">
        <f>IF(OR(Measures!AM372="Row Not Used",Measures!C372="Controls Only",Measures!C372="Decommissioning"),"",_xlfn.CONCAT(Measures!K372," - ",Measures!L372))</f>
        <v/>
      </c>
      <c r="H372" s="442" t="str">
        <f>IF(OR(Measures!AM372="Row Not Used",Measures!C372="Controls Only",Measures!C372="Decommissioning"),"",Measures!M372)</f>
        <v/>
      </c>
      <c r="I372" s="443" t="str">
        <f>IF(OR(Measures!AM372="Row Not Used",Measures!C372="Controls Only",Measures!C372="Decommissioning"),"",Measures!N372)</f>
        <v/>
      </c>
      <c r="J372" s="444" t="str">
        <f>IF(OR(Measures!AM372="Row Not Used",Measures!C372="Controls Only",Measures!C372="Decommissioning"),"",Measures!O372)</f>
        <v/>
      </c>
      <c r="K372" s="425" t="str">
        <f>IF(OR(Measures!AM372="Row Not Used",Measures!C372="Controls Only",Measures!C372="Decommissioning"),"",Measures!AS372)</f>
        <v/>
      </c>
      <c r="L372" s="426" t="str">
        <f>IF(OR(Measures!AM372="Row Not Used",Measures!AM372="Decommissioning",ISBLANK(Measures!R372)),"",Measures!R372)</f>
        <v/>
      </c>
      <c r="M372" s="431" t="str">
        <f>IF(OR(Measures!AM372="Row Not Used",Measures!AM372="Fixtures Only",Measures!AM372="Decommissioning"),"",Measures!S372)</f>
        <v/>
      </c>
      <c r="N372" s="432" t="str">
        <f>IF(Measures!AM372="Row Not Used","",Measures!AF372)</f>
        <v/>
      </c>
      <c r="O372" s="426" t="str">
        <f>IF(Measures!AM372="Row Not Used","",Measures!C372)</f>
        <v/>
      </c>
      <c r="P372" s="133" t="str">
        <f t="shared" si="5"/>
        <v>No</v>
      </c>
    </row>
    <row r="373" spans="1:16" ht="75.599999999999994" customHeight="1" x14ac:dyDescent="0.3">
      <c r="A373" s="454">
        <f>Measures!A373</f>
        <v>366</v>
      </c>
      <c r="B373" s="425" t="str">
        <f>IF(Measures!AM373="Row Not Used","",IF(ISBLANK(Measures!V373),Measures!B373,_xlfn.CONCAT(Measures!B373," - ",Measures!V373)))</f>
        <v/>
      </c>
      <c r="C373" s="426" t="str">
        <f>IF(Measures!AM373="Row Not Used","",_xlfn.CONCAT(Measures!D373," - ",Measures!E373," - ",Measures!F373))</f>
        <v/>
      </c>
      <c r="D373" s="442" t="str">
        <f>IF(Measures!AM373="Row Not Used","",Measures!G373)</f>
        <v/>
      </c>
      <c r="E373" s="443" t="str">
        <f>IF(Measures!AM373="Row Not Used","",Measures!H373)</f>
        <v/>
      </c>
      <c r="F373" s="450" t="str">
        <f>IF(Measures!AM373="Row Not Used","",Measures!I373)</f>
        <v/>
      </c>
      <c r="G373" s="426" t="str">
        <f>IF(OR(Measures!AM373="Row Not Used",Measures!C373="Controls Only",Measures!C373="Decommissioning"),"",_xlfn.CONCAT(Measures!K373," - ",Measures!L373))</f>
        <v/>
      </c>
      <c r="H373" s="442" t="str">
        <f>IF(OR(Measures!AM373="Row Not Used",Measures!C373="Controls Only",Measures!C373="Decommissioning"),"",Measures!M373)</f>
        <v/>
      </c>
      <c r="I373" s="443" t="str">
        <f>IF(OR(Measures!AM373="Row Not Used",Measures!C373="Controls Only",Measures!C373="Decommissioning"),"",Measures!N373)</f>
        <v/>
      </c>
      <c r="J373" s="444" t="str">
        <f>IF(OR(Measures!AM373="Row Not Used",Measures!C373="Controls Only",Measures!C373="Decommissioning"),"",Measures!O373)</f>
        <v/>
      </c>
      <c r="K373" s="425" t="str">
        <f>IF(OR(Measures!AM373="Row Not Used",Measures!C373="Controls Only",Measures!C373="Decommissioning"),"",Measures!AS373)</f>
        <v/>
      </c>
      <c r="L373" s="426" t="str">
        <f>IF(OR(Measures!AM373="Row Not Used",Measures!AM373="Decommissioning",ISBLANK(Measures!R373)),"",Measures!R373)</f>
        <v/>
      </c>
      <c r="M373" s="431" t="str">
        <f>IF(OR(Measures!AM373="Row Not Used",Measures!AM373="Fixtures Only",Measures!AM373="Decommissioning"),"",Measures!S373)</f>
        <v/>
      </c>
      <c r="N373" s="432" t="str">
        <f>IF(Measures!AM373="Row Not Used","",Measures!AF373)</f>
        <v/>
      </c>
      <c r="O373" s="426" t="str">
        <f>IF(Measures!AM373="Row Not Used","",Measures!C373)</f>
        <v/>
      </c>
      <c r="P373" s="133" t="str">
        <f t="shared" si="5"/>
        <v>No</v>
      </c>
    </row>
    <row r="374" spans="1:16" ht="75.599999999999994" customHeight="1" x14ac:dyDescent="0.3">
      <c r="A374" s="454">
        <f>Measures!A374</f>
        <v>367</v>
      </c>
      <c r="B374" s="425" t="str">
        <f>IF(Measures!AM374="Row Not Used","",IF(ISBLANK(Measures!V374),Measures!B374,_xlfn.CONCAT(Measures!B374," - ",Measures!V374)))</f>
        <v/>
      </c>
      <c r="C374" s="426" t="str">
        <f>IF(Measures!AM374="Row Not Used","",_xlfn.CONCAT(Measures!D374," - ",Measures!E374," - ",Measures!F374))</f>
        <v/>
      </c>
      <c r="D374" s="442" t="str">
        <f>IF(Measures!AM374="Row Not Used","",Measures!G374)</f>
        <v/>
      </c>
      <c r="E374" s="443" t="str">
        <f>IF(Measures!AM374="Row Not Used","",Measures!H374)</f>
        <v/>
      </c>
      <c r="F374" s="450" t="str">
        <f>IF(Measures!AM374="Row Not Used","",Measures!I374)</f>
        <v/>
      </c>
      <c r="G374" s="426" t="str">
        <f>IF(OR(Measures!AM374="Row Not Used",Measures!C374="Controls Only",Measures!C374="Decommissioning"),"",_xlfn.CONCAT(Measures!K374," - ",Measures!L374))</f>
        <v/>
      </c>
      <c r="H374" s="442" t="str">
        <f>IF(OR(Measures!AM374="Row Not Used",Measures!C374="Controls Only",Measures!C374="Decommissioning"),"",Measures!M374)</f>
        <v/>
      </c>
      <c r="I374" s="443" t="str">
        <f>IF(OR(Measures!AM374="Row Not Used",Measures!C374="Controls Only",Measures!C374="Decommissioning"),"",Measures!N374)</f>
        <v/>
      </c>
      <c r="J374" s="444" t="str">
        <f>IF(OR(Measures!AM374="Row Not Used",Measures!C374="Controls Only",Measures!C374="Decommissioning"),"",Measures!O374)</f>
        <v/>
      </c>
      <c r="K374" s="425" t="str">
        <f>IF(OR(Measures!AM374="Row Not Used",Measures!C374="Controls Only",Measures!C374="Decommissioning"),"",Measures!AS374)</f>
        <v/>
      </c>
      <c r="L374" s="426" t="str">
        <f>IF(OR(Measures!AM374="Row Not Used",Measures!AM374="Decommissioning",ISBLANK(Measures!R374)),"",Measures!R374)</f>
        <v/>
      </c>
      <c r="M374" s="431" t="str">
        <f>IF(OR(Measures!AM374="Row Not Used",Measures!AM374="Fixtures Only",Measures!AM374="Decommissioning"),"",Measures!S374)</f>
        <v/>
      </c>
      <c r="N374" s="432" t="str">
        <f>IF(Measures!AM374="Row Not Used","",Measures!AF374)</f>
        <v/>
      </c>
      <c r="O374" s="426" t="str">
        <f>IF(Measures!AM374="Row Not Used","",Measures!C374)</f>
        <v/>
      </c>
      <c r="P374" s="133" t="str">
        <f t="shared" si="5"/>
        <v>No</v>
      </c>
    </row>
    <row r="375" spans="1:16" ht="75.599999999999994" customHeight="1" x14ac:dyDescent="0.3">
      <c r="A375" s="454">
        <f>Measures!A375</f>
        <v>368</v>
      </c>
      <c r="B375" s="425" t="str">
        <f>IF(Measures!AM375="Row Not Used","",IF(ISBLANK(Measures!V375),Measures!B375,_xlfn.CONCAT(Measures!B375," - ",Measures!V375)))</f>
        <v/>
      </c>
      <c r="C375" s="426" t="str">
        <f>IF(Measures!AM375="Row Not Used","",_xlfn.CONCAT(Measures!D375," - ",Measures!E375," - ",Measures!F375))</f>
        <v/>
      </c>
      <c r="D375" s="442" t="str">
        <f>IF(Measures!AM375="Row Not Used","",Measures!G375)</f>
        <v/>
      </c>
      <c r="E375" s="443" t="str">
        <f>IF(Measures!AM375="Row Not Used","",Measures!H375)</f>
        <v/>
      </c>
      <c r="F375" s="450" t="str">
        <f>IF(Measures!AM375="Row Not Used","",Measures!I375)</f>
        <v/>
      </c>
      <c r="G375" s="426" t="str">
        <f>IF(OR(Measures!AM375="Row Not Used",Measures!C375="Controls Only",Measures!C375="Decommissioning"),"",_xlfn.CONCAT(Measures!K375," - ",Measures!L375))</f>
        <v/>
      </c>
      <c r="H375" s="442" t="str">
        <f>IF(OR(Measures!AM375="Row Not Used",Measures!C375="Controls Only",Measures!C375="Decommissioning"),"",Measures!M375)</f>
        <v/>
      </c>
      <c r="I375" s="443" t="str">
        <f>IF(OR(Measures!AM375="Row Not Used",Measures!C375="Controls Only",Measures!C375="Decommissioning"),"",Measures!N375)</f>
        <v/>
      </c>
      <c r="J375" s="444" t="str">
        <f>IF(OR(Measures!AM375="Row Not Used",Measures!C375="Controls Only",Measures!C375="Decommissioning"),"",Measures!O375)</f>
        <v/>
      </c>
      <c r="K375" s="425" t="str">
        <f>IF(OR(Measures!AM375="Row Not Used",Measures!C375="Controls Only",Measures!C375="Decommissioning"),"",Measures!AS375)</f>
        <v/>
      </c>
      <c r="L375" s="426" t="str">
        <f>IF(OR(Measures!AM375="Row Not Used",Measures!AM375="Decommissioning",ISBLANK(Measures!R375)),"",Measures!R375)</f>
        <v/>
      </c>
      <c r="M375" s="431" t="str">
        <f>IF(OR(Measures!AM375="Row Not Used",Measures!AM375="Fixtures Only",Measures!AM375="Decommissioning"),"",Measures!S375)</f>
        <v/>
      </c>
      <c r="N375" s="432" t="str">
        <f>IF(Measures!AM375="Row Not Used","",Measures!AF375)</f>
        <v/>
      </c>
      <c r="O375" s="426" t="str">
        <f>IF(Measures!AM375="Row Not Used","",Measures!C375)</f>
        <v/>
      </c>
      <c r="P375" s="133" t="str">
        <f t="shared" si="5"/>
        <v>No</v>
      </c>
    </row>
    <row r="376" spans="1:16" ht="75.599999999999994" customHeight="1" x14ac:dyDescent="0.3">
      <c r="A376" s="454">
        <f>Measures!A376</f>
        <v>369</v>
      </c>
      <c r="B376" s="425" t="str">
        <f>IF(Measures!AM376="Row Not Used","",IF(ISBLANK(Measures!V376),Measures!B376,_xlfn.CONCAT(Measures!B376," - ",Measures!V376)))</f>
        <v/>
      </c>
      <c r="C376" s="426" t="str">
        <f>IF(Measures!AM376="Row Not Used","",_xlfn.CONCAT(Measures!D376," - ",Measures!E376," - ",Measures!F376))</f>
        <v/>
      </c>
      <c r="D376" s="442" t="str">
        <f>IF(Measures!AM376="Row Not Used","",Measures!G376)</f>
        <v/>
      </c>
      <c r="E376" s="443" t="str">
        <f>IF(Measures!AM376="Row Not Used","",Measures!H376)</f>
        <v/>
      </c>
      <c r="F376" s="450" t="str">
        <f>IF(Measures!AM376="Row Not Used","",Measures!I376)</f>
        <v/>
      </c>
      <c r="G376" s="426" t="str">
        <f>IF(OR(Measures!AM376="Row Not Used",Measures!C376="Controls Only",Measures!C376="Decommissioning"),"",_xlfn.CONCAT(Measures!K376," - ",Measures!L376))</f>
        <v/>
      </c>
      <c r="H376" s="442" t="str">
        <f>IF(OR(Measures!AM376="Row Not Used",Measures!C376="Controls Only",Measures!C376="Decommissioning"),"",Measures!M376)</f>
        <v/>
      </c>
      <c r="I376" s="443" t="str">
        <f>IF(OR(Measures!AM376="Row Not Used",Measures!C376="Controls Only",Measures!C376="Decommissioning"),"",Measures!N376)</f>
        <v/>
      </c>
      <c r="J376" s="444" t="str">
        <f>IF(OR(Measures!AM376="Row Not Used",Measures!C376="Controls Only",Measures!C376="Decommissioning"),"",Measures!O376)</f>
        <v/>
      </c>
      <c r="K376" s="425" t="str">
        <f>IF(OR(Measures!AM376="Row Not Used",Measures!C376="Controls Only",Measures!C376="Decommissioning"),"",Measures!AS376)</f>
        <v/>
      </c>
      <c r="L376" s="426" t="str">
        <f>IF(OR(Measures!AM376="Row Not Used",Measures!AM376="Decommissioning",ISBLANK(Measures!R376)),"",Measures!R376)</f>
        <v/>
      </c>
      <c r="M376" s="431" t="str">
        <f>IF(OR(Measures!AM376="Row Not Used",Measures!AM376="Fixtures Only",Measures!AM376="Decommissioning"),"",Measures!S376)</f>
        <v/>
      </c>
      <c r="N376" s="432" t="str">
        <f>IF(Measures!AM376="Row Not Used","",Measures!AF376)</f>
        <v/>
      </c>
      <c r="O376" s="426" t="str">
        <f>IF(Measures!AM376="Row Not Used","",Measures!C376)</f>
        <v/>
      </c>
      <c r="P376" s="133" t="str">
        <f t="shared" si="5"/>
        <v>No</v>
      </c>
    </row>
    <row r="377" spans="1:16" ht="75.599999999999994" customHeight="1" x14ac:dyDescent="0.3">
      <c r="A377" s="454">
        <f>Measures!A377</f>
        <v>370</v>
      </c>
      <c r="B377" s="425" t="str">
        <f>IF(Measures!AM377="Row Not Used","",IF(ISBLANK(Measures!V377),Measures!B377,_xlfn.CONCAT(Measures!B377," - ",Measures!V377)))</f>
        <v/>
      </c>
      <c r="C377" s="426" t="str">
        <f>IF(Measures!AM377="Row Not Used","",_xlfn.CONCAT(Measures!D377," - ",Measures!E377," - ",Measures!F377))</f>
        <v/>
      </c>
      <c r="D377" s="442" t="str">
        <f>IF(Measures!AM377="Row Not Used","",Measures!G377)</f>
        <v/>
      </c>
      <c r="E377" s="443" t="str">
        <f>IF(Measures!AM377="Row Not Used","",Measures!H377)</f>
        <v/>
      </c>
      <c r="F377" s="450" t="str">
        <f>IF(Measures!AM377="Row Not Used","",Measures!I377)</f>
        <v/>
      </c>
      <c r="G377" s="426" t="str">
        <f>IF(OR(Measures!AM377="Row Not Used",Measures!C377="Controls Only",Measures!C377="Decommissioning"),"",_xlfn.CONCAT(Measures!K377," - ",Measures!L377))</f>
        <v/>
      </c>
      <c r="H377" s="442" t="str">
        <f>IF(OR(Measures!AM377="Row Not Used",Measures!C377="Controls Only",Measures!C377="Decommissioning"),"",Measures!M377)</f>
        <v/>
      </c>
      <c r="I377" s="443" t="str">
        <f>IF(OR(Measures!AM377="Row Not Used",Measures!C377="Controls Only",Measures!C377="Decommissioning"),"",Measures!N377)</f>
        <v/>
      </c>
      <c r="J377" s="444" t="str">
        <f>IF(OR(Measures!AM377="Row Not Used",Measures!C377="Controls Only",Measures!C377="Decommissioning"),"",Measures!O377)</f>
        <v/>
      </c>
      <c r="K377" s="425" t="str">
        <f>IF(OR(Measures!AM377="Row Not Used",Measures!C377="Controls Only",Measures!C377="Decommissioning"),"",Measures!AS377)</f>
        <v/>
      </c>
      <c r="L377" s="426" t="str">
        <f>IF(OR(Measures!AM377="Row Not Used",Measures!AM377="Decommissioning",ISBLANK(Measures!R377)),"",Measures!R377)</f>
        <v/>
      </c>
      <c r="M377" s="431" t="str">
        <f>IF(OR(Measures!AM377="Row Not Used",Measures!AM377="Fixtures Only",Measures!AM377="Decommissioning"),"",Measures!S377)</f>
        <v/>
      </c>
      <c r="N377" s="432" t="str">
        <f>IF(Measures!AM377="Row Not Used","",Measures!AF377)</f>
        <v/>
      </c>
      <c r="O377" s="426" t="str">
        <f>IF(Measures!AM377="Row Not Used","",Measures!C377)</f>
        <v/>
      </c>
      <c r="P377" s="133" t="str">
        <f t="shared" si="5"/>
        <v>No</v>
      </c>
    </row>
    <row r="378" spans="1:16" ht="75.599999999999994" customHeight="1" x14ac:dyDescent="0.3">
      <c r="A378" s="454">
        <f>Measures!A378</f>
        <v>371</v>
      </c>
      <c r="B378" s="425" t="str">
        <f>IF(Measures!AM378="Row Not Used","",IF(ISBLANK(Measures!V378),Measures!B378,_xlfn.CONCAT(Measures!B378," - ",Measures!V378)))</f>
        <v/>
      </c>
      <c r="C378" s="426" t="str">
        <f>IF(Measures!AM378="Row Not Used","",_xlfn.CONCAT(Measures!D378," - ",Measures!E378," - ",Measures!F378))</f>
        <v/>
      </c>
      <c r="D378" s="442" t="str">
        <f>IF(Measures!AM378="Row Not Used","",Measures!G378)</f>
        <v/>
      </c>
      <c r="E378" s="443" t="str">
        <f>IF(Measures!AM378="Row Not Used","",Measures!H378)</f>
        <v/>
      </c>
      <c r="F378" s="450" t="str">
        <f>IF(Measures!AM378="Row Not Used","",Measures!I378)</f>
        <v/>
      </c>
      <c r="G378" s="426" t="str">
        <f>IF(OR(Measures!AM378="Row Not Used",Measures!C378="Controls Only",Measures!C378="Decommissioning"),"",_xlfn.CONCAT(Measures!K378," - ",Measures!L378))</f>
        <v/>
      </c>
      <c r="H378" s="442" t="str">
        <f>IF(OR(Measures!AM378="Row Not Used",Measures!C378="Controls Only",Measures!C378="Decommissioning"),"",Measures!M378)</f>
        <v/>
      </c>
      <c r="I378" s="443" t="str">
        <f>IF(OR(Measures!AM378="Row Not Used",Measures!C378="Controls Only",Measures!C378="Decommissioning"),"",Measures!N378)</f>
        <v/>
      </c>
      <c r="J378" s="444" t="str">
        <f>IF(OR(Measures!AM378="Row Not Used",Measures!C378="Controls Only",Measures!C378="Decommissioning"),"",Measures!O378)</f>
        <v/>
      </c>
      <c r="K378" s="425" t="str">
        <f>IF(OR(Measures!AM378="Row Not Used",Measures!C378="Controls Only",Measures!C378="Decommissioning"),"",Measures!AS378)</f>
        <v/>
      </c>
      <c r="L378" s="426" t="str">
        <f>IF(OR(Measures!AM378="Row Not Used",Measures!AM378="Decommissioning",ISBLANK(Measures!R378)),"",Measures!R378)</f>
        <v/>
      </c>
      <c r="M378" s="431" t="str">
        <f>IF(OR(Measures!AM378="Row Not Used",Measures!AM378="Fixtures Only",Measures!AM378="Decommissioning"),"",Measures!S378)</f>
        <v/>
      </c>
      <c r="N378" s="432" t="str">
        <f>IF(Measures!AM378="Row Not Used","",Measures!AF378)</f>
        <v/>
      </c>
      <c r="O378" s="426" t="str">
        <f>IF(Measures!AM378="Row Not Used","",Measures!C378)</f>
        <v/>
      </c>
      <c r="P378" s="133" t="str">
        <f t="shared" si="5"/>
        <v>No</v>
      </c>
    </row>
    <row r="379" spans="1:16" ht="75.599999999999994" customHeight="1" x14ac:dyDescent="0.3">
      <c r="A379" s="454">
        <f>Measures!A379</f>
        <v>372</v>
      </c>
      <c r="B379" s="425" t="str">
        <f>IF(Measures!AM379="Row Not Used","",IF(ISBLANK(Measures!V379),Measures!B379,_xlfn.CONCAT(Measures!B379," - ",Measures!V379)))</f>
        <v/>
      </c>
      <c r="C379" s="426" t="str">
        <f>IF(Measures!AM379="Row Not Used","",_xlfn.CONCAT(Measures!D379," - ",Measures!E379," - ",Measures!F379))</f>
        <v/>
      </c>
      <c r="D379" s="442" t="str">
        <f>IF(Measures!AM379="Row Not Used","",Measures!G379)</f>
        <v/>
      </c>
      <c r="E379" s="443" t="str">
        <f>IF(Measures!AM379="Row Not Used","",Measures!H379)</f>
        <v/>
      </c>
      <c r="F379" s="450" t="str">
        <f>IF(Measures!AM379="Row Not Used","",Measures!I379)</f>
        <v/>
      </c>
      <c r="G379" s="426" t="str">
        <f>IF(OR(Measures!AM379="Row Not Used",Measures!C379="Controls Only",Measures!C379="Decommissioning"),"",_xlfn.CONCAT(Measures!K379," - ",Measures!L379))</f>
        <v/>
      </c>
      <c r="H379" s="442" t="str">
        <f>IF(OR(Measures!AM379="Row Not Used",Measures!C379="Controls Only",Measures!C379="Decommissioning"),"",Measures!M379)</f>
        <v/>
      </c>
      <c r="I379" s="443" t="str">
        <f>IF(OR(Measures!AM379="Row Not Used",Measures!C379="Controls Only",Measures!C379="Decommissioning"),"",Measures!N379)</f>
        <v/>
      </c>
      <c r="J379" s="444" t="str">
        <f>IF(OR(Measures!AM379="Row Not Used",Measures!C379="Controls Only",Measures!C379="Decommissioning"),"",Measures!O379)</f>
        <v/>
      </c>
      <c r="K379" s="425" t="str">
        <f>IF(OR(Measures!AM379="Row Not Used",Measures!C379="Controls Only",Measures!C379="Decommissioning"),"",Measures!AS379)</f>
        <v/>
      </c>
      <c r="L379" s="426" t="str">
        <f>IF(OR(Measures!AM379="Row Not Used",Measures!AM379="Decommissioning",ISBLANK(Measures!R379)),"",Measures!R379)</f>
        <v/>
      </c>
      <c r="M379" s="431" t="str">
        <f>IF(OR(Measures!AM379="Row Not Used",Measures!AM379="Fixtures Only",Measures!AM379="Decommissioning"),"",Measures!S379)</f>
        <v/>
      </c>
      <c r="N379" s="432" t="str">
        <f>IF(Measures!AM379="Row Not Used","",Measures!AF379)</f>
        <v/>
      </c>
      <c r="O379" s="426" t="str">
        <f>IF(Measures!AM379="Row Not Used","",Measures!C379)</f>
        <v/>
      </c>
      <c r="P379" s="133" t="str">
        <f t="shared" si="5"/>
        <v>No</v>
      </c>
    </row>
    <row r="380" spans="1:16" ht="75.599999999999994" customHeight="1" x14ac:dyDescent="0.3">
      <c r="A380" s="454">
        <f>Measures!A380</f>
        <v>373</v>
      </c>
      <c r="B380" s="425" t="str">
        <f>IF(Measures!AM380="Row Not Used","",IF(ISBLANK(Measures!V380),Measures!B380,_xlfn.CONCAT(Measures!B380," - ",Measures!V380)))</f>
        <v/>
      </c>
      <c r="C380" s="426" t="str">
        <f>IF(Measures!AM380="Row Not Used","",_xlfn.CONCAT(Measures!D380," - ",Measures!E380," - ",Measures!F380))</f>
        <v/>
      </c>
      <c r="D380" s="442" t="str">
        <f>IF(Measures!AM380="Row Not Used","",Measures!G380)</f>
        <v/>
      </c>
      <c r="E380" s="443" t="str">
        <f>IF(Measures!AM380="Row Not Used","",Measures!H380)</f>
        <v/>
      </c>
      <c r="F380" s="450" t="str">
        <f>IF(Measures!AM380="Row Not Used","",Measures!I380)</f>
        <v/>
      </c>
      <c r="G380" s="426" t="str">
        <f>IF(OR(Measures!AM380="Row Not Used",Measures!C380="Controls Only",Measures!C380="Decommissioning"),"",_xlfn.CONCAT(Measures!K380," - ",Measures!L380))</f>
        <v/>
      </c>
      <c r="H380" s="442" t="str">
        <f>IF(OR(Measures!AM380="Row Not Used",Measures!C380="Controls Only",Measures!C380="Decommissioning"),"",Measures!M380)</f>
        <v/>
      </c>
      <c r="I380" s="443" t="str">
        <f>IF(OR(Measures!AM380="Row Not Used",Measures!C380="Controls Only",Measures!C380="Decommissioning"),"",Measures!N380)</f>
        <v/>
      </c>
      <c r="J380" s="444" t="str">
        <f>IF(OR(Measures!AM380="Row Not Used",Measures!C380="Controls Only",Measures!C380="Decommissioning"),"",Measures!O380)</f>
        <v/>
      </c>
      <c r="K380" s="425" t="str">
        <f>IF(OR(Measures!AM380="Row Not Used",Measures!C380="Controls Only",Measures!C380="Decommissioning"),"",Measures!AS380)</f>
        <v/>
      </c>
      <c r="L380" s="426" t="str">
        <f>IF(OR(Measures!AM380="Row Not Used",Measures!AM380="Decommissioning",ISBLANK(Measures!R380)),"",Measures!R380)</f>
        <v/>
      </c>
      <c r="M380" s="431" t="str">
        <f>IF(OR(Measures!AM380="Row Not Used",Measures!AM380="Fixtures Only",Measures!AM380="Decommissioning"),"",Measures!S380)</f>
        <v/>
      </c>
      <c r="N380" s="432" t="str">
        <f>IF(Measures!AM380="Row Not Used","",Measures!AF380)</f>
        <v/>
      </c>
      <c r="O380" s="426" t="str">
        <f>IF(Measures!AM380="Row Not Used","",Measures!C380)</f>
        <v/>
      </c>
      <c r="P380" s="133" t="str">
        <f t="shared" si="5"/>
        <v>No</v>
      </c>
    </row>
    <row r="381" spans="1:16" ht="75.599999999999994" customHeight="1" x14ac:dyDescent="0.3">
      <c r="A381" s="454">
        <f>Measures!A381</f>
        <v>374</v>
      </c>
      <c r="B381" s="425" t="str">
        <f>IF(Measures!AM381="Row Not Used","",IF(ISBLANK(Measures!V381),Measures!B381,_xlfn.CONCAT(Measures!B381," - ",Measures!V381)))</f>
        <v/>
      </c>
      <c r="C381" s="426" t="str">
        <f>IF(Measures!AM381="Row Not Used","",_xlfn.CONCAT(Measures!D381," - ",Measures!E381," - ",Measures!F381))</f>
        <v/>
      </c>
      <c r="D381" s="442" t="str">
        <f>IF(Measures!AM381="Row Not Used","",Measures!G381)</f>
        <v/>
      </c>
      <c r="E381" s="443" t="str">
        <f>IF(Measures!AM381="Row Not Used","",Measures!H381)</f>
        <v/>
      </c>
      <c r="F381" s="450" t="str">
        <f>IF(Measures!AM381="Row Not Used","",Measures!I381)</f>
        <v/>
      </c>
      <c r="G381" s="426" t="str">
        <f>IF(OR(Measures!AM381="Row Not Used",Measures!C381="Controls Only",Measures!C381="Decommissioning"),"",_xlfn.CONCAT(Measures!K381," - ",Measures!L381))</f>
        <v/>
      </c>
      <c r="H381" s="442" t="str">
        <f>IF(OR(Measures!AM381="Row Not Used",Measures!C381="Controls Only",Measures!C381="Decommissioning"),"",Measures!M381)</f>
        <v/>
      </c>
      <c r="I381" s="443" t="str">
        <f>IF(OR(Measures!AM381="Row Not Used",Measures!C381="Controls Only",Measures!C381="Decommissioning"),"",Measures!N381)</f>
        <v/>
      </c>
      <c r="J381" s="444" t="str">
        <f>IF(OR(Measures!AM381="Row Not Used",Measures!C381="Controls Only",Measures!C381="Decommissioning"),"",Measures!O381)</f>
        <v/>
      </c>
      <c r="K381" s="425" t="str">
        <f>IF(OR(Measures!AM381="Row Not Used",Measures!C381="Controls Only",Measures!C381="Decommissioning"),"",Measures!AS381)</f>
        <v/>
      </c>
      <c r="L381" s="426" t="str">
        <f>IF(OR(Measures!AM381="Row Not Used",Measures!AM381="Decommissioning",ISBLANK(Measures!R381)),"",Measures!R381)</f>
        <v/>
      </c>
      <c r="M381" s="431" t="str">
        <f>IF(OR(Measures!AM381="Row Not Used",Measures!AM381="Fixtures Only",Measures!AM381="Decommissioning"),"",Measures!S381)</f>
        <v/>
      </c>
      <c r="N381" s="432" t="str">
        <f>IF(Measures!AM381="Row Not Used","",Measures!AF381)</f>
        <v/>
      </c>
      <c r="O381" s="426" t="str">
        <f>IF(Measures!AM381="Row Not Used","",Measures!C381)</f>
        <v/>
      </c>
      <c r="P381" s="133" t="str">
        <f t="shared" si="5"/>
        <v>No</v>
      </c>
    </row>
    <row r="382" spans="1:16" ht="75.599999999999994" customHeight="1" x14ac:dyDescent="0.3">
      <c r="A382" s="454">
        <f>Measures!A382</f>
        <v>375</v>
      </c>
      <c r="B382" s="425" t="str">
        <f>IF(Measures!AM382="Row Not Used","",IF(ISBLANK(Measures!V382),Measures!B382,_xlfn.CONCAT(Measures!B382," - ",Measures!V382)))</f>
        <v/>
      </c>
      <c r="C382" s="426" t="str">
        <f>IF(Measures!AM382="Row Not Used","",_xlfn.CONCAT(Measures!D382," - ",Measures!E382," - ",Measures!F382))</f>
        <v/>
      </c>
      <c r="D382" s="442" t="str">
        <f>IF(Measures!AM382="Row Not Used","",Measures!G382)</f>
        <v/>
      </c>
      <c r="E382" s="443" t="str">
        <f>IF(Measures!AM382="Row Not Used","",Measures!H382)</f>
        <v/>
      </c>
      <c r="F382" s="450" t="str">
        <f>IF(Measures!AM382="Row Not Used","",Measures!I382)</f>
        <v/>
      </c>
      <c r="G382" s="426" t="str">
        <f>IF(OR(Measures!AM382="Row Not Used",Measures!C382="Controls Only",Measures!C382="Decommissioning"),"",_xlfn.CONCAT(Measures!K382," - ",Measures!L382))</f>
        <v/>
      </c>
      <c r="H382" s="442" t="str">
        <f>IF(OR(Measures!AM382="Row Not Used",Measures!C382="Controls Only",Measures!C382="Decommissioning"),"",Measures!M382)</f>
        <v/>
      </c>
      <c r="I382" s="443" t="str">
        <f>IF(OR(Measures!AM382="Row Not Used",Measures!C382="Controls Only",Measures!C382="Decommissioning"),"",Measures!N382)</f>
        <v/>
      </c>
      <c r="J382" s="444" t="str">
        <f>IF(OR(Measures!AM382="Row Not Used",Measures!C382="Controls Only",Measures!C382="Decommissioning"),"",Measures!O382)</f>
        <v/>
      </c>
      <c r="K382" s="425" t="str">
        <f>IF(OR(Measures!AM382="Row Not Used",Measures!C382="Controls Only",Measures!C382="Decommissioning"),"",Measures!AS382)</f>
        <v/>
      </c>
      <c r="L382" s="426" t="str">
        <f>IF(OR(Measures!AM382="Row Not Used",Measures!AM382="Decommissioning",ISBLANK(Measures!R382)),"",Measures!R382)</f>
        <v/>
      </c>
      <c r="M382" s="431" t="str">
        <f>IF(OR(Measures!AM382="Row Not Used",Measures!AM382="Fixtures Only",Measures!AM382="Decommissioning"),"",Measures!S382)</f>
        <v/>
      </c>
      <c r="N382" s="432" t="str">
        <f>IF(Measures!AM382="Row Not Used","",Measures!AF382)</f>
        <v/>
      </c>
      <c r="O382" s="426" t="str">
        <f>IF(Measures!AM382="Row Not Used","",Measures!C382)</f>
        <v/>
      </c>
      <c r="P382" s="133" t="str">
        <f t="shared" si="5"/>
        <v>No</v>
      </c>
    </row>
    <row r="383" spans="1:16" ht="75.599999999999994" customHeight="1" x14ac:dyDescent="0.3">
      <c r="A383" s="454">
        <f>Measures!A383</f>
        <v>376</v>
      </c>
      <c r="B383" s="425" t="str">
        <f>IF(Measures!AM383="Row Not Used","",IF(ISBLANK(Measures!V383),Measures!B383,_xlfn.CONCAT(Measures!B383," - ",Measures!V383)))</f>
        <v/>
      </c>
      <c r="C383" s="426" t="str">
        <f>IF(Measures!AM383="Row Not Used","",_xlfn.CONCAT(Measures!D383," - ",Measures!E383," - ",Measures!F383))</f>
        <v/>
      </c>
      <c r="D383" s="442" t="str">
        <f>IF(Measures!AM383="Row Not Used","",Measures!G383)</f>
        <v/>
      </c>
      <c r="E383" s="443" t="str">
        <f>IF(Measures!AM383="Row Not Used","",Measures!H383)</f>
        <v/>
      </c>
      <c r="F383" s="450" t="str">
        <f>IF(Measures!AM383="Row Not Used","",Measures!I383)</f>
        <v/>
      </c>
      <c r="G383" s="426" t="str">
        <f>IF(OR(Measures!AM383="Row Not Used",Measures!C383="Controls Only",Measures!C383="Decommissioning"),"",_xlfn.CONCAT(Measures!K383," - ",Measures!L383))</f>
        <v/>
      </c>
      <c r="H383" s="442" t="str">
        <f>IF(OR(Measures!AM383="Row Not Used",Measures!C383="Controls Only",Measures!C383="Decommissioning"),"",Measures!M383)</f>
        <v/>
      </c>
      <c r="I383" s="443" t="str">
        <f>IF(OR(Measures!AM383="Row Not Used",Measures!C383="Controls Only",Measures!C383="Decommissioning"),"",Measures!N383)</f>
        <v/>
      </c>
      <c r="J383" s="444" t="str">
        <f>IF(OR(Measures!AM383="Row Not Used",Measures!C383="Controls Only",Measures!C383="Decommissioning"),"",Measures!O383)</f>
        <v/>
      </c>
      <c r="K383" s="425" t="str">
        <f>IF(OR(Measures!AM383="Row Not Used",Measures!C383="Controls Only",Measures!C383="Decommissioning"),"",Measures!AS383)</f>
        <v/>
      </c>
      <c r="L383" s="426" t="str">
        <f>IF(OR(Measures!AM383="Row Not Used",Measures!AM383="Decommissioning",ISBLANK(Measures!R383)),"",Measures!R383)</f>
        <v/>
      </c>
      <c r="M383" s="431" t="str">
        <f>IF(OR(Measures!AM383="Row Not Used",Measures!AM383="Fixtures Only",Measures!AM383="Decommissioning"),"",Measures!S383)</f>
        <v/>
      </c>
      <c r="N383" s="432" t="str">
        <f>IF(Measures!AM383="Row Not Used","",Measures!AF383)</f>
        <v/>
      </c>
      <c r="O383" s="426" t="str">
        <f>IF(Measures!AM383="Row Not Used","",Measures!C383)</f>
        <v/>
      </c>
      <c r="P383" s="133" t="str">
        <f t="shared" si="5"/>
        <v>No</v>
      </c>
    </row>
    <row r="384" spans="1:16" ht="75.599999999999994" customHeight="1" x14ac:dyDescent="0.3">
      <c r="A384" s="454">
        <f>Measures!A384</f>
        <v>377</v>
      </c>
      <c r="B384" s="425" t="str">
        <f>IF(Measures!AM384="Row Not Used","",IF(ISBLANK(Measures!V384),Measures!B384,_xlfn.CONCAT(Measures!B384," - ",Measures!V384)))</f>
        <v/>
      </c>
      <c r="C384" s="426" t="str">
        <f>IF(Measures!AM384="Row Not Used","",_xlfn.CONCAT(Measures!D384," - ",Measures!E384," - ",Measures!F384))</f>
        <v/>
      </c>
      <c r="D384" s="442" t="str">
        <f>IF(Measures!AM384="Row Not Used","",Measures!G384)</f>
        <v/>
      </c>
      <c r="E384" s="443" t="str">
        <f>IF(Measures!AM384="Row Not Used","",Measures!H384)</f>
        <v/>
      </c>
      <c r="F384" s="450" t="str">
        <f>IF(Measures!AM384="Row Not Used","",Measures!I384)</f>
        <v/>
      </c>
      <c r="G384" s="426" t="str">
        <f>IF(OR(Measures!AM384="Row Not Used",Measures!C384="Controls Only",Measures!C384="Decommissioning"),"",_xlfn.CONCAT(Measures!K384," - ",Measures!L384))</f>
        <v/>
      </c>
      <c r="H384" s="442" t="str">
        <f>IF(OR(Measures!AM384="Row Not Used",Measures!C384="Controls Only",Measures!C384="Decommissioning"),"",Measures!M384)</f>
        <v/>
      </c>
      <c r="I384" s="443" t="str">
        <f>IF(OR(Measures!AM384="Row Not Used",Measures!C384="Controls Only",Measures!C384="Decommissioning"),"",Measures!N384)</f>
        <v/>
      </c>
      <c r="J384" s="444" t="str">
        <f>IF(OR(Measures!AM384="Row Not Used",Measures!C384="Controls Only",Measures!C384="Decommissioning"),"",Measures!O384)</f>
        <v/>
      </c>
      <c r="K384" s="425" t="str">
        <f>IF(OR(Measures!AM384="Row Not Used",Measures!C384="Controls Only",Measures!C384="Decommissioning"),"",Measures!AS384)</f>
        <v/>
      </c>
      <c r="L384" s="426" t="str">
        <f>IF(OR(Measures!AM384="Row Not Used",Measures!AM384="Decommissioning",ISBLANK(Measures!R384)),"",Measures!R384)</f>
        <v/>
      </c>
      <c r="M384" s="431" t="str">
        <f>IF(OR(Measures!AM384="Row Not Used",Measures!AM384="Fixtures Only",Measures!AM384="Decommissioning"),"",Measures!S384)</f>
        <v/>
      </c>
      <c r="N384" s="432" t="str">
        <f>IF(Measures!AM384="Row Not Used","",Measures!AF384)</f>
        <v/>
      </c>
      <c r="O384" s="426" t="str">
        <f>IF(Measures!AM384="Row Not Used","",Measures!C384)</f>
        <v/>
      </c>
      <c r="P384" s="133" t="str">
        <f t="shared" si="5"/>
        <v>No</v>
      </c>
    </row>
    <row r="385" spans="1:16" ht="75.599999999999994" customHeight="1" x14ac:dyDescent="0.3">
      <c r="A385" s="454">
        <f>Measures!A385</f>
        <v>378</v>
      </c>
      <c r="B385" s="425" t="str">
        <f>IF(Measures!AM385="Row Not Used","",IF(ISBLANK(Measures!V385),Measures!B385,_xlfn.CONCAT(Measures!B385," - ",Measures!V385)))</f>
        <v/>
      </c>
      <c r="C385" s="426" t="str">
        <f>IF(Measures!AM385="Row Not Used","",_xlfn.CONCAT(Measures!D385," - ",Measures!E385," - ",Measures!F385))</f>
        <v/>
      </c>
      <c r="D385" s="442" t="str">
        <f>IF(Measures!AM385="Row Not Used","",Measures!G385)</f>
        <v/>
      </c>
      <c r="E385" s="443" t="str">
        <f>IF(Measures!AM385="Row Not Used","",Measures!H385)</f>
        <v/>
      </c>
      <c r="F385" s="450" t="str">
        <f>IF(Measures!AM385="Row Not Used","",Measures!I385)</f>
        <v/>
      </c>
      <c r="G385" s="426" t="str">
        <f>IF(OR(Measures!AM385="Row Not Used",Measures!C385="Controls Only",Measures!C385="Decommissioning"),"",_xlfn.CONCAT(Measures!K385," - ",Measures!L385))</f>
        <v/>
      </c>
      <c r="H385" s="442" t="str">
        <f>IF(OR(Measures!AM385="Row Not Used",Measures!C385="Controls Only",Measures!C385="Decommissioning"),"",Measures!M385)</f>
        <v/>
      </c>
      <c r="I385" s="443" t="str">
        <f>IF(OR(Measures!AM385="Row Not Used",Measures!C385="Controls Only",Measures!C385="Decommissioning"),"",Measures!N385)</f>
        <v/>
      </c>
      <c r="J385" s="444" t="str">
        <f>IF(OR(Measures!AM385="Row Not Used",Measures!C385="Controls Only",Measures!C385="Decommissioning"),"",Measures!O385)</f>
        <v/>
      </c>
      <c r="K385" s="425" t="str">
        <f>IF(OR(Measures!AM385="Row Not Used",Measures!C385="Controls Only",Measures!C385="Decommissioning"),"",Measures!AS385)</f>
        <v/>
      </c>
      <c r="L385" s="426" t="str">
        <f>IF(OR(Measures!AM385="Row Not Used",Measures!AM385="Decommissioning",ISBLANK(Measures!R385)),"",Measures!R385)</f>
        <v/>
      </c>
      <c r="M385" s="431" t="str">
        <f>IF(OR(Measures!AM385="Row Not Used",Measures!AM385="Fixtures Only",Measures!AM385="Decommissioning"),"",Measures!S385)</f>
        <v/>
      </c>
      <c r="N385" s="432" t="str">
        <f>IF(Measures!AM385="Row Not Used","",Measures!AF385)</f>
        <v/>
      </c>
      <c r="O385" s="426" t="str">
        <f>IF(Measures!AM385="Row Not Used","",Measures!C385)</f>
        <v/>
      </c>
      <c r="P385" s="133" t="str">
        <f t="shared" si="5"/>
        <v>No</v>
      </c>
    </row>
    <row r="386" spans="1:16" ht="75.599999999999994" customHeight="1" x14ac:dyDescent="0.3">
      <c r="A386" s="454">
        <f>Measures!A386</f>
        <v>379</v>
      </c>
      <c r="B386" s="425" t="str">
        <f>IF(Measures!AM386="Row Not Used","",IF(ISBLANK(Measures!V386),Measures!B386,_xlfn.CONCAT(Measures!B386," - ",Measures!V386)))</f>
        <v/>
      </c>
      <c r="C386" s="426" t="str">
        <f>IF(Measures!AM386="Row Not Used","",_xlfn.CONCAT(Measures!D386," - ",Measures!E386," - ",Measures!F386))</f>
        <v/>
      </c>
      <c r="D386" s="442" t="str">
        <f>IF(Measures!AM386="Row Not Used","",Measures!G386)</f>
        <v/>
      </c>
      <c r="E386" s="443" t="str">
        <f>IF(Measures!AM386="Row Not Used","",Measures!H386)</f>
        <v/>
      </c>
      <c r="F386" s="450" t="str">
        <f>IF(Measures!AM386="Row Not Used","",Measures!I386)</f>
        <v/>
      </c>
      <c r="G386" s="426" t="str">
        <f>IF(OR(Measures!AM386="Row Not Used",Measures!C386="Controls Only",Measures!C386="Decommissioning"),"",_xlfn.CONCAT(Measures!K386," - ",Measures!L386))</f>
        <v/>
      </c>
      <c r="H386" s="442" t="str">
        <f>IF(OR(Measures!AM386="Row Not Used",Measures!C386="Controls Only",Measures!C386="Decommissioning"),"",Measures!M386)</f>
        <v/>
      </c>
      <c r="I386" s="443" t="str">
        <f>IF(OR(Measures!AM386="Row Not Used",Measures!C386="Controls Only",Measures!C386="Decommissioning"),"",Measures!N386)</f>
        <v/>
      </c>
      <c r="J386" s="444" t="str">
        <f>IF(OR(Measures!AM386="Row Not Used",Measures!C386="Controls Only",Measures!C386="Decommissioning"),"",Measures!O386)</f>
        <v/>
      </c>
      <c r="K386" s="425" t="str">
        <f>IF(OR(Measures!AM386="Row Not Used",Measures!C386="Controls Only",Measures!C386="Decommissioning"),"",Measures!AS386)</f>
        <v/>
      </c>
      <c r="L386" s="426" t="str">
        <f>IF(OR(Measures!AM386="Row Not Used",Measures!AM386="Decommissioning",ISBLANK(Measures!R386)),"",Measures!R386)</f>
        <v/>
      </c>
      <c r="M386" s="431" t="str">
        <f>IF(OR(Measures!AM386="Row Not Used",Measures!AM386="Fixtures Only",Measures!AM386="Decommissioning"),"",Measures!S386)</f>
        <v/>
      </c>
      <c r="N386" s="432" t="str">
        <f>IF(Measures!AM386="Row Not Used","",Measures!AF386)</f>
        <v/>
      </c>
      <c r="O386" s="426" t="str">
        <f>IF(Measures!AM386="Row Not Used","",Measures!C386)</f>
        <v/>
      </c>
      <c r="P386" s="133" t="str">
        <f t="shared" si="5"/>
        <v>No</v>
      </c>
    </row>
    <row r="387" spans="1:16" ht="75.599999999999994" customHeight="1" x14ac:dyDescent="0.3">
      <c r="A387" s="454">
        <f>Measures!A387</f>
        <v>380</v>
      </c>
      <c r="B387" s="425" t="str">
        <f>IF(Measures!AM387="Row Not Used","",IF(ISBLANK(Measures!V387),Measures!B387,_xlfn.CONCAT(Measures!B387," - ",Measures!V387)))</f>
        <v/>
      </c>
      <c r="C387" s="426" t="str">
        <f>IF(Measures!AM387="Row Not Used","",_xlfn.CONCAT(Measures!D387," - ",Measures!E387," - ",Measures!F387))</f>
        <v/>
      </c>
      <c r="D387" s="442" t="str">
        <f>IF(Measures!AM387="Row Not Used","",Measures!G387)</f>
        <v/>
      </c>
      <c r="E387" s="443" t="str">
        <f>IF(Measures!AM387="Row Not Used","",Measures!H387)</f>
        <v/>
      </c>
      <c r="F387" s="450" t="str">
        <f>IF(Measures!AM387="Row Not Used","",Measures!I387)</f>
        <v/>
      </c>
      <c r="G387" s="426" t="str">
        <f>IF(OR(Measures!AM387="Row Not Used",Measures!C387="Controls Only",Measures!C387="Decommissioning"),"",_xlfn.CONCAT(Measures!K387," - ",Measures!L387))</f>
        <v/>
      </c>
      <c r="H387" s="442" t="str">
        <f>IF(OR(Measures!AM387="Row Not Used",Measures!C387="Controls Only",Measures!C387="Decommissioning"),"",Measures!M387)</f>
        <v/>
      </c>
      <c r="I387" s="443" t="str">
        <f>IF(OR(Measures!AM387="Row Not Used",Measures!C387="Controls Only",Measures!C387="Decommissioning"),"",Measures!N387)</f>
        <v/>
      </c>
      <c r="J387" s="444" t="str">
        <f>IF(OR(Measures!AM387="Row Not Used",Measures!C387="Controls Only",Measures!C387="Decommissioning"),"",Measures!O387)</f>
        <v/>
      </c>
      <c r="K387" s="425" t="str">
        <f>IF(OR(Measures!AM387="Row Not Used",Measures!C387="Controls Only",Measures!C387="Decommissioning"),"",Measures!AS387)</f>
        <v/>
      </c>
      <c r="L387" s="426" t="str">
        <f>IF(OR(Measures!AM387="Row Not Used",Measures!AM387="Decommissioning",ISBLANK(Measures!R387)),"",Measures!R387)</f>
        <v/>
      </c>
      <c r="M387" s="431" t="str">
        <f>IF(OR(Measures!AM387="Row Not Used",Measures!AM387="Fixtures Only",Measures!AM387="Decommissioning"),"",Measures!S387)</f>
        <v/>
      </c>
      <c r="N387" s="432" t="str">
        <f>IF(Measures!AM387="Row Not Used","",Measures!AF387)</f>
        <v/>
      </c>
      <c r="O387" s="426" t="str">
        <f>IF(Measures!AM387="Row Not Used","",Measures!C387)</f>
        <v/>
      </c>
      <c r="P387" s="133" t="str">
        <f t="shared" si="5"/>
        <v>No</v>
      </c>
    </row>
    <row r="388" spans="1:16" ht="75.599999999999994" customHeight="1" x14ac:dyDescent="0.3">
      <c r="A388" s="454">
        <f>Measures!A388</f>
        <v>381</v>
      </c>
      <c r="B388" s="425" t="str">
        <f>IF(Measures!AM388="Row Not Used","",IF(ISBLANK(Measures!V388),Measures!B388,_xlfn.CONCAT(Measures!B388," - ",Measures!V388)))</f>
        <v/>
      </c>
      <c r="C388" s="426" t="str">
        <f>IF(Measures!AM388="Row Not Used","",_xlfn.CONCAT(Measures!D388," - ",Measures!E388," - ",Measures!F388))</f>
        <v/>
      </c>
      <c r="D388" s="442" t="str">
        <f>IF(Measures!AM388="Row Not Used","",Measures!G388)</f>
        <v/>
      </c>
      <c r="E388" s="443" t="str">
        <f>IF(Measures!AM388="Row Not Used","",Measures!H388)</f>
        <v/>
      </c>
      <c r="F388" s="450" t="str">
        <f>IF(Measures!AM388="Row Not Used","",Measures!I388)</f>
        <v/>
      </c>
      <c r="G388" s="426" t="str">
        <f>IF(OR(Measures!AM388="Row Not Used",Measures!C388="Controls Only",Measures!C388="Decommissioning"),"",_xlfn.CONCAT(Measures!K388," - ",Measures!L388))</f>
        <v/>
      </c>
      <c r="H388" s="442" t="str">
        <f>IF(OR(Measures!AM388="Row Not Used",Measures!C388="Controls Only",Measures!C388="Decommissioning"),"",Measures!M388)</f>
        <v/>
      </c>
      <c r="I388" s="443" t="str">
        <f>IF(OR(Measures!AM388="Row Not Used",Measures!C388="Controls Only",Measures!C388="Decommissioning"),"",Measures!N388)</f>
        <v/>
      </c>
      <c r="J388" s="444" t="str">
        <f>IF(OR(Measures!AM388="Row Not Used",Measures!C388="Controls Only",Measures!C388="Decommissioning"),"",Measures!O388)</f>
        <v/>
      </c>
      <c r="K388" s="425" t="str">
        <f>IF(OR(Measures!AM388="Row Not Used",Measures!C388="Controls Only",Measures!C388="Decommissioning"),"",Measures!AS388)</f>
        <v/>
      </c>
      <c r="L388" s="426" t="str">
        <f>IF(OR(Measures!AM388="Row Not Used",Measures!AM388="Decommissioning",ISBLANK(Measures!R388)),"",Measures!R388)</f>
        <v/>
      </c>
      <c r="M388" s="431" t="str">
        <f>IF(OR(Measures!AM388="Row Not Used",Measures!AM388="Fixtures Only",Measures!AM388="Decommissioning"),"",Measures!S388)</f>
        <v/>
      </c>
      <c r="N388" s="432" t="str">
        <f>IF(Measures!AM388="Row Not Used","",Measures!AF388)</f>
        <v/>
      </c>
      <c r="O388" s="426" t="str">
        <f>IF(Measures!AM388="Row Not Used","",Measures!C388)</f>
        <v/>
      </c>
      <c r="P388" s="133" t="str">
        <f t="shared" si="5"/>
        <v>No</v>
      </c>
    </row>
    <row r="389" spans="1:16" ht="75.599999999999994" customHeight="1" x14ac:dyDescent="0.3">
      <c r="A389" s="454">
        <f>Measures!A389</f>
        <v>382</v>
      </c>
      <c r="B389" s="425" t="str">
        <f>IF(Measures!AM389="Row Not Used","",IF(ISBLANK(Measures!V389),Measures!B389,_xlfn.CONCAT(Measures!B389," - ",Measures!V389)))</f>
        <v/>
      </c>
      <c r="C389" s="426" t="str">
        <f>IF(Measures!AM389="Row Not Used","",_xlfn.CONCAT(Measures!D389," - ",Measures!E389," - ",Measures!F389))</f>
        <v/>
      </c>
      <c r="D389" s="442" t="str">
        <f>IF(Measures!AM389="Row Not Used","",Measures!G389)</f>
        <v/>
      </c>
      <c r="E389" s="443" t="str">
        <f>IF(Measures!AM389="Row Not Used","",Measures!H389)</f>
        <v/>
      </c>
      <c r="F389" s="450" t="str">
        <f>IF(Measures!AM389="Row Not Used","",Measures!I389)</f>
        <v/>
      </c>
      <c r="G389" s="426" t="str">
        <f>IF(OR(Measures!AM389="Row Not Used",Measures!C389="Controls Only",Measures!C389="Decommissioning"),"",_xlfn.CONCAT(Measures!K389," - ",Measures!L389))</f>
        <v/>
      </c>
      <c r="H389" s="442" t="str">
        <f>IF(OR(Measures!AM389="Row Not Used",Measures!C389="Controls Only",Measures!C389="Decommissioning"),"",Measures!M389)</f>
        <v/>
      </c>
      <c r="I389" s="443" t="str">
        <f>IF(OR(Measures!AM389="Row Not Used",Measures!C389="Controls Only",Measures!C389="Decommissioning"),"",Measures!N389)</f>
        <v/>
      </c>
      <c r="J389" s="444" t="str">
        <f>IF(OR(Measures!AM389="Row Not Used",Measures!C389="Controls Only",Measures!C389="Decommissioning"),"",Measures!O389)</f>
        <v/>
      </c>
      <c r="K389" s="425" t="str">
        <f>IF(OR(Measures!AM389="Row Not Used",Measures!C389="Controls Only",Measures!C389="Decommissioning"),"",Measures!AS389)</f>
        <v/>
      </c>
      <c r="L389" s="426" t="str">
        <f>IF(OR(Measures!AM389="Row Not Used",Measures!AM389="Decommissioning",ISBLANK(Measures!R389)),"",Measures!R389)</f>
        <v/>
      </c>
      <c r="M389" s="431" t="str">
        <f>IF(OR(Measures!AM389="Row Not Used",Measures!AM389="Fixtures Only",Measures!AM389="Decommissioning"),"",Measures!S389)</f>
        <v/>
      </c>
      <c r="N389" s="432" t="str">
        <f>IF(Measures!AM389="Row Not Used","",Measures!AF389)</f>
        <v/>
      </c>
      <c r="O389" s="426" t="str">
        <f>IF(Measures!AM389="Row Not Used","",Measures!C389)</f>
        <v/>
      </c>
      <c r="P389" s="133" t="str">
        <f t="shared" si="5"/>
        <v>No</v>
      </c>
    </row>
    <row r="390" spans="1:16" ht="75.599999999999994" customHeight="1" x14ac:dyDescent="0.3">
      <c r="A390" s="454">
        <f>Measures!A390</f>
        <v>383</v>
      </c>
      <c r="B390" s="425" t="str">
        <f>IF(Measures!AM390="Row Not Used","",IF(ISBLANK(Measures!V390),Measures!B390,_xlfn.CONCAT(Measures!B390," - ",Measures!V390)))</f>
        <v/>
      </c>
      <c r="C390" s="426" t="str">
        <f>IF(Measures!AM390="Row Not Used","",_xlfn.CONCAT(Measures!D390," - ",Measures!E390," - ",Measures!F390))</f>
        <v/>
      </c>
      <c r="D390" s="442" t="str">
        <f>IF(Measures!AM390="Row Not Used","",Measures!G390)</f>
        <v/>
      </c>
      <c r="E390" s="443" t="str">
        <f>IF(Measures!AM390="Row Not Used","",Measures!H390)</f>
        <v/>
      </c>
      <c r="F390" s="450" t="str">
        <f>IF(Measures!AM390="Row Not Used","",Measures!I390)</f>
        <v/>
      </c>
      <c r="G390" s="426" t="str">
        <f>IF(OR(Measures!AM390="Row Not Used",Measures!C390="Controls Only",Measures!C390="Decommissioning"),"",_xlfn.CONCAT(Measures!K390," - ",Measures!L390))</f>
        <v/>
      </c>
      <c r="H390" s="442" t="str">
        <f>IF(OR(Measures!AM390="Row Not Used",Measures!C390="Controls Only",Measures!C390="Decommissioning"),"",Measures!M390)</f>
        <v/>
      </c>
      <c r="I390" s="443" t="str">
        <f>IF(OR(Measures!AM390="Row Not Used",Measures!C390="Controls Only",Measures!C390="Decommissioning"),"",Measures!N390)</f>
        <v/>
      </c>
      <c r="J390" s="444" t="str">
        <f>IF(OR(Measures!AM390="Row Not Used",Measures!C390="Controls Only",Measures!C390="Decommissioning"),"",Measures!O390)</f>
        <v/>
      </c>
      <c r="K390" s="425" t="str">
        <f>IF(OR(Measures!AM390="Row Not Used",Measures!C390="Controls Only",Measures!C390="Decommissioning"),"",Measures!AS390)</f>
        <v/>
      </c>
      <c r="L390" s="426" t="str">
        <f>IF(OR(Measures!AM390="Row Not Used",Measures!AM390="Decommissioning",ISBLANK(Measures!R390)),"",Measures!R390)</f>
        <v/>
      </c>
      <c r="M390" s="431" t="str">
        <f>IF(OR(Measures!AM390="Row Not Used",Measures!AM390="Fixtures Only",Measures!AM390="Decommissioning"),"",Measures!S390)</f>
        <v/>
      </c>
      <c r="N390" s="432" t="str">
        <f>IF(Measures!AM390="Row Not Used","",Measures!AF390)</f>
        <v/>
      </c>
      <c r="O390" s="426" t="str">
        <f>IF(Measures!AM390="Row Not Used","",Measures!C390)</f>
        <v/>
      </c>
      <c r="P390" s="133" t="str">
        <f t="shared" si="5"/>
        <v>No</v>
      </c>
    </row>
    <row r="391" spans="1:16" ht="75.599999999999994" customHeight="1" x14ac:dyDescent="0.3">
      <c r="A391" s="454">
        <f>Measures!A391</f>
        <v>384</v>
      </c>
      <c r="B391" s="425" t="str">
        <f>IF(Measures!AM391="Row Not Used","",IF(ISBLANK(Measures!V391),Measures!B391,_xlfn.CONCAT(Measures!B391," - ",Measures!V391)))</f>
        <v/>
      </c>
      <c r="C391" s="426" t="str">
        <f>IF(Measures!AM391="Row Not Used","",_xlfn.CONCAT(Measures!D391," - ",Measures!E391," - ",Measures!F391))</f>
        <v/>
      </c>
      <c r="D391" s="442" t="str">
        <f>IF(Measures!AM391="Row Not Used","",Measures!G391)</f>
        <v/>
      </c>
      <c r="E391" s="443" t="str">
        <f>IF(Measures!AM391="Row Not Used","",Measures!H391)</f>
        <v/>
      </c>
      <c r="F391" s="450" t="str">
        <f>IF(Measures!AM391="Row Not Used","",Measures!I391)</f>
        <v/>
      </c>
      <c r="G391" s="426" t="str">
        <f>IF(OR(Measures!AM391="Row Not Used",Measures!C391="Controls Only",Measures!C391="Decommissioning"),"",_xlfn.CONCAT(Measures!K391," - ",Measures!L391))</f>
        <v/>
      </c>
      <c r="H391" s="442" t="str">
        <f>IF(OR(Measures!AM391="Row Not Used",Measures!C391="Controls Only",Measures!C391="Decommissioning"),"",Measures!M391)</f>
        <v/>
      </c>
      <c r="I391" s="443" t="str">
        <f>IF(OR(Measures!AM391="Row Not Used",Measures!C391="Controls Only",Measures!C391="Decommissioning"),"",Measures!N391)</f>
        <v/>
      </c>
      <c r="J391" s="444" t="str">
        <f>IF(OR(Measures!AM391="Row Not Used",Measures!C391="Controls Only",Measures!C391="Decommissioning"),"",Measures!O391)</f>
        <v/>
      </c>
      <c r="K391" s="425" t="str">
        <f>IF(OR(Measures!AM391="Row Not Used",Measures!C391="Controls Only",Measures!C391="Decommissioning"),"",Measures!AS391)</f>
        <v/>
      </c>
      <c r="L391" s="426" t="str">
        <f>IF(OR(Measures!AM391="Row Not Used",Measures!AM391="Decommissioning",ISBLANK(Measures!R391)),"",Measures!R391)</f>
        <v/>
      </c>
      <c r="M391" s="431" t="str">
        <f>IF(OR(Measures!AM391="Row Not Used",Measures!AM391="Fixtures Only",Measures!AM391="Decommissioning"),"",Measures!S391)</f>
        <v/>
      </c>
      <c r="N391" s="432" t="str">
        <f>IF(Measures!AM391="Row Not Used","",Measures!AF391)</f>
        <v/>
      </c>
      <c r="O391" s="426" t="str">
        <f>IF(Measures!AM391="Row Not Used","",Measures!C391)</f>
        <v/>
      </c>
      <c r="P391" s="133" t="str">
        <f t="shared" si="5"/>
        <v>No</v>
      </c>
    </row>
    <row r="392" spans="1:16" ht="75.599999999999994" customHeight="1" x14ac:dyDescent="0.3">
      <c r="A392" s="454">
        <f>Measures!A392</f>
        <v>385</v>
      </c>
      <c r="B392" s="425" t="str">
        <f>IF(Measures!AM392="Row Not Used","",IF(ISBLANK(Measures!V392),Measures!B392,_xlfn.CONCAT(Measures!B392," - ",Measures!V392)))</f>
        <v/>
      </c>
      <c r="C392" s="426" t="str">
        <f>IF(Measures!AM392="Row Not Used","",_xlfn.CONCAT(Measures!D392," - ",Measures!E392," - ",Measures!F392))</f>
        <v/>
      </c>
      <c r="D392" s="442" t="str">
        <f>IF(Measures!AM392="Row Not Used","",Measures!G392)</f>
        <v/>
      </c>
      <c r="E392" s="443" t="str">
        <f>IF(Measures!AM392="Row Not Used","",Measures!H392)</f>
        <v/>
      </c>
      <c r="F392" s="450" t="str">
        <f>IF(Measures!AM392="Row Not Used","",Measures!I392)</f>
        <v/>
      </c>
      <c r="G392" s="426" t="str">
        <f>IF(OR(Measures!AM392="Row Not Used",Measures!C392="Controls Only",Measures!C392="Decommissioning"),"",_xlfn.CONCAT(Measures!K392," - ",Measures!L392))</f>
        <v/>
      </c>
      <c r="H392" s="442" t="str">
        <f>IF(OR(Measures!AM392="Row Not Used",Measures!C392="Controls Only",Measures!C392="Decommissioning"),"",Measures!M392)</f>
        <v/>
      </c>
      <c r="I392" s="443" t="str">
        <f>IF(OR(Measures!AM392="Row Not Used",Measures!C392="Controls Only",Measures!C392="Decommissioning"),"",Measures!N392)</f>
        <v/>
      </c>
      <c r="J392" s="444" t="str">
        <f>IF(OR(Measures!AM392="Row Not Used",Measures!C392="Controls Only",Measures!C392="Decommissioning"),"",Measures!O392)</f>
        <v/>
      </c>
      <c r="K392" s="425" t="str">
        <f>IF(OR(Measures!AM392="Row Not Used",Measures!C392="Controls Only",Measures!C392="Decommissioning"),"",Measures!AS392)</f>
        <v/>
      </c>
      <c r="L392" s="426" t="str">
        <f>IF(OR(Measures!AM392="Row Not Used",Measures!AM392="Decommissioning",ISBLANK(Measures!R392)),"",Measures!R392)</f>
        <v/>
      </c>
      <c r="M392" s="431" t="str">
        <f>IF(OR(Measures!AM392="Row Not Used",Measures!AM392="Fixtures Only",Measures!AM392="Decommissioning"),"",Measures!S392)</f>
        <v/>
      </c>
      <c r="N392" s="432" t="str">
        <f>IF(Measures!AM392="Row Not Used","",Measures!AF392)</f>
        <v/>
      </c>
      <c r="O392" s="426" t="str">
        <f>IF(Measures!AM392="Row Not Used","",Measures!C392)</f>
        <v/>
      </c>
      <c r="P392" s="133" t="str">
        <f t="shared" si="5"/>
        <v>No</v>
      </c>
    </row>
    <row r="393" spans="1:16" ht="75.599999999999994" customHeight="1" x14ac:dyDescent="0.3">
      <c r="A393" s="454">
        <f>Measures!A393</f>
        <v>386</v>
      </c>
      <c r="B393" s="425" t="str">
        <f>IF(Measures!AM393="Row Not Used","",IF(ISBLANK(Measures!V393),Measures!B393,_xlfn.CONCAT(Measures!B393," - ",Measures!V393)))</f>
        <v/>
      </c>
      <c r="C393" s="426" t="str">
        <f>IF(Measures!AM393="Row Not Used","",_xlfn.CONCAT(Measures!D393," - ",Measures!E393," - ",Measures!F393))</f>
        <v/>
      </c>
      <c r="D393" s="442" t="str">
        <f>IF(Measures!AM393="Row Not Used","",Measures!G393)</f>
        <v/>
      </c>
      <c r="E393" s="443" t="str">
        <f>IF(Measures!AM393="Row Not Used","",Measures!H393)</f>
        <v/>
      </c>
      <c r="F393" s="450" t="str">
        <f>IF(Measures!AM393="Row Not Used","",Measures!I393)</f>
        <v/>
      </c>
      <c r="G393" s="426" t="str">
        <f>IF(OR(Measures!AM393="Row Not Used",Measures!C393="Controls Only",Measures!C393="Decommissioning"),"",_xlfn.CONCAT(Measures!K393," - ",Measures!L393))</f>
        <v/>
      </c>
      <c r="H393" s="442" t="str">
        <f>IF(OR(Measures!AM393="Row Not Used",Measures!C393="Controls Only",Measures!C393="Decommissioning"),"",Measures!M393)</f>
        <v/>
      </c>
      <c r="I393" s="443" t="str">
        <f>IF(OR(Measures!AM393="Row Not Used",Measures!C393="Controls Only",Measures!C393="Decommissioning"),"",Measures!N393)</f>
        <v/>
      </c>
      <c r="J393" s="444" t="str">
        <f>IF(OR(Measures!AM393="Row Not Used",Measures!C393="Controls Only",Measures!C393="Decommissioning"),"",Measures!O393)</f>
        <v/>
      </c>
      <c r="K393" s="425" t="str">
        <f>IF(OR(Measures!AM393="Row Not Used",Measures!C393="Controls Only",Measures!C393="Decommissioning"),"",Measures!AS393)</f>
        <v/>
      </c>
      <c r="L393" s="426" t="str">
        <f>IF(OR(Measures!AM393="Row Not Used",Measures!AM393="Decommissioning",ISBLANK(Measures!R393)),"",Measures!R393)</f>
        <v/>
      </c>
      <c r="M393" s="431" t="str">
        <f>IF(OR(Measures!AM393="Row Not Used",Measures!AM393="Fixtures Only",Measures!AM393="Decommissioning"),"",Measures!S393)</f>
        <v/>
      </c>
      <c r="N393" s="432" t="str">
        <f>IF(Measures!AM393="Row Not Used","",Measures!AF393)</f>
        <v/>
      </c>
      <c r="O393" s="426" t="str">
        <f>IF(Measures!AM393="Row Not Used","",Measures!C393)</f>
        <v/>
      </c>
      <c r="P393" s="133" t="str">
        <f t="shared" ref="P393:P456" si="6">IF(LEN(B393)&gt;0,"Yes","No")</f>
        <v>No</v>
      </c>
    </row>
    <row r="394" spans="1:16" ht="75.599999999999994" customHeight="1" x14ac:dyDescent="0.3">
      <c r="A394" s="454">
        <f>Measures!A394</f>
        <v>387</v>
      </c>
      <c r="B394" s="425" t="str">
        <f>IF(Measures!AM394="Row Not Used","",IF(ISBLANK(Measures!V394),Measures!B394,_xlfn.CONCAT(Measures!B394," - ",Measures!V394)))</f>
        <v/>
      </c>
      <c r="C394" s="426" t="str">
        <f>IF(Measures!AM394="Row Not Used","",_xlfn.CONCAT(Measures!D394," - ",Measures!E394," - ",Measures!F394))</f>
        <v/>
      </c>
      <c r="D394" s="442" t="str">
        <f>IF(Measures!AM394="Row Not Used","",Measures!G394)</f>
        <v/>
      </c>
      <c r="E394" s="443" t="str">
        <f>IF(Measures!AM394="Row Not Used","",Measures!H394)</f>
        <v/>
      </c>
      <c r="F394" s="450" t="str">
        <f>IF(Measures!AM394="Row Not Used","",Measures!I394)</f>
        <v/>
      </c>
      <c r="G394" s="426" t="str">
        <f>IF(OR(Measures!AM394="Row Not Used",Measures!C394="Controls Only",Measures!C394="Decommissioning"),"",_xlfn.CONCAT(Measures!K394," - ",Measures!L394))</f>
        <v/>
      </c>
      <c r="H394" s="442" t="str">
        <f>IF(OR(Measures!AM394="Row Not Used",Measures!C394="Controls Only",Measures!C394="Decommissioning"),"",Measures!M394)</f>
        <v/>
      </c>
      <c r="I394" s="443" t="str">
        <f>IF(OR(Measures!AM394="Row Not Used",Measures!C394="Controls Only",Measures!C394="Decommissioning"),"",Measures!N394)</f>
        <v/>
      </c>
      <c r="J394" s="444" t="str">
        <f>IF(OR(Measures!AM394="Row Not Used",Measures!C394="Controls Only",Measures!C394="Decommissioning"),"",Measures!O394)</f>
        <v/>
      </c>
      <c r="K394" s="425" t="str">
        <f>IF(OR(Measures!AM394="Row Not Used",Measures!C394="Controls Only",Measures!C394="Decommissioning"),"",Measures!AS394)</f>
        <v/>
      </c>
      <c r="L394" s="426" t="str">
        <f>IF(OR(Measures!AM394="Row Not Used",Measures!AM394="Decommissioning",ISBLANK(Measures!R394)),"",Measures!R394)</f>
        <v/>
      </c>
      <c r="M394" s="431" t="str">
        <f>IF(OR(Measures!AM394="Row Not Used",Measures!AM394="Fixtures Only",Measures!AM394="Decommissioning"),"",Measures!S394)</f>
        <v/>
      </c>
      <c r="N394" s="432" t="str">
        <f>IF(Measures!AM394="Row Not Used","",Measures!AF394)</f>
        <v/>
      </c>
      <c r="O394" s="426" t="str">
        <f>IF(Measures!AM394="Row Not Used","",Measures!C394)</f>
        <v/>
      </c>
      <c r="P394" s="133" t="str">
        <f t="shared" si="6"/>
        <v>No</v>
      </c>
    </row>
    <row r="395" spans="1:16" ht="75.599999999999994" customHeight="1" x14ac:dyDescent="0.3">
      <c r="A395" s="454">
        <f>Measures!A395</f>
        <v>388</v>
      </c>
      <c r="B395" s="425" t="str">
        <f>IF(Measures!AM395="Row Not Used","",IF(ISBLANK(Measures!V395),Measures!B395,_xlfn.CONCAT(Measures!B395," - ",Measures!V395)))</f>
        <v/>
      </c>
      <c r="C395" s="426" t="str">
        <f>IF(Measures!AM395="Row Not Used","",_xlfn.CONCAT(Measures!D395," - ",Measures!E395," - ",Measures!F395))</f>
        <v/>
      </c>
      <c r="D395" s="442" t="str">
        <f>IF(Measures!AM395="Row Not Used","",Measures!G395)</f>
        <v/>
      </c>
      <c r="E395" s="443" t="str">
        <f>IF(Measures!AM395="Row Not Used","",Measures!H395)</f>
        <v/>
      </c>
      <c r="F395" s="450" t="str">
        <f>IF(Measures!AM395="Row Not Used","",Measures!I395)</f>
        <v/>
      </c>
      <c r="G395" s="426" t="str">
        <f>IF(OR(Measures!AM395="Row Not Used",Measures!C395="Controls Only",Measures!C395="Decommissioning"),"",_xlfn.CONCAT(Measures!K395," - ",Measures!L395))</f>
        <v/>
      </c>
      <c r="H395" s="442" t="str">
        <f>IF(OR(Measures!AM395="Row Not Used",Measures!C395="Controls Only",Measures!C395="Decommissioning"),"",Measures!M395)</f>
        <v/>
      </c>
      <c r="I395" s="443" t="str">
        <f>IF(OR(Measures!AM395="Row Not Used",Measures!C395="Controls Only",Measures!C395="Decommissioning"),"",Measures!N395)</f>
        <v/>
      </c>
      <c r="J395" s="444" t="str">
        <f>IF(OR(Measures!AM395="Row Not Used",Measures!C395="Controls Only",Measures!C395="Decommissioning"),"",Measures!O395)</f>
        <v/>
      </c>
      <c r="K395" s="425" t="str">
        <f>IF(OR(Measures!AM395="Row Not Used",Measures!C395="Controls Only",Measures!C395="Decommissioning"),"",Measures!AS395)</f>
        <v/>
      </c>
      <c r="L395" s="426" t="str">
        <f>IF(OR(Measures!AM395="Row Not Used",Measures!AM395="Decommissioning",ISBLANK(Measures!R395)),"",Measures!R395)</f>
        <v/>
      </c>
      <c r="M395" s="431" t="str">
        <f>IF(OR(Measures!AM395="Row Not Used",Measures!AM395="Fixtures Only",Measures!AM395="Decommissioning"),"",Measures!S395)</f>
        <v/>
      </c>
      <c r="N395" s="432" t="str">
        <f>IF(Measures!AM395="Row Not Used","",Measures!AF395)</f>
        <v/>
      </c>
      <c r="O395" s="426" t="str">
        <f>IF(Measures!AM395="Row Not Used","",Measures!C395)</f>
        <v/>
      </c>
      <c r="P395" s="133" t="str">
        <f t="shared" si="6"/>
        <v>No</v>
      </c>
    </row>
    <row r="396" spans="1:16" ht="75.599999999999994" customHeight="1" x14ac:dyDescent="0.3">
      <c r="A396" s="454">
        <f>Measures!A396</f>
        <v>389</v>
      </c>
      <c r="B396" s="425" t="str">
        <f>IF(Measures!AM396="Row Not Used","",IF(ISBLANK(Measures!V396),Measures!B396,_xlfn.CONCAT(Measures!B396," - ",Measures!V396)))</f>
        <v/>
      </c>
      <c r="C396" s="426" t="str">
        <f>IF(Measures!AM396="Row Not Used","",_xlfn.CONCAT(Measures!D396," - ",Measures!E396," - ",Measures!F396))</f>
        <v/>
      </c>
      <c r="D396" s="442" t="str">
        <f>IF(Measures!AM396="Row Not Used","",Measures!G396)</f>
        <v/>
      </c>
      <c r="E396" s="443" t="str">
        <f>IF(Measures!AM396="Row Not Used","",Measures!H396)</f>
        <v/>
      </c>
      <c r="F396" s="450" t="str">
        <f>IF(Measures!AM396="Row Not Used","",Measures!I396)</f>
        <v/>
      </c>
      <c r="G396" s="426" t="str">
        <f>IF(OR(Measures!AM396="Row Not Used",Measures!C396="Controls Only",Measures!C396="Decommissioning"),"",_xlfn.CONCAT(Measures!K396," - ",Measures!L396))</f>
        <v/>
      </c>
      <c r="H396" s="442" t="str">
        <f>IF(OR(Measures!AM396="Row Not Used",Measures!C396="Controls Only",Measures!C396="Decommissioning"),"",Measures!M396)</f>
        <v/>
      </c>
      <c r="I396" s="443" t="str">
        <f>IF(OR(Measures!AM396="Row Not Used",Measures!C396="Controls Only",Measures!C396="Decommissioning"),"",Measures!N396)</f>
        <v/>
      </c>
      <c r="J396" s="444" t="str">
        <f>IF(OR(Measures!AM396="Row Not Used",Measures!C396="Controls Only",Measures!C396="Decommissioning"),"",Measures!O396)</f>
        <v/>
      </c>
      <c r="K396" s="425" t="str">
        <f>IF(OR(Measures!AM396="Row Not Used",Measures!C396="Controls Only",Measures!C396="Decommissioning"),"",Measures!AS396)</f>
        <v/>
      </c>
      <c r="L396" s="426" t="str">
        <f>IF(OR(Measures!AM396="Row Not Used",Measures!AM396="Decommissioning",ISBLANK(Measures!R396)),"",Measures!R396)</f>
        <v/>
      </c>
      <c r="M396" s="431" t="str">
        <f>IF(OR(Measures!AM396="Row Not Used",Measures!AM396="Fixtures Only",Measures!AM396="Decommissioning"),"",Measures!S396)</f>
        <v/>
      </c>
      <c r="N396" s="432" t="str">
        <f>IF(Measures!AM396="Row Not Used","",Measures!AF396)</f>
        <v/>
      </c>
      <c r="O396" s="426" t="str">
        <f>IF(Measures!AM396="Row Not Used","",Measures!C396)</f>
        <v/>
      </c>
      <c r="P396" s="133" t="str">
        <f t="shared" si="6"/>
        <v>No</v>
      </c>
    </row>
    <row r="397" spans="1:16" ht="75.599999999999994" customHeight="1" x14ac:dyDescent="0.3">
      <c r="A397" s="454">
        <f>Measures!A397</f>
        <v>390</v>
      </c>
      <c r="B397" s="425" t="str">
        <f>IF(Measures!AM397="Row Not Used","",IF(ISBLANK(Measures!V397),Measures!B397,_xlfn.CONCAT(Measures!B397," - ",Measures!V397)))</f>
        <v/>
      </c>
      <c r="C397" s="426" t="str">
        <f>IF(Measures!AM397="Row Not Used","",_xlfn.CONCAT(Measures!D397," - ",Measures!E397," - ",Measures!F397))</f>
        <v/>
      </c>
      <c r="D397" s="442" t="str">
        <f>IF(Measures!AM397="Row Not Used","",Measures!G397)</f>
        <v/>
      </c>
      <c r="E397" s="443" t="str">
        <f>IF(Measures!AM397="Row Not Used","",Measures!H397)</f>
        <v/>
      </c>
      <c r="F397" s="450" t="str">
        <f>IF(Measures!AM397="Row Not Used","",Measures!I397)</f>
        <v/>
      </c>
      <c r="G397" s="426" t="str">
        <f>IF(OR(Measures!AM397="Row Not Used",Measures!C397="Controls Only",Measures!C397="Decommissioning"),"",_xlfn.CONCAT(Measures!K397," - ",Measures!L397))</f>
        <v/>
      </c>
      <c r="H397" s="442" t="str">
        <f>IF(OR(Measures!AM397="Row Not Used",Measures!C397="Controls Only",Measures!C397="Decommissioning"),"",Measures!M397)</f>
        <v/>
      </c>
      <c r="I397" s="443" t="str">
        <f>IF(OR(Measures!AM397="Row Not Used",Measures!C397="Controls Only",Measures!C397="Decommissioning"),"",Measures!N397)</f>
        <v/>
      </c>
      <c r="J397" s="444" t="str">
        <f>IF(OR(Measures!AM397="Row Not Used",Measures!C397="Controls Only",Measures!C397="Decommissioning"),"",Measures!O397)</f>
        <v/>
      </c>
      <c r="K397" s="425" t="str">
        <f>IF(OR(Measures!AM397="Row Not Used",Measures!C397="Controls Only",Measures!C397="Decommissioning"),"",Measures!AS397)</f>
        <v/>
      </c>
      <c r="L397" s="426" t="str">
        <f>IF(OR(Measures!AM397="Row Not Used",Measures!AM397="Decommissioning",ISBLANK(Measures!R397)),"",Measures!R397)</f>
        <v/>
      </c>
      <c r="M397" s="431" t="str">
        <f>IF(OR(Measures!AM397="Row Not Used",Measures!AM397="Fixtures Only",Measures!AM397="Decommissioning"),"",Measures!S397)</f>
        <v/>
      </c>
      <c r="N397" s="432" t="str">
        <f>IF(Measures!AM397="Row Not Used","",Measures!AF397)</f>
        <v/>
      </c>
      <c r="O397" s="426" t="str">
        <f>IF(Measures!AM397="Row Not Used","",Measures!C397)</f>
        <v/>
      </c>
      <c r="P397" s="133" t="str">
        <f t="shared" si="6"/>
        <v>No</v>
      </c>
    </row>
    <row r="398" spans="1:16" ht="75.599999999999994" customHeight="1" x14ac:dyDescent="0.3">
      <c r="A398" s="454">
        <f>Measures!A398</f>
        <v>391</v>
      </c>
      <c r="B398" s="425" t="str">
        <f>IF(Measures!AM398="Row Not Used","",IF(ISBLANK(Measures!V398),Measures!B398,_xlfn.CONCAT(Measures!B398," - ",Measures!V398)))</f>
        <v/>
      </c>
      <c r="C398" s="426" t="str">
        <f>IF(Measures!AM398="Row Not Used","",_xlfn.CONCAT(Measures!D398," - ",Measures!E398," - ",Measures!F398))</f>
        <v/>
      </c>
      <c r="D398" s="442" t="str">
        <f>IF(Measures!AM398="Row Not Used","",Measures!G398)</f>
        <v/>
      </c>
      <c r="E398" s="443" t="str">
        <f>IF(Measures!AM398="Row Not Used","",Measures!H398)</f>
        <v/>
      </c>
      <c r="F398" s="450" t="str">
        <f>IF(Measures!AM398="Row Not Used","",Measures!I398)</f>
        <v/>
      </c>
      <c r="G398" s="426" t="str">
        <f>IF(OR(Measures!AM398="Row Not Used",Measures!C398="Controls Only",Measures!C398="Decommissioning"),"",_xlfn.CONCAT(Measures!K398," - ",Measures!L398))</f>
        <v/>
      </c>
      <c r="H398" s="442" t="str">
        <f>IF(OR(Measures!AM398="Row Not Used",Measures!C398="Controls Only",Measures!C398="Decommissioning"),"",Measures!M398)</f>
        <v/>
      </c>
      <c r="I398" s="443" t="str">
        <f>IF(OR(Measures!AM398="Row Not Used",Measures!C398="Controls Only",Measures!C398="Decommissioning"),"",Measures!N398)</f>
        <v/>
      </c>
      <c r="J398" s="444" t="str">
        <f>IF(OR(Measures!AM398="Row Not Used",Measures!C398="Controls Only",Measures!C398="Decommissioning"),"",Measures!O398)</f>
        <v/>
      </c>
      <c r="K398" s="425" t="str">
        <f>IF(OR(Measures!AM398="Row Not Used",Measures!C398="Controls Only",Measures!C398="Decommissioning"),"",Measures!AS398)</f>
        <v/>
      </c>
      <c r="L398" s="426" t="str">
        <f>IF(OR(Measures!AM398="Row Not Used",Measures!AM398="Decommissioning",ISBLANK(Measures!R398)),"",Measures!R398)</f>
        <v/>
      </c>
      <c r="M398" s="431" t="str">
        <f>IF(OR(Measures!AM398="Row Not Used",Measures!AM398="Fixtures Only",Measures!AM398="Decommissioning"),"",Measures!S398)</f>
        <v/>
      </c>
      <c r="N398" s="432" t="str">
        <f>IF(Measures!AM398="Row Not Used","",Measures!AF398)</f>
        <v/>
      </c>
      <c r="O398" s="426" t="str">
        <f>IF(Measures!AM398="Row Not Used","",Measures!C398)</f>
        <v/>
      </c>
      <c r="P398" s="133" t="str">
        <f t="shared" si="6"/>
        <v>No</v>
      </c>
    </row>
    <row r="399" spans="1:16" ht="75.599999999999994" customHeight="1" x14ac:dyDescent="0.3">
      <c r="A399" s="454">
        <f>Measures!A399</f>
        <v>392</v>
      </c>
      <c r="B399" s="425" t="str">
        <f>IF(Measures!AM399="Row Not Used","",IF(ISBLANK(Measures!V399),Measures!B399,_xlfn.CONCAT(Measures!B399," - ",Measures!V399)))</f>
        <v/>
      </c>
      <c r="C399" s="426" t="str">
        <f>IF(Measures!AM399="Row Not Used","",_xlfn.CONCAT(Measures!D399," - ",Measures!E399," - ",Measures!F399))</f>
        <v/>
      </c>
      <c r="D399" s="442" t="str">
        <f>IF(Measures!AM399="Row Not Used","",Measures!G399)</f>
        <v/>
      </c>
      <c r="E399" s="443" t="str">
        <f>IF(Measures!AM399="Row Not Used","",Measures!H399)</f>
        <v/>
      </c>
      <c r="F399" s="450" t="str">
        <f>IF(Measures!AM399="Row Not Used","",Measures!I399)</f>
        <v/>
      </c>
      <c r="G399" s="426" t="str">
        <f>IF(OR(Measures!AM399="Row Not Used",Measures!C399="Controls Only",Measures!C399="Decommissioning"),"",_xlfn.CONCAT(Measures!K399," - ",Measures!L399))</f>
        <v/>
      </c>
      <c r="H399" s="442" t="str">
        <f>IF(OR(Measures!AM399="Row Not Used",Measures!C399="Controls Only",Measures!C399="Decommissioning"),"",Measures!M399)</f>
        <v/>
      </c>
      <c r="I399" s="443" t="str">
        <f>IF(OR(Measures!AM399="Row Not Used",Measures!C399="Controls Only",Measures!C399="Decommissioning"),"",Measures!N399)</f>
        <v/>
      </c>
      <c r="J399" s="444" t="str">
        <f>IF(OR(Measures!AM399="Row Not Used",Measures!C399="Controls Only",Measures!C399="Decommissioning"),"",Measures!O399)</f>
        <v/>
      </c>
      <c r="K399" s="425" t="str">
        <f>IF(OR(Measures!AM399="Row Not Used",Measures!C399="Controls Only",Measures!C399="Decommissioning"),"",Measures!AS399)</f>
        <v/>
      </c>
      <c r="L399" s="426" t="str">
        <f>IF(OR(Measures!AM399="Row Not Used",Measures!AM399="Decommissioning",ISBLANK(Measures!R399)),"",Measures!R399)</f>
        <v/>
      </c>
      <c r="M399" s="431" t="str">
        <f>IF(OR(Measures!AM399="Row Not Used",Measures!AM399="Fixtures Only",Measures!AM399="Decommissioning"),"",Measures!S399)</f>
        <v/>
      </c>
      <c r="N399" s="432" t="str">
        <f>IF(Measures!AM399="Row Not Used","",Measures!AF399)</f>
        <v/>
      </c>
      <c r="O399" s="426" t="str">
        <f>IF(Measures!AM399="Row Not Used","",Measures!C399)</f>
        <v/>
      </c>
      <c r="P399" s="133" t="str">
        <f t="shared" si="6"/>
        <v>No</v>
      </c>
    </row>
    <row r="400" spans="1:16" ht="75.599999999999994" customHeight="1" x14ac:dyDescent="0.3">
      <c r="A400" s="454">
        <f>Measures!A400</f>
        <v>393</v>
      </c>
      <c r="B400" s="425" t="str">
        <f>IF(Measures!AM400="Row Not Used","",IF(ISBLANK(Measures!V400),Measures!B400,_xlfn.CONCAT(Measures!B400," - ",Measures!V400)))</f>
        <v/>
      </c>
      <c r="C400" s="426" t="str">
        <f>IF(Measures!AM400="Row Not Used","",_xlfn.CONCAT(Measures!D400," - ",Measures!E400," - ",Measures!F400))</f>
        <v/>
      </c>
      <c r="D400" s="442" t="str">
        <f>IF(Measures!AM400="Row Not Used","",Measures!G400)</f>
        <v/>
      </c>
      <c r="E400" s="443" t="str">
        <f>IF(Measures!AM400="Row Not Used","",Measures!H400)</f>
        <v/>
      </c>
      <c r="F400" s="450" t="str">
        <f>IF(Measures!AM400="Row Not Used","",Measures!I400)</f>
        <v/>
      </c>
      <c r="G400" s="426" t="str">
        <f>IF(OR(Measures!AM400="Row Not Used",Measures!C400="Controls Only",Measures!C400="Decommissioning"),"",_xlfn.CONCAT(Measures!K400," - ",Measures!L400))</f>
        <v/>
      </c>
      <c r="H400" s="442" t="str">
        <f>IF(OR(Measures!AM400="Row Not Used",Measures!C400="Controls Only",Measures!C400="Decommissioning"),"",Measures!M400)</f>
        <v/>
      </c>
      <c r="I400" s="443" t="str">
        <f>IF(OR(Measures!AM400="Row Not Used",Measures!C400="Controls Only",Measures!C400="Decommissioning"),"",Measures!N400)</f>
        <v/>
      </c>
      <c r="J400" s="444" t="str">
        <f>IF(OR(Measures!AM400="Row Not Used",Measures!C400="Controls Only",Measures!C400="Decommissioning"),"",Measures!O400)</f>
        <v/>
      </c>
      <c r="K400" s="425" t="str">
        <f>IF(OR(Measures!AM400="Row Not Used",Measures!C400="Controls Only",Measures!C400="Decommissioning"),"",Measures!AS400)</f>
        <v/>
      </c>
      <c r="L400" s="426" t="str">
        <f>IF(OR(Measures!AM400="Row Not Used",Measures!AM400="Decommissioning",ISBLANK(Measures!R400)),"",Measures!R400)</f>
        <v/>
      </c>
      <c r="M400" s="431" t="str">
        <f>IF(OR(Measures!AM400="Row Not Used",Measures!AM400="Fixtures Only",Measures!AM400="Decommissioning"),"",Measures!S400)</f>
        <v/>
      </c>
      <c r="N400" s="432" t="str">
        <f>IF(Measures!AM400="Row Not Used","",Measures!AF400)</f>
        <v/>
      </c>
      <c r="O400" s="426" t="str">
        <f>IF(Measures!AM400="Row Not Used","",Measures!C400)</f>
        <v/>
      </c>
      <c r="P400" s="133" t="str">
        <f t="shared" si="6"/>
        <v>No</v>
      </c>
    </row>
    <row r="401" spans="1:16" ht="75.599999999999994" customHeight="1" x14ac:dyDescent="0.3">
      <c r="A401" s="454">
        <f>Measures!A401</f>
        <v>394</v>
      </c>
      <c r="B401" s="425" t="str">
        <f>IF(Measures!AM401="Row Not Used","",IF(ISBLANK(Measures!V401),Measures!B401,_xlfn.CONCAT(Measures!B401," - ",Measures!V401)))</f>
        <v/>
      </c>
      <c r="C401" s="426" t="str">
        <f>IF(Measures!AM401="Row Not Used","",_xlfn.CONCAT(Measures!D401," - ",Measures!E401," - ",Measures!F401))</f>
        <v/>
      </c>
      <c r="D401" s="442" t="str">
        <f>IF(Measures!AM401="Row Not Used","",Measures!G401)</f>
        <v/>
      </c>
      <c r="E401" s="443" t="str">
        <f>IF(Measures!AM401="Row Not Used","",Measures!H401)</f>
        <v/>
      </c>
      <c r="F401" s="450" t="str">
        <f>IF(Measures!AM401="Row Not Used","",Measures!I401)</f>
        <v/>
      </c>
      <c r="G401" s="426" t="str">
        <f>IF(OR(Measures!AM401="Row Not Used",Measures!C401="Controls Only",Measures!C401="Decommissioning"),"",_xlfn.CONCAT(Measures!K401," - ",Measures!L401))</f>
        <v/>
      </c>
      <c r="H401" s="442" t="str">
        <f>IF(OR(Measures!AM401="Row Not Used",Measures!C401="Controls Only",Measures!C401="Decommissioning"),"",Measures!M401)</f>
        <v/>
      </c>
      <c r="I401" s="443" t="str">
        <f>IF(OR(Measures!AM401="Row Not Used",Measures!C401="Controls Only",Measures!C401="Decommissioning"),"",Measures!N401)</f>
        <v/>
      </c>
      <c r="J401" s="444" t="str">
        <f>IF(OR(Measures!AM401="Row Not Used",Measures!C401="Controls Only",Measures!C401="Decommissioning"),"",Measures!O401)</f>
        <v/>
      </c>
      <c r="K401" s="425" t="str">
        <f>IF(OR(Measures!AM401="Row Not Used",Measures!C401="Controls Only",Measures!C401="Decommissioning"),"",Measures!AS401)</f>
        <v/>
      </c>
      <c r="L401" s="426" t="str">
        <f>IF(OR(Measures!AM401="Row Not Used",Measures!AM401="Decommissioning",ISBLANK(Measures!R401)),"",Measures!R401)</f>
        <v/>
      </c>
      <c r="M401" s="431" t="str">
        <f>IF(OR(Measures!AM401="Row Not Used",Measures!AM401="Fixtures Only",Measures!AM401="Decommissioning"),"",Measures!S401)</f>
        <v/>
      </c>
      <c r="N401" s="432" t="str">
        <f>IF(Measures!AM401="Row Not Used","",Measures!AF401)</f>
        <v/>
      </c>
      <c r="O401" s="426" t="str">
        <f>IF(Measures!AM401="Row Not Used","",Measures!C401)</f>
        <v/>
      </c>
      <c r="P401" s="133" t="str">
        <f t="shared" si="6"/>
        <v>No</v>
      </c>
    </row>
    <row r="402" spans="1:16" ht="75.599999999999994" customHeight="1" x14ac:dyDescent="0.3">
      <c r="A402" s="454">
        <f>Measures!A402</f>
        <v>395</v>
      </c>
      <c r="B402" s="425" t="str">
        <f>IF(Measures!AM402="Row Not Used","",IF(ISBLANK(Measures!V402),Measures!B402,_xlfn.CONCAT(Measures!B402," - ",Measures!V402)))</f>
        <v/>
      </c>
      <c r="C402" s="426" t="str">
        <f>IF(Measures!AM402="Row Not Used","",_xlfn.CONCAT(Measures!D402," - ",Measures!E402," - ",Measures!F402))</f>
        <v/>
      </c>
      <c r="D402" s="442" t="str">
        <f>IF(Measures!AM402="Row Not Used","",Measures!G402)</f>
        <v/>
      </c>
      <c r="E402" s="443" t="str">
        <f>IF(Measures!AM402="Row Not Used","",Measures!H402)</f>
        <v/>
      </c>
      <c r="F402" s="450" t="str">
        <f>IF(Measures!AM402="Row Not Used","",Measures!I402)</f>
        <v/>
      </c>
      <c r="G402" s="426" t="str">
        <f>IF(OR(Measures!AM402="Row Not Used",Measures!C402="Controls Only",Measures!C402="Decommissioning"),"",_xlfn.CONCAT(Measures!K402," - ",Measures!L402))</f>
        <v/>
      </c>
      <c r="H402" s="442" t="str">
        <f>IF(OR(Measures!AM402="Row Not Used",Measures!C402="Controls Only",Measures!C402="Decommissioning"),"",Measures!M402)</f>
        <v/>
      </c>
      <c r="I402" s="443" t="str">
        <f>IF(OR(Measures!AM402="Row Not Used",Measures!C402="Controls Only",Measures!C402="Decommissioning"),"",Measures!N402)</f>
        <v/>
      </c>
      <c r="J402" s="444" t="str">
        <f>IF(OR(Measures!AM402="Row Not Used",Measures!C402="Controls Only",Measures!C402="Decommissioning"),"",Measures!O402)</f>
        <v/>
      </c>
      <c r="K402" s="425" t="str">
        <f>IF(OR(Measures!AM402="Row Not Used",Measures!C402="Controls Only",Measures!C402="Decommissioning"),"",Measures!AS402)</f>
        <v/>
      </c>
      <c r="L402" s="426" t="str">
        <f>IF(OR(Measures!AM402="Row Not Used",Measures!AM402="Decommissioning",ISBLANK(Measures!R402)),"",Measures!R402)</f>
        <v/>
      </c>
      <c r="M402" s="431" t="str">
        <f>IF(OR(Measures!AM402="Row Not Used",Measures!AM402="Fixtures Only",Measures!AM402="Decommissioning"),"",Measures!S402)</f>
        <v/>
      </c>
      <c r="N402" s="432" t="str">
        <f>IF(Measures!AM402="Row Not Used","",Measures!AF402)</f>
        <v/>
      </c>
      <c r="O402" s="426" t="str">
        <f>IF(Measures!AM402="Row Not Used","",Measures!C402)</f>
        <v/>
      </c>
      <c r="P402" s="133" t="str">
        <f t="shared" si="6"/>
        <v>No</v>
      </c>
    </row>
    <row r="403" spans="1:16" ht="75.599999999999994" customHeight="1" x14ac:dyDescent="0.3">
      <c r="A403" s="454">
        <f>Measures!A403</f>
        <v>396</v>
      </c>
      <c r="B403" s="425" t="str">
        <f>IF(Measures!AM403="Row Not Used","",IF(ISBLANK(Measures!V403),Measures!B403,_xlfn.CONCAT(Measures!B403," - ",Measures!V403)))</f>
        <v/>
      </c>
      <c r="C403" s="426" t="str">
        <f>IF(Measures!AM403="Row Not Used","",_xlfn.CONCAT(Measures!D403," - ",Measures!E403," - ",Measures!F403))</f>
        <v/>
      </c>
      <c r="D403" s="442" t="str">
        <f>IF(Measures!AM403="Row Not Used","",Measures!G403)</f>
        <v/>
      </c>
      <c r="E403" s="443" t="str">
        <f>IF(Measures!AM403="Row Not Used","",Measures!H403)</f>
        <v/>
      </c>
      <c r="F403" s="450" t="str">
        <f>IF(Measures!AM403="Row Not Used","",Measures!I403)</f>
        <v/>
      </c>
      <c r="G403" s="426" t="str">
        <f>IF(OR(Measures!AM403="Row Not Used",Measures!C403="Controls Only",Measures!C403="Decommissioning"),"",_xlfn.CONCAT(Measures!K403," - ",Measures!L403))</f>
        <v/>
      </c>
      <c r="H403" s="442" t="str">
        <f>IF(OR(Measures!AM403="Row Not Used",Measures!C403="Controls Only",Measures!C403="Decommissioning"),"",Measures!M403)</f>
        <v/>
      </c>
      <c r="I403" s="443" t="str">
        <f>IF(OR(Measures!AM403="Row Not Used",Measures!C403="Controls Only",Measures!C403="Decommissioning"),"",Measures!N403)</f>
        <v/>
      </c>
      <c r="J403" s="444" t="str">
        <f>IF(OR(Measures!AM403="Row Not Used",Measures!C403="Controls Only",Measures!C403="Decommissioning"),"",Measures!O403)</f>
        <v/>
      </c>
      <c r="K403" s="425" t="str">
        <f>IF(OR(Measures!AM403="Row Not Used",Measures!C403="Controls Only",Measures!C403="Decommissioning"),"",Measures!AS403)</f>
        <v/>
      </c>
      <c r="L403" s="426" t="str">
        <f>IF(OR(Measures!AM403="Row Not Used",Measures!AM403="Decommissioning",ISBLANK(Measures!R403)),"",Measures!R403)</f>
        <v/>
      </c>
      <c r="M403" s="431" t="str">
        <f>IF(OR(Measures!AM403="Row Not Used",Measures!AM403="Fixtures Only",Measures!AM403="Decommissioning"),"",Measures!S403)</f>
        <v/>
      </c>
      <c r="N403" s="432" t="str">
        <f>IF(Measures!AM403="Row Not Used","",Measures!AF403)</f>
        <v/>
      </c>
      <c r="O403" s="426" t="str">
        <f>IF(Measures!AM403="Row Not Used","",Measures!C403)</f>
        <v/>
      </c>
      <c r="P403" s="133" t="str">
        <f t="shared" si="6"/>
        <v>No</v>
      </c>
    </row>
    <row r="404" spans="1:16" ht="75.599999999999994" customHeight="1" x14ac:dyDescent="0.3">
      <c r="A404" s="454">
        <f>Measures!A404</f>
        <v>397</v>
      </c>
      <c r="B404" s="425" t="str">
        <f>IF(Measures!AM404="Row Not Used","",IF(ISBLANK(Measures!V404),Measures!B404,_xlfn.CONCAT(Measures!B404," - ",Measures!V404)))</f>
        <v/>
      </c>
      <c r="C404" s="426" t="str">
        <f>IF(Measures!AM404="Row Not Used","",_xlfn.CONCAT(Measures!D404," - ",Measures!E404," - ",Measures!F404))</f>
        <v/>
      </c>
      <c r="D404" s="442" t="str">
        <f>IF(Measures!AM404="Row Not Used","",Measures!G404)</f>
        <v/>
      </c>
      <c r="E404" s="443" t="str">
        <f>IF(Measures!AM404="Row Not Used","",Measures!H404)</f>
        <v/>
      </c>
      <c r="F404" s="450" t="str">
        <f>IF(Measures!AM404="Row Not Used","",Measures!I404)</f>
        <v/>
      </c>
      <c r="G404" s="426" t="str">
        <f>IF(OR(Measures!AM404="Row Not Used",Measures!C404="Controls Only",Measures!C404="Decommissioning"),"",_xlfn.CONCAT(Measures!K404," - ",Measures!L404))</f>
        <v/>
      </c>
      <c r="H404" s="442" t="str">
        <f>IF(OR(Measures!AM404="Row Not Used",Measures!C404="Controls Only",Measures!C404="Decommissioning"),"",Measures!M404)</f>
        <v/>
      </c>
      <c r="I404" s="443" t="str">
        <f>IF(OR(Measures!AM404="Row Not Used",Measures!C404="Controls Only",Measures!C404="Decommissioning"),"",Measures!N404)</f>
        <v/>
      </c>
      <c r="J404" s="444" t="str">
        <f>IF(OR(Measures!AM404="Row Not Used",Measures!C404="Controls Only",Measures!C404="Decommissioning"),"",Measures!O404)</f>
        <v/>
      </c>
      <c r="K404" s="425" t="str">
        <f>IF(OR(Measures!AM404="Row Not Used",Measures!C404="Controls Only",Measures!C404="Decommissioning"),"",Measures!AS404)</f>
        <v/>
      </c>
      <c r="L404" s="426" t="str">
        <f>IF(OR(Measures!AM404="Row Not Used",Measures!AM404="Decommissioning",ISBLANK(Measures!R404)),"",Measures!R404)</f>
        <v/>
      </c>
      <c r="M404" s="431" t="str">
        <f>IF(OR(Measures!AM404="Row Not Used",Measures!AM404="Fixtures Only",Measures!AM404="Decommissioning"),"",Measures!S404)</f>
        <v/>
      </c>
      <c r="N404" s="432" t="str">
        <f>IF(Measures!AM404="Row Not Used","",Measures!AF404)</f>
        <v/>
      </c>
      <c r="O404" s="426" t="str">
        <f>IF(Measures!AM404="Row Not Used","",Measures!C404)</f>
        <v/>
      </c>
      <c r="P404" s="133" t="str">
        <f t="shared" si="6"/>
        <v>No</v>
      </c>
    </row>
    <row r="405" spans="1:16" ht="75.599999999999994" customHeight="1" x14ac:dyDescent="0.3">
      <c r="A405" s="454">
        <f>Measures!A405</f>
        <v>398</v>
      </c>
      <c r="B405" s="425" t="str">
        <f>IF(Measures!AM405="Row Not Used","",IF(ISBLANK(Measures!V405),Measures!B405,_xlfn.CONCAT(Measures!B405," - ",Measures!V405)))</f>
        <v/>
      </c>
      <c r="C405" s="426" t="str">
        <f>IF(Measures!AM405="Row Not Used","",_xlfn.CONCAT(Measures!D405," - ",Measures!E405," - ",Measures!F405))</f>
        <v/>
      </c>
      <c r="D405" s="442" t="str">
        <f>IF(Measures!AM405="Row Not Used","",Measures!G405)</f>
        <v/>
      </c>
      <c r="E405" s="443" t="str">
        <f>IF(Measures!AM405="Row Not Used","",Measures!H405)</f>
        <v/>
      </c>
      <c r="F405" s="450" t="str">
        <f>IF(Measures!AM405="Row Not Used","",Measures!I405)</f>
        <v/>
      </c>
      <c r="G405" s="426" t="str">
        <f>IF(OR(Measures!AM405="Row Not Used",Measures!C405="Controls Only",Measures!C405="Decommissioning"),"",_xlfn.CONCAT(Measures!K405," - ",Measures!L405))</f>
        <v/>
      </c>
      <c r="H405" s="442" t="str">
        <f>IF(OR(Measures!AM405="Row Not Used",Measures!C405="Controls Only",Measures!C405="Decommissioning"),"",Measures!M405)</f>
        <v/>
      </c>
      <c r="I405" s="443" t="str">
        <f>IF(OR(Measures!AM405="Row Not Used",Measures!C405="Controls Only",Measures!C405="Decommissioning"),"",Measures!N405)</f>
        <v/>
      </c>
      <c r="J405" s="444" t="str">
        <f>IF(OR(Measures!AM405="Row Not Used",Measures!C405="Controls Only",Measures!C405="Decommissioning"),"",Measures!O405)</f>
        <v/>
      </c>
      <c r="K405" s="425" t="str">
        <f>IF(OR(Measures!AM405="Row Not Used",Measures!C405="Controls Only",Measures!C405="Decommissioning"),"",Measures!AS405)</f>
        <v/>
      </c>
      <c r="L405" s="426" t="str">
        <f>IF(OR(Measures!AM405="Row Not Used",Measures!AM405="Decommissioning",ISBLANK(Measures!R405)),"",Measures!R405)</f>
        <v/>
      </c>
      <c r="M405" s="431" t="str">
        <f>IF(OR(Measures!AM405="Row Not Used",Measures!AM405="Fixtures Only",Measures!AM405="Decommissioning"),"",Measures!S405)</f>
        <v/>
      </c>
      <c r="N405" s="432" t="str">
        <f>IF(Measures!AM405="Row Not Used","",Measures!AF405)</f>
        <v/>
      </c>
      <c r="O405" s="426" t="str">
        <f>IF(Measures!AM405="Row Not Used","",Measures!C405)</f>
        <v/>
      </c>
      <c r="P405" s="133" t="str">
        <f t="shared" si="6"/>
        <v>No</v>
      </c>
    </row>
    <row r="406" spans="1:16" ht="75.599999999999994" customHeight="1" x14ac:dyDescent="0.3">
      <c r="A406" s="454">
        <f>Measures!A406</f>
        <v>399</v>
      </c>
      <c r="B406" s="425" t="str">
        <f>IF(Measures!AM406="Row Not Used","",IF(ISBLANK(Measures!V406),Measures!B406,_xlfn.CONCAT(Measures!B406," - ",Measures!V406)))</f>
        <v/>
      </c>
      <c r="C406" s="426" t="str">
        <f>IF(Measures!AM406="Row Not Used","",_xlfn.CONCAT(Measures!D406," - ",Measures!E406," - ",Measures!F406))</f>
        <v/>
      </c>
      <c r="D406" s="442" t="str">
        <f>IF(Measures!AM406="Row Not Used","",Measures!G406)</f>
        <v/>
      </c>
      <c r="E406" s="443" t="str">
        <f>IF(Measures!AM406="Row Not Used","",Measures!H406)</f>
        <v/>
      </c>
      <c r="F406" s="450" t="str">
        <f>IF(Measures!AM406="Row Not Used","",Measures!I406)</f>
        <v/>
      </c>
      <c r="G406" s="426" t="str">
        <f>IF(OR(Measures!AM406="Row Not Used",Measures!C406="Controls Only",Measures!C406="Decommissioning"),"",_xlfn.CONCAT(Measures!K406," - ",Measures!L406))</f>
        <v/>
      </c>
      <c r="H406" s="442" t="str">
        <f>IF(OR(Measures!AM406="Row Not Used",Measures!C406="Controls Only",Measures!C406="Decommissioning"),"",Measures!M406)</f>
        <v/>
      </c>
      <c r="I406" s="443" t="str">
        <f>IF(OR(Measures!AM406="Row Not Used",Measures!C406="Controls Only",Measures!C406="Decommissioning"),"",Measures!N406)</f>
        <v/>
      </c>
      <c r="J406" s="444" t="str">
        <f>IF(OR(Measures!AM406="Row Not Used",Measures!C406="Controls Only",Measures!C406="Decommissioning"),"",Measures!O406)</f>
        <v/>
      </c>
      <c r="K406" s="425" t="str">
        <f>IF(OR(Measures!AM406="Row Not Used",Measures!C406="Controls Only",Measures!C406="Decommissioning"),"",Measures!AS406)</f>
        <v/>
      </c>
      <c r="L406" s="426" t="str">
        <f>IF(OR(Measures!AM406="Row Not Used",Measures!AM406="Decommissioning",ISBLANK(Measures!R406)),"",Measures!R406)</f>
        <v/>
      </c>
      <c r="M406" s="431" t="str">
        <f>IF(OR(Measures!AM406="Row Not Used",Measures!AM406="Fixtures Only",Measures!AM406="Decommissioning"),"",Measures!S406)</f>
        <v/>
      </c>
      <c r="N406" s="432" t="str">
        <f>IF(Measures!AM406="Row Not Used","",Measures!AF406)</f>
        <v/>
      </c>
      <c r="O406" s="426" t="str">
        <f>IF(Measures!AM406="Row Not Used","",Measures!C406)</f>
        <v/>
      </c>
      <c r="P406" s="133" t="str">
        <f t="shared" si="6"/>
        <v>No</v>
      </c>
    </row>
    <row r="407" spans="1:16" ht="75.599999999999994" customHeight="1" x14ac:dyDescent="0.3">
      <c r="A407" s="454">
        <f>Measures!A407</f>
        <v>400</v>
      </c>
      <c r="B407" s="425" t="str">
        <f>IF(Measures!AM407="Row Not Used","",IF(ISBLANK(Measures!V407),Measures!B407,_xlfn.CONCAT(Measures!B407," - ",Measures!V407)))</f>
        <v/>
      </c>
      <c r="C407" s="426" t="str">
        <f>IF(Measures!AM407="Row Not Used","",_xlfn.CONCAT(Measures!D407," - ",Measures!E407," - ",Measures!F407))</f>
        <v/>
      </c>
      <c r="D407" s="442" t="str">
        <f>IF(Measures!AM407="Row Not Used","",Measures!G407)</f>
        <v/>
      </c>
      <c r="E407" s="443" t="str">
        <f>IF(Measures!AM407="Row Not Used","",Measures!H407)</f>
        <v/>
      </c>
      <c r="F407" s="450" t="str">
        <f>IF(Measures!AM407="Row Not Used","",Measures!I407)</f>
        <v/>
      </c>
      <c r="G407" s="426" t="str">
        <f>IF(OR(Measures!AM407="Row Not Used",Measures!C407="Controls Only",Measures!C407="Decommissioning"),"",_xlfn.CONCAT(Measures!K407," - ",Measures!L407))</f>
        <v/>
      </c>
      <c r="H407" s="442" t="str">
        <f>IF(OR(Measures!AM407="Row Not Used",Measures!C407="Controls Only",Measures!C407="Decommissioning"),"",Measures!M407)</f>
        <v/>
      </c>
      <c r="I407" s="443" t="str">
        <f>IF(OR(Measures!AM407="Row Not Used",Measures!C407="Controls Only",Measures!C407="Decommissioning"),"",Measures!N407)</f>
        <v/>
      </c>
      <c r="J407" s="444" t="str">
        <f>IF(OR(Measures!AM407="Row Not Used",Measures!C407="Controls Only",Measures!C407="Decommissioning"),"",Measures!O407)</f>
        <v/>
      </c>
      <c r="K407" s="425" t="str">
        <f>IF(OR(Measures!AM407="Row Not Used",Measures!C407="Controls Only",Measures!C407="Decommissioning"),"",Measures!AS407)</f>
        <v/>
      </c>
      <c r="L407" s="426" t="str">
        <f>IF(OR(Measures!AM407="Row Not Used",Measures!AM407="Decommissioning",ISBLANK(Measures!R407)),"",Measures!R407)</f>
        <v/>
      </c>
      <c r="M407" s="431" t="str">
        <f>IF(OR(Measures!AM407="Row Not Used",Measures!AM407="Fixtures Only",Measures!AM407="Decommissioning"),"",Measures!S407)</f>
        <v/>
      </c>
      <c r="N407" s="432" t="str">
        <f>IF(Measures!AM407="Row Not Used","",Measures!AF407)</f>
        <v/>
      </c>
      <c r="O407" s="426" t="str">
        <f>IF(Measures!AM407="Row Not Used","",Measures!C407)</f>
        <v/>
      </c>
      <c r="P407" s="133" t="str">
        <f t="shared" si="6"/>
        <v>No</v>
      </c>
    </row>
    <row r="408" spans="1:16" ht="75.599999999999994" customHeight="1" x14ac:dyDescent="0.3">
      <c r="A408" s="454">
        <f>Measures!A408</f>
        <v>401</v>
      </c>
      <c r="B408" s="425" t="str">
        <f>IF(Measures!AM408="Row Not Used","",IF(ISBLANK(Measures!V408),Measures!B408,_xlfn.CONCAT(Measures!B408," - ",Measures!V408)))</f>
        <v/>
      </c>
      <c r="C408" s="426" t="str">
        <f>IF(Measures!AM408="Row Not Used","",_xlfn.CONCAT(Measures!D408," - ",Measures!E408," - ",Measures!F408))</f>
        <v/>
      </c>
      <c r="D408" s="442" t="str">
        <f>IF(Measures!AM408="Row Not Used","",Measures!G408)</f>
        <v/>
      </c>
      <c r="E408" s="443" t="str">
        <f>IF(Measures!AM408="Row Not Used","",Measures!H408)</f>
        <v/>
      </c>
      <c r="F408" s="450" t="str">
        <f>IF(Measures!AM408="Row Not Used","",Measures!I408)</f>
        <v/>
      </c>
      <c r="G408" s="426" t="str">
        <f>IF(OR(Measures!AM408="Row Not Used",Measures!C408="Controls Only",Measures!C408="Decommissioning"),"",_xlfn.CONCAT(Measures!K408," - ",Measures!L408))</f>
        <v/>
      </c>
      <c r="H408" s="442" t="str">
        <f>IF(OR(Measures!AM408="Row Not Used",Measures!C408="Controls Only",Measures!C408="Decommissioning"),"",Measures!M408)</f>
        <v/>
      </c>
      <c r="I408" s="443" t="str">
        <f>IF(OR(Measures!AM408="Row Not Used",Measures!C408="Controls Only",Measures!C408="Decommissioning"),"",Measures!N408)</f>
        <v/>
      </c>
      <c r="J408" s="444" t="str">
        <f>IF(OR(Measures!AM408="Row Not Used",Measures!C408="Controls Only",Measures!C408="Decommissioning"),"",Measures!O408)</f>
        <v/>
      </c>
      <c r="K408" s="425" t="str">
        <f>IF(OR(Measures!AM408="Row Not Used",Measures!C408="Controls Only",Measures!C408="Decommissioning"),"",Measures!AS408)</f>
        <v/>
      </c>
      <c r="L408" s="426" t="str">
        <f>IF(OR(Measures!AM408="Row Not Used",Measures!AM408="Decommissioning",ISBLANK(Measures!R408)),"",Measures!R408)</f>
        <v/>
      </c>
      <c r="M408" s="431" t="str">
        <f>IF(OR(Measures!AM408="Row Not Used",Measures!AM408="Fixtures Only",Measures!AM408="Decommissioning"),"",Measures!S408)</f>
        <v/>
      </c>
      <c r="N408" s="432" t="str">
        <f>IF(Measures!AM408="Row Not Used","",Measures!AF408)</f>
        <v/>
      </c>
      <c r="O408" s="426" t="str">
        <f>IF(Measures!AM408="Row Not Used","",Measures!C408)</f>
        <v/>
      </c>
      <c r="P408" s="133" t="str">
        <f t="shared" si="6"/>
        <v>No</v>
      </c>
    </row>
    <row r="409" spans="1:16" ht="75.599999999999994" customHeight="1" x14ac:dyDescent="0.3">
      <c r="A409" s="454">
        <f>Measures!A409</f>
        <v>402</v>
      </c>
      <c r="B409" s="425" t="str">
        <f>IF(Measures!AM409="Row Not Used","",IF(ISBLANK(Measures!V409),Measures!B409,_xlfn.CONCAT(Measures!B409," - ",Measures!V409)))</f>
        <v/>
      </c>
      <c r="C409" s="426" t="str">
        <f>IF(Measures!AM409="Row Not Used","",_xlfn.CONCAT(Measures!D409," - ",Measures!E409," - ",Measures!F409))</f>
        <v/>
      </c>
      <c r="D409" s="442" t="str">
        <f>IF(Measures!AM409="Row Not Used","",Measures!G409)</f>
        <v/>
      </c>
      <c r="E409" s="443" t="str">
        <f>IF(Measures!AM409="Row Not Used","",Measures!H409)</f>
        <v/>
      </c>
      <c r="F409" s="450" t="str">
        <f>IF(Measures!AM409="Row Not Used","",Measures!I409)</f>
        <v/>
      </c>
      <c r="G409" s="426" t="str">
        <f>IF(OR(Measures!AM409="Row Not Used",Measures!C409="Controls Only",Measures!C409="Decommissioning"),"",_xlfn.CONCAT(Measures!K409," - ",Measures!L409))</f>
        <v/>
      </c>
      <c r="H409" s="442" t="str">
        <f>IF(OR(Measures!AM409="Row Not Used",Measures!C409="Controls Only",Measures!C409="Decommissioning"),"",Measures!M409)</f>
        <v/>
      </c>
      <c r="I409" s="443" t="str">
        <f>IF(OR(Measures!AM409="Row Not Used",Measures!C409="Controls Only",Measures!C409="Decommissioning"),"",Measures!N409)</f>
        <v/>
      </c>
      <c r="J409" s="444" t="str">
        <f>IF(OR(Measures!AM409="Row Not Used",Measures!C409="Controls Only",Measures!C409="Decommissioning"),"",Measures!O409)</f>
        <v/>
      </c>
      <c r="K409" s="425" t="str">
        <f>IF(OR(Measures!AM409="Row Not Used",Measures!C409="Controls Only",Measures!C409="Decommissioning"),"",Measures!AS409)</f>
        <v/>
      </c>
      <c r="L409" s="426" t="str">
        <f>IF(OR(Measures!AM409="Row Not Used",Measures!AM409="Decommissioning",ISBLANK(Measures!R409)),"",Measures!R409)</f>
        <v/>
      </c>
      <c r="M409" s="431" t="str">
        <f>IF(OR(Measures!AM409="Row Not Used",Measures!AM409="Fixtures Only",Measures!AM409="Decommissioning"),"",Measures!S409)</f>
        <v/>
      </c>
      <c r="N409" s="432" t="str">
        <f>IF(Measures!AM409="Row Not Used","",Measures!AF409)</f>
        <v/>
      </c>
      <c r="O409" s="426" t="str">
        <f>IF(Measures!AM409="Row Not Used","",Measures!C409)</f>
        <v/>
      </c>
      <c r="P409" s="133" t="str">
        <f t="shared" si="6"/>
        <v>No</v>
      </c>
    </row>
    <row r="410" spans="1:16" ht="75.599999999999994" customHeight="1" x14ac:dyDescent="0.3">
      <c r="A410" s="454">
        <f>Measures!A410</f>
        <v>403</v>
      </c>
      <c r="B410" s="425" t="str">
        <f>IF(Measures!AM410="Row Not Used","",IF(ISBLANK(Measures!V410),Measures!B410,_xlfn.CONCAT(Measures!B410," - ",Measures!V410)))</f>
        <v/>
      </c>
      <c r="C410" s="426" t="str">
        <f>IF(Measures!AM410="Row Not Used","",_xlfn.CONCAT(Measures!D410," - ",Measures!E410," - ",Measures!F410))</f>
        <v/>
      </c>
      <c r="D410" s="442" t="str">
        <f>IF(Measures!AM410="Row Not Used","",Measures!G410)</f>
        <v/>
      </c>
      <c r="E410" s="443" t="str">
        <f>IF(Measures!AM410="Row Not Used","",Measures!H410)</f>
        <v/>
      </c>
      <c r="F410" s="450" t="str">
        <f>IF(Measures!AM410="Row Not Used","",Measures!I410)</f>
        <v/>
      </c>
      <c r="G410" s="426" t="str">
        <f>IF(OR(Measures!AM410="Row Not Used",Measures!C410="Controls Only",Measures!C410="Decommissioning"),"",_xlfn.CONCAT(Measures!K410," - ",Measures!L410))</f>
        <v/>
      </c>
      <c r="H410" s="442" t="str">
        <f>IF(OR(Measures!AM410="Row Not Used",Measures!C410="Controls Only",Measures!C410="Decommissioning"),"",Measures!M410)</f>
        <v/>
      </c>
      <c r="I410" s="443" t="str">
        <f>IF(OR(Measures!AM410="Row Not Used",Measures!C410="Controls Only",Measures!C410="Decommissioning"),"",Measures!N410)</f>
        <v/>
      </c>
      <c r="J410" s="444" t="str">
        <f>IF(OR(Measures!AM410="Row Not Used",Measures!C410="Controls Only",Measures!C410="Decommissioning"),"",Measures!O410)</f>
        <v/>
      </c>
      <c r="K410" s="425" t="str">
        <f>IF(OR(Measures!AM410="Row Not Used",Measures!C410="Controls Only",Measures!C410="Decommissioning"),"",Measures!AS410)</f>
        <v/>
      </c>
      <c r="L410" s="426" t="str">
        <f>IF(OR(Measures!AM410="Row Not Used",Measures!AM410="Decommissioning",ISBLANK(Measures!R410)),"",Measures!R410)</f>
        <v/>
      </c>
      <c r="M410" s="431" t="str">
        <f>IF(OR(Measures!AM410="Row Not Used",Measures!AM410="Fixtures Only",Measures!AM410="Decommissioning"),"",Measures!S410)</f>
        <v/>
      </c>
      <c r="N410" s="432" t="str">
        <f>IF(Measures!AM410="Row Not Used","",Measures!AF410)</f>
        <v/>
      </c>
      <c r="O410" s="426" t="str">
        <f>IF(Measures!AM410="Row Not Used","",Measures!C410)</f>
        <v/>
      </c>
      <c r="P410" s="133" t="str">
        <f t="shared" si="6"/>
        <v>No</v>
      </c>
    </row>
    <row r="411" spans="1:16" ht="75.599999999999994" customHeight="1" x14ac:dyDescent="0.3">
      <c r="A411" s="454">
        <f>Measures!A411</f>
        <v>404</v>
      </c>
      <c r="B411" s="425" t="str">
        <f>IF(Measures!AM411="Row Not Used","",IF(ISBLANK(Measures!V411),Measures!B411,_xlfn.CONCAT(Measures!B411," - ",Measures!V411)))</f>
        <v/>
      </c>
      <c r="C411" s="426" t="str">
        <f>IF(Measures!AM411="Row Not Used","",_xlfn.CONCAT(Measures!D411," - ",Measures!E411," - ",Measures!F411))</f>
        <v/>
      </c>
      <c r="D411" s="442" t="str">
        <f>IF(Measures!AM411="Row Not Used","",Measures!G411)</f>
        <v/>
      </c>
      <c r="E411" s="443" t="str">
        <f>IF(Measures!AM411="Row Not Used","",Measures!H411)</f>
        <v/>
      </c>
      <c r="F411" s="450" t="str">
        <f>IF(Measures!AM411="Row Not Used","",Measures!I411)</f>
        <v/>
      </c>
      <c r="G411" s="426" t="str">
        <f>IF(OR(Measures!AM411="Row Not Used",Measures!C411="Controls Only",Measures!C411="Decommissioning"),"",_xlfn.CONCAT(Measures!K411," - ",Measures!L411))</f>
        <v/>
      </c>
      <c r="H411" s="442" t="str">
        <f>IF(OR(Measures!AM411="Row Not Used",Measures!C411="Controls Only",Measures!C411="Decommissioning"),"",Measures!M411)</f>
        <v/>
      </c>
      <c r="I411" s="443" t="str">
        <f>IF(OR(Measures!AM411="Row Not Used",Measures!C411="Controls Only",Measures!C411="Decommissioning"),"",Measures!N411)</f>
        <v/>
      </c>
      <c r="J411" s="444" t="str">
        <f>IF(OR(Measures!AM411="Row Not Used",Measures!C411="Controls Only",Measures!C411="Decommissioning"),"",Measures!O411)</f>
        <v/>
      </c>
      <c r="K411" s="425" t="str">
        <f>IF(OR(Measures!AM411="Row Not Used",Measures!C411="Controls Only",Measures!C411="Decommissioning"),"",Measures!AS411)</f>
        <v/>
      </c>
      <c r="L411" s="426" t="str">
        <f>IF(OR(Measures!AM411="Row Not Used",Measures!AM411="Decommissioning",ISBLANK(Measures!R411)),"",Measures!R411)</f>
        <v/>
      </c>
      <c r="M411" s="431" t="str">
        <f>IF(OR(Measures!AM411="Row Not Used",Measures!AM411="Fixtures Only",Measures!AM411="Decommissioning"),"",Measures!S411)</f>
        <v/>
      </c>
      <c r="N411" s="432" t="str">
        <f>IF(Measures!AM411="Row Not Used","",Measures!AF411)</f>
        <v/>
      </c>
      <c r="O411" s="426" t="str">
        <f>IF(Measures!AM411="Row Not Used","",Measures!C411)</f>
        <v/>
      </c>
      <c r="P411" s="133" t="str">
        <f t="shared" si="6"/>
        <v>No</v>
      </c>
    </row>
    <row r="412" spans="1:16" ht="75.599999999999994" customHeight="1" x14ac:dyDescent="0.3">
      <c r="A412" s="454">
        <f>Measures!A412</f>
        <v>405</v>
      </c>
      <c r="B412" s="425" t="str">
        <f>IF(Measures!AM412="Row Not Used","",IF(ISBLANK(Measures!V412),Measures!B412,_xlfn.CONCAT(Measures!B412," - ",Measures!V412)))</f>
        <v/>
      </c>
      <c r="C412" s="426" t="str">
        <f>IF(Measures!AM412="Row Not Used","",_xlfn.CONCAT(Measures!D412," - ",Measures!E412," - ",Measures!F412))</f>
        <v/>
      </c>
      <c r="D412" s="442" t="str">
        <f>IF(Measures!AM412="Row Not Used","",Measures!G412)</f>
        <v/>
      </c>
      <c r="E412" s="443" t="str">
        <f>IF(Measures!AM412="Row Not Used","",Measures!H412)</f>
        <v/>
      </c>
      <c r="F412" s="450" t="str">
        <f>IF(Measures!AM412="Row Not Used","",Measures!I412)</f>
        <v/>
      </c>
      <c r="G412" s="426" t="str">
        <f>IF(OR(Measures!AM412="Row Not Used",Measures!C412="Controls Only",Measures!C412="Decommissioning"),"",_xlfn.CONCAT(Measures!K412," - ",Measures!L412))</f>
        <v/>
      </c>
      <c r="H412" s="442" t="str">
        <f>IF(OR(Measures!AM412="Row Not Used",Measures!C412="Controls Only",Measures!C412="Decommissioning"),"",Measures!M412)</f>
        <v/>
      </c>
      <c r="I412" s="443" t="str">
        <f>IF(OR(Measures!AM412="Row Not Used",Measures!C412="Controls Only",Measures!C412="Decommissioning"),"",Measures!N412)</f>
        <v/>
      </c>
      <c r="J412" s="444" t="str">
        <f>IF(OR(Measures!AM412="Row Not Used",Measures!C412="Controls Only",Measures!C412="Decommissioning"),"",Measures!O412)</f>
        <v/>
      </c>
      <c r="K412" s="425" t="str">
        <f>IF(OR(Measures!AM412="Row Not Used",Measures!C412="Controls Only",Measures!C412="Decommissioning"),"",Measures!AS412)</f>
        <v/>
      </c>
      <c r="L412" s="426" t="str">
        <f>IF(OR(Measures!AM412="Row Not Used",Measures!AM412="Decommissioning",ISBLANK(Measures!R412)),"",Measures!R412)</f>
        <v/>
      </c>
      <c r="M412" s="431" t="str">
        <f>IF(OR(Measures!AM412="Row Not Used",Measures!AM412="Fixtures Only",Measures!AM412="Decommissioning"),"",Measures!S412)</f>
        <v/>
      </c>
      <c r="N412" s="432" t="str">
        <f>IF(Measures!AM412="Row Not Used","",Measures!AF412)</f>
        <v/>
      </c>
      <c r="O412" s="426" t="str">
        <f>IF(Measures!AM412="Row Not Used","",Measures!C412)</f>
        <v/>
      </c>
      <c r="P412" s="133" t="str">
        <f t="shared" si="6"/>
        <v>No</v>
      </c>
    </row>
    <row r="413" spans="1:16" ht="75.599999999999994" customHeight="1" x14ac:dyDescent="0.3">
      <c r="A413" s="454">
        <f>Measures!A413</f>
        <v>406</v>
      </c>
      <c r="B413" s="425" t="str">
        <f>IF(Measures!AM413="Row Not Used","",IF(ISBLANK(Measures!V413),Measures!B413,_xlfn.CONCAT(Measures!B413," - ",Measures!V413)))</f>
        <v/>
      </c>
      <c r="C413" s="426" t="str">
        <f>IF(Measures!AM413="Row Not Used","",_xlfn.CONCAT(Measures!D413," - ",Measures!E413," - ",Measures!F413))</f>
        <v/>
      </c>
      <c r="D413" s="442" t="str">
        <f>IF(Measures!AM413="Row Not Used","",Measures!G413)</f>
        <v/>
      </c>
      <c r="E413" s="443" t="str">
        <f>IF(Measures!AM413="Row Not Used","",Measures!H413)</f>
        <v/>
      </c>
      <c r="F413" s="450" t="str">
        <f>IF(Measures!AM413="Row Not Used","",Measures!I413)</f>
        <v/>
      </c>
      <c r="G413" s="426" t="str">
        <f>IF(OR(Measures!AM413="Row Not Used",Measures!C413="Controls Only",Measures!C413="Decommissioning"),"",_xlfn.CONCAT(Measures!K413," - ",Measures!L413))</f>
        <v/>
      </c>
      <c r="H413" s="442" t="str">
        <f>IF(OR(Measures!AM413="Row Not Used",Measures!C413="Controls Only",Measures!C413="Decommissioning"),"",Measures!M413)</f>
        <v/>
      </c>
      <c r="I413" s="443" t="str">
        <f>IF(OR(Measures!AM413="Row Not Used",Measures!C413="Controls Only",Measures!C413="Decommissioning"),"",Measures!N413)</f>
        <v/>
      </c>
      <c r="J413" s="444" t="str">
        <f>IF(OR(Measures!AM413="Row Not Used",Measures!C413="Controls Only",Measures!C413="Decommissioning"),"",Measures!O413)</f>
        <v/>
      </c>
      <c r="K413" s="425" t="str">
        <f>IF(OR(Measures!AM413="Row Not Used",Measures!C413="Controls Only",Measures!C413="Decommissioning"),"",Measures!AS413)</f>
        <v/>
      </c>
      <c r="L413" s="426" t="str">
        <f>IF(OR(Measures!AM413="Row Not Used",Measures!AM413="Decommissioning",ISBLANK(Measures!R413)),"",Measures!R413)</f>
        <v/>
      </c>
      <c r="M413" s="431" t="str">
        <f>IF(OR(Measures!AM413="Row Not Used",Measures!AM413="Fixtures Only",Measures!AM413="Decommissioning"),"",Measures!S413)</f>
        <v/>
      </c>
      <c r="N413" s="432" t="str">
        <f>IF(Measures!AM413="Row Not Used","",Measures!AF413)</f>
        <v/>
      </c>
      <c r="O413" s="426" t="str">
        <f>IF(Measures!AM413="Row Not Used","",Measures!C413)</f>
        <v/>
      </c>
      <c r="P413" s="133" t="str">
        <f t="shared" si="6"/>
        <v>No</v>
      </c>
    </row>
    <row r="414" spans="1:16" ht="75.599999999999994" customHeight="1" x14ac:dyDescent="0.3">
      <c r="A414" s="454">
        <f>Measures!A414</f>
        <v>407</v>
      </c>
      <c r="B414" s="425" t="str">
        <f>IF(Measures!AM414="Row Not Used","",IF(ISBLANK(Measures!V414),Measures!B414,_xlfn.CONCAT(Measures!B414," - ",Measures!V414)))</f>
        <v/>
      </c>
      <c r="C414" s="426" t="str">
        <f>IF(Measures!AM414="Row Not Used","",_xlfn.CONCAT(Measures!D414," - ",Measures!E414," - ",Measures!F414))</f>
        <v/>
      </c>
      <c r="D414" s="442" t="str">
        <f>IF(Measures!AM414="Row Not Used","",Measures!G414)</f>
        <v/>
      </c>
      <c r="E414" s="443" t="str">
        <f>IF(Measures!AM414="Row Not Used","",Measures!H414)</f>
        <v/>
      </c>
      <c r="F414" s="450" t="str">
        <f>IF(Measures!AM414="Row Not Used","",Measures!I414)</f>
        <v/>
      </c>
      <c r="G414" s="426" t="str">
        <f>IF(OR(Measures!AM414="Row Not Used",Measures!C414="Controls Only",Measures!C414="Decommissioning"),"",_xlfn.CONCAT(Measures!K414," - ",Measures!L414))</f>
        <v/>
      </c>
      <c r="H414" s="442" t="str">
        <f>IF(OR(Measures!AM414="Row Not Used",Measures!C414="Controls Only",Measures!C414="Decommissioning"),"",Measures!M414)</f>
        <v/>
      </c>
      <c r="I414" s="443" t="str">
        <f>IF(OR(Measures!AM414="Row Not Used",Measures!C414="Controls Only",Measures!C414="Decommissioning"),"",Measures!N414)</f>
        <v/>
      </c>
      <c r="J414" s="444" t="str">
        <f>IF(OR(Measures!AM414="Row Not Used",Measures!C414="Controls Only",Measures!C414="Decommissioning"),"",Measures!O414)</f>
        <v/>
      </c>
      <c r="K414" s="425" t="str">
        <f>IF(OR(Measures!AM414="Row Not Used",Measures!C414="Controls Only",Measures!C414="Decommissioning"),"",Measures!AS414)</f>
        <v/>
      </c>
      <c r="L414" s="426" t="str">
        <f>IF(OR(Measures!AM414="Row Not Used",Measures!AM414="Decommissioning",ISBLANK(Measures!R414)),"",Measures!R414)</f>
        <v/>
      </c>
      <c r="M414" s="431" t="str">
        <f>IF(OR(Measures!AM414="Row Not Used",Measures!AM414="Fixtures Only",Measures!AM414="Decommissioning"),"",Measures!S414)</f>
        <v/>
      </c>
      <c r="N414" s="432" t="str">
        <f>IF(Measures!AM414="Row Not Used","",Measures!AF414)</f>
        <v/>
      </c>
      <c r="O414" s="426" t="str">
        <f>IF(Measures!AM414="Row Not Used","",Measures!C414)</f>
        <v/>
      </c>
      <c r="P414" s="133" t="str">
        <f t="shared" si="6"/>
        <v>No</v>
      </c>
    </row>
    <row r="415" spans="1:16" ht="75.599999999999994" customHeight="1" x14ac:dyDescent="0.3">
      <c r="A415" s="454">
        <f>Measures!A415</f>
        <v>408</v>
      </c>
      <c r="B415" s="425" t="str">
        <f>IF(Measures!AM415="Row Not Used","",IF(ISBLANK(Measures!V415),Measures!B415,_xlfn.CONCAT(Measures!B415," - ",Measures!V415)))</f>
        <v/>
      </c>
      <c r="C415" s="426" t="str">
        <f>IF(Measures!AM415="Row Not Used","",_xlfn.CONCAT(Measures!D415," - ",Measures!E415," - ",Measures!F415))</f>
        <v/>
      </c>
      <c r="D415" s="442" t="str">
        <f>IF(Measures!AM415="Row Not Used","",Measures!G415)</f>
        <v/>
      </c>
      <c r="E415" s="443" t="str">
        <f>IF(Measures!AM415="Row Not Used","",Measures!H415)</f>
        <v/>
      </c>
      <c r="F415" s="450" t="str">
        <f>IF(Measures!AM415="Row Not Used","",Measures!I415)</f>
        <v/>
      </c>
      <c r="G415" s="426" t="str">
        <f>IF(OR(Measures!AM415="Row Not Used",Measures!C415="Controls Only",Measures!C415="Decommissioning"),"",_xlfn.CONCAT(Measures!K415," - ",Measures!L415))</f>
        <v/>
      </c>
      <c r="H415" s="442" t="str">
        <f>IF(OR(Measures!AM415="Row Not Used",Measures!C415="Controls Only",Measures!C415="Decommissioning"),"",Measures!M415)</f>
        <v/>
      </c>
      <c r="I415" s="443" t="str">
        <f>IF(OR(Measures!AM415="Row Not Used",Measures!C415="Controls Only",Measures!C415="Decommissioning"),"",Measures!N415)</f>
        <v/>
      </c>
      <c r="J415" s="444" t="str">
        <f>IF(OR(Measures!AM415="Row Not Used",Measures!C415="Controls Only",Measures!C415="Decommissioning"),"",Measures!O415)</f>
        <v/>
      </c>
      <c r="K415" s="425" t="str">
        <f>IF(OR(Measures!AM415="Row Not Used",Measures!C415="Controls Only",Measures!C415="Decommissioning"),"",Measures!AS415)</f>
        <v/>
      </c>
      <c r="L415" s="426" t="str">
        <f>IF(OR(Measures!AM415="Row Not Used",Measures!AM415="Decommissioning",ISBLANK(Measures!R415)),"",Measures!R415)</f>
        <v/>
      </c>
      <c r="M415" s="431" t="str">
        <f>IF(OR(Measures!AM415="Row Not Used",Measures!AM415="Fixtures Only",Measures!AM415="Decommissioning"),"",Measures!S415)</f>
        <v/>
      </c>
      <c r="N415" s="432" t="str">
        <f>IF(Measures!AM415="Row Not Used","",Measures!AF415)</f>
        <v/>
      </c>
      <c r="O415" s="426" t="str">
        <f>IF(Measures!AM415="Row Not Used","",Measures!C415)</f>
        <v/>
      </c>
      <c r="P415" s="133" t="str">
        <f t="shared" si="6"/>
        <v>No</v>
      </c>
    </row>
    <row r="416" spans="1:16" ht="75.599999999999994" customHeight="1" x14ac:dyDescent="0.3">
      <c r="A416" s="454">
        <f>Measures!A416</f>
        <v>409</v>
      </c>
      <c r="B416" s="425" t="str">
        <f>IF(Measures!AM416="Row Not Used","",IF(ISBLANK(Measures!V416),Measures!B416,_xlfn.CONCAT(Measures!B416," - ",Measures!V416)))</f>
        <v/>
      </c>
      <c r="C416" s="426" t="str">
        <f>IF(Measures!AM416="Row Not Used","",_xlfn.CONCAT(Measures!D416," - ",Measures!E416," - ",Measures!F416))</f>
        <v/>
      </c>
      <c r="D416" s="442" t="str">
        <f>IF(Measures!AM416="Row Not Used","",Measures!G416)</f>
        <v/>
      </c>
      <c r="E416" s="443" t="str">
        <f>IF(Measures!AM416="Row Not Used","",Measures!H416)</f>
        <v/>
      </c>
      <c r="F416" s="450" t="str">
        <f>IF(Measures!AM416="Row Not Used","",Measures!I416)</f>
        <v/>
      </c>
      <c r="G416" s="426" t="str">
        <f>IF(OR(Measures!AM416="Row Not Used",Measures!C416="Controls Only",Measures!C416="Decommissioning"),"",_xlfn.CONCAT(Measures!K416," - ",Measures!L416))</f>
        <v/>
      </c>
      <c r="H416" s="442" t="str">
        <f>IF(OR(Measures!AM416="Row Not Used",Measures!C416="Controls Only",Measures!C416="Decommissioning"),"",Measures!M416)</f>
        <v/>
      </c>
      <c r="I416" s="443" t="str">
        <f>IF(OR(Measures!AM416="Row Not Used",Measures!C416="Controls Only",Measures!C416="Decommissioning"),"",Measures!N416)</f>
        <v/>
      </c>
      <c r="J416" s="444" t="str">
        <f>IF(OR(Measures!AM416="Row Not Used",Measures!C416="Controls Only",Measures!C416="Decommissioning"),"",Measures!O416)</f>
        <v/>
      </c>
      <c r="K416" s="425" t="str">
        <f>IF(OR(Measures!AM416="Row Not Used",Measures!C416="Controls Only",Measures!C416="Decommissioning"),"",Measures!AS416)</f>
        <v/>
      </c>
      <c r="L416" s="426" t="str">
        <f>IF(OR(Measures!AM416="Row Not Used",Measures!AM416="Decommissioning",ISBLANK(Measures!R416)),"",Measures!R416)</f>
        <v/>
      </c>
      <c r="M416" s="431" t="str">
        <f>IF(OR(Measures!AM416="Row Not Used",Measures!AM416="Fixtures Only",Measures!AM416="Decommissioning"),"",Measures!S416)</f>
        <v/>
      </c>
      <c r="N416" s="432" t="str">
        <f>IF(Measures!AM416="Row Not Used","",Measures!AF416)</f>
        <v/>
      </c>
      <c r="O416" s="426" t="str">
        <f>IF(Measures!AM416="Row Not Used","",Measures!C416)</f>
        <v/>
      </c>
      <c r="P416" s="133" t="str">
        <f t="shared" si="6"/>
        <v>No</v>
      </c>
    </row>
    <row r="417" spans="1:16" ht="75.599999999999994" customHeight="1" x14ac:dyDescent="0.3">
      <c r="A417" s="454">
        <f>Measures!A417</f>
        <v>410</v>
      </c>
      <c r="B417" s="425" t="str">
        <f>IF(Measures!AM417="Row Not Used","",IF(ISBLANK(Measures!V417),Measures!B417,_xlfn.CONCAT(Measures!B417," - ",Measures!V417)))</f>
        <v/>
      </c>
      <c r="C417" s="426" t="str">
        <f>IF(Measures!AM417="Row Not Used","",_xlfn.CONCAT(Measures!D417," - ",Measures!E417," - ",Measures!F417))</f>
        <v/>
      </c>
      <c r="D417" s="442" t="str">
        <f>IF(Measures!AM417="Row Not Used","",Measures!G417)</f>
        <v/>
      </c>
      <c r="E417" s="443" t="str">
        <f>IF(Measures!AM417="Row Not Used","",Measures!H417)</f>
        <v/>
      </c>
      <c r="F417" s="450" t="str">
        <f>IF(Measures!AM417="Row Not Used","",Measures!I417)</f>
        <v/>
      </c>
      <c r="G417" s="426" t="str">
        <f>IF(OR(Measures!AM417="Row Not Used",Measures!C417="Controls Only",Measures!C417="Decommissioning"),"",_xlfn.CONCAT(Measures!K417," - ",Measures!L417))</f>
        <v/>
      </c>
      <c r="H417" s="442" t="str">
        <f>IF(OR(Measures!AM417="Row Not Used",Measures!C417="Controls Only",Measures!C417="Decommissioning"),"",Measures!M417)</f>
        <v/>
      </c>
      <c r="I417" s="443" t="str">
        <f>IF(OR(Measures!AM417="Row Not Used",Measures!C417="Controls Only",Measures!C417="Decommissioning"),"",Measures!N417)</f>
        <v/>
      </c>
      <c r="J417" s="444" t="str">
        <f>IF(OR(Measures!AM417="Row Not Used",Measures!C417="Controls Only",Measures!C417="Decommissioning"),"",Measures!O417)</f>
        <v/>
      </c>
      <c r="K417" s="425" t="str">
        <f>IF(OR(Measures!AM417="Row Not Used",Measures!C417="Controls Only",Measures!C417="Decommissioning"),"",Measures!AS417)</f>
        <v/>
      </c>
      <c r="L417" s="426" t="str">
        <f>IF(OR(Measures!AM417="Row Not Used",Measures!AM417="Decommissioning",ISBLANK(Measures!R417)),"",Measures!R417)</f>
        <v/>
      </c>
      <c r="M417" s="431" t="str">
        <f>IF(OR(Measures!AM417="Row Not Used",Measures!AM417="Fixtures Only",Measures!AM417="Decommissioning"),"",Measures!S417)</f>
        <v/>
      </c>
      <c r="N417" s="432" t="str">
        <f>IF(Measures!AM417="Row Not Used","",Measures!AF417)</f>
        <v/>
      </c>
      <c r="O417" s="426" t="str">
        <f>IF(Measures!AM417="Row Not Used","",Measures!C417)</f>
        <v/>
      </c>
      <c r="P417" s="133" t="str">
        <f t="shared" si="6"/>
        <v>No</v>
      </c>
    </row>
    <row r="418" spans="1:16" ht="75.599999999999994" customHeight="1" x14ac:dyDescent="0.3">
      <c r="A418" s="454">
        <f>Measures!A418</f>
        <v>411</v>
      </c>
      <c r="B418" s="425" t="str">
        <f>IF(Measures!AM418="Row Not Used","",IF(ISBLANK(Measures!V418),Measures!B418,_xlfn.CONCAT(Measures!B418," - ",Measures!V418)))</f>
        <v/>
      </c>
      <c r="C418" s="426" t="str">
        <f>IF(Measures!AM418="Row Not Used","",_xlfn.CONCAT(Measures!D418," - ",Measures!E418," - ",Measures!F418))</f>
        <v/>
      </c>
      <c r="D418" s="442" t="str">
        <f>IF(Measures!AM418="Row Not Used","",Measures!G418)</f>
        <v/>
      </c>
      <c r="E418" s="443" t="str">
        <f>IF(Measures!AM418="Row Not Used","",Measures!H418)</f>
        <v/>
      </c>
      <c r="F418" s="450" t="str">
        <f>IF(Measures!AM418="Row Not Used","",Measures!I418)</f>
        <v/>
      </c>
      <c r="G418" s="426" t="str">
        <f>IF(OR(Measures!AM418="Row Not Used",Measures!C418="Controls Only",Measures!C418="Decommissioning"),"",_xlfn.CONCAT(Measures!K418," - ",Measures!L418))</f>
        <v/>
      </c>
      <c r="H418" s="442" t="str">
        <f>IF(OR(Measures!AM418="Row Not Used",Measures!C418="Controls Only",Measures!C418="Decommissioning"),"",Measures!M418)</f>
        <v/>
      </c>
      <c r="I418" s="443" t="str">
        <f>IF(OR(Measures!AM418="Row Not Used",Measures!C418="Controls Only",Measures!C418="Decommissioning"),"",Measures!N418)</f>
        <v/>
      </c>
      <c r="J418" s="444" t="str">
        <f>IF(OR(Measures!AM418="Row Not Used",Measures!C418="Controls Only",Measures!C418="Decommissioning"),"",Measures!O418)</f>
        <v/>
      </c>
      <c r="K418" s="425" t="str">
        <f>IF(OR(Measures!AM418="Row Not Used",Measures!C418="Controls Only",Measures!C418="Decommissioning"),"",Measures!AS418)</f>
        <v/>
      </c>
      <c r="L418" s="426" t="str">
        <f>IF(OR(Measures!AM418="Row Not Used",Measures!AM418="Decommissioning",ISBLANK(Measures!R418)),"",Measures!R418)</f>
        <v/>
      </c>
      <c r="M418" s="431" t="str">
        <f>IF(OR(Measures!AM418="Row Not Used",Measures!AM418="Fixtures Only",Measures!AM418="Decommissioning"),"",Measures!S418)</f>
        <v/>
      </c>
      <c r="N418" s="432" t="str">
        <f>IF(Measures!AM418="Row Not Used","",Measures!AF418)</f>
        <v/>
      </c>
      <c r="O418" s="426" t="str">
        <f>IF(Measures!AM418="Row Not Used","",Measures!C418)</f>
        <v/>
      </c>
      <c r="P418" s="133" t="str">
        <f t="shared" si="6"/>
        <v>No</v>
      </c>
    </row>
    <row r="419" spans="1:16" ht="75.599999999999994" customHeight="1" x14ac:dyDescent="0.3">
      <c r="A419" s="454">
        <f>Measures!A419</f>
        <v>412</v>
      </c>
      <c r="B419" s="425" t="str">
        <f>IF(Measures!AM419="Row Not Used","",IF(ISBLANK(Measures!V419),Measures!B419,_xlfn.CONCAT(Measures!B419," - ",Measures!V419)))</f>
        <v/>
      </c>
      <c r="C419" s="426" t="str">
        <f>IF(Measures!AM419="Row Not Used","",_xlfn.CONCAT(Measures!D419," - ",Measures!E419," - ",Measures!F419))</f>
        <v/>
      </c>
      <c r="D419" s="442" t="str">
        <f>IF(Measures!AM419="Row Not Used","",Measures!G419)</f>
        <v/>
      </c>
      <c r="E419" s="443" t="str">
        <f>IF(Measures!AM419="Row Not Used","",Measures!H419)</f>
        <v/>
      </c>
      <c r="F419" s="450" t="str">
        <f>IF(Measures!AM419="Row Not Used","",Measures!I419)</f>
        <v/>
      </c>
      <c r="G419" s="426" t="str">
        <f>IF(OR(Measures!AM419="Row Not Used",Measures!C419="Controls Only",Measures!C419="Decommissioning"),"",_xlfn.CONCAT(Measures!K419," - ",Measures!L419))</f>
        <v/>
      </c>
      <c r="H419" s="442" t="str">
        <f>IF(OR(Measures!AM419="Row Not Used",Measures!C419="Controls Only",Measures!C419="Decommissioning"),"",Measures!M419)</f>
        <v/>
      </c>
      <c r="I419" s="443" t="str">
        <f>IF(OR(Measures!AM419="Row Not Used",Measures!C419="Controls Only",Measures!C419="Decommissioning"),"",Measures!N419)</f>
        <v/>
      </c>
      <c r="J419" s="444" t="str">
        <f>IF(OR(Measures!AM419="Row Not Used",Measures!C419="Controls Only",Measures!C419="Decommissioning"),"",Measures!O419)</f>
        <v/>
      </c>
      <c r="K419" s="425" t="str">
        <f>IF(OR(Measures!AM419="Row Not Used",Measures!C419="Controls Only",Measures!C419="Decommissioning"),"",Measures!AS419)</f>
        <v/>
      </c>
      <c r="L419" s="426" t="str">
        <f>IF(OR(Measures!AM419="Row Not Used",Measures!AM419="Decommissioning",ISBLANK(Measures!R419)),"",Measures!R419)</f>
        <v/>
      </c>
      <c r="M419" s="431" t="str">
        <f>IF(OR(Measures!AM419="Row Not Used",Measures!AM419="Fixtures Only",Measures!AM419="Decommissioning"),"",Measures!S419)</f>
        <v/>
      </c>
      <c r="N419" s="432" t="str">
        <f>IF(Measures!AM419="Row Not Used","",Measures!AF419)</f>
        <v/>
      </c>
      <c r="O419" s="426" t="str">
        <f>IF(Measures!AM419="Row Not Used","",Measures!C419)</f>
        <v/>
      </c>
      <c r="P419" s="133" t="str">
        <f t="shared" si="6"/>
        <v>No</v>
      </c>
    </row>
    <row r="420" spans="1:16" ht="75.599999999999994" customHeight="1" x14ac:dyDescent="0.3">
      <c r="A420" s="454">
        <f>Measures!A420</f>
        <v>413</v>
      </c>
      <c r="B420" s="425" t="str">
        <f>IF(Measures!AM420="Row Not Used","",IF(ISBLANK(Measures!V420),Measures!B420,_xlfn.CONCAT(Measures!B420," - ",Measures!V420)))</f>
        <v/>
      </c>
      <c r="C420" s="426" t="str">
        <f>IF(Measures!AM420="Row Not Used","",_xlfn.CONCAT(Measures!D420," - ",Measures!E420," - ",Measures!F420))</f>
        <v/>
      </c>
      <c r="D420" s="442" t="str">
        <f>IF(Measures!AM420="Row Not Used","",Measures!G420)</f>
        <v/>
      </c>
      <c r="E420" s="443" t="str">
        <f>IF(Measures!AM420="Row Not Used","",Measures!H420)</f>
        <v/>
      </c>
      <c r="F420" s="450" t="str">
        <f>IF(Measures!AM420="Row Not Used","",Measures!I420)</f>
        <v/>
      </c>
      <c r="G420" s="426" t="str">
        <f>IF(OR(Measures!AM420="Row Not Used",Measures!C420="Controls Only",Measures!C420="Decommissioning"),"",_xlfn.CONCAT(Measures!K420," - ",Measures!L420))</f>
        <v/>
      </c>
      <c r="H420" s="442" t="str">
        <f>IF(OR(Measures!AM420="Row Not Used",Measures!C420="Controls Only",Measures!C420="Decommissioning"),"",Measures!M420)</f>
        <v/>
      </c>
      <c r="I420" s="443" t="str">
        <f>IF(OR(Measures!AM420="Row Not Used",Measures!C420="Controls Only",Measures!C420="Decommissioning"),"",Measures!N420)</f>
        <v/>
      </c>
      <c r="J420" s="444" t="str">
        <f>IF(OR(Measures!AM420="Row Not Used",Measures!C420="Controls Only",Measures!C420="Decommissioning"),"",Measures!O420)</f>
        <v/>
      </c>
      <c r="K420" s="425" t="str">
        <f>IF(OR(Measures!AM420="Row Not Used",Measures!C420="Controls Only",Measures!C420="Decommissioning"),"",Measures!AS420)</f>
        <v/>
      </c>
      <c r="L420" s="426" t="str">
        <f>IF(OR(Measures!AM420="Row Not Used",Measures!AM420="Decommissioning",ISBLANK(Measures!R420)),"",Measures!R420)</f>
        <v/>
      </c>
      <c r="M420" s="431" t="str">
        <f>IF(OR(Measures!AM420="Row Not Used",Measures!AM420="Fixtures Only",Measures!AM420="Decommissioning"),"",Measures!S420)</f>
        <v/>
      </c>
      <c r="N420" s="432" t="str">
        <f>IF(Measures!AM420="Row Not Used","",Measures!AF420)</f>
        <v/>
      </c>
      <c r="O420" s="426" t="str">
        <f>IF(Measures!AM420="Row Not Used","",Measures!C420)</f>
        <v/>
      </c>
      <c r="P420" s="133" t="str">
        <f t="shared" si="6"/>
        <v>No</v>
      </c>
    </row>
    <row r="421" spans="1:16" ht="75.599999999999994" customHeight="1" x14ac:dyDescent="0.3">
      <c r="A421" s="454">
        <f>Measures!A421</f>
        <v>414</v>
      </c>
      <c r="B421" s="425" t="str">
        <f>IF(Measures!AM421="Row Not Used","",IF(ISBLANK(Measures!V421),Measures!B421,_xlfn.CONCAT(Measures!B421," - ",Measures!V421)))</f>
        <v/>
      </c>
      <c r="C421" s="426" t="str">
        <f>IF(Measures!AM421="Row Not Used","",_xlfn.CONCAT(Measures!D421," - ",Measures!E421," - ",Measures!F421))</f>
        <v/>
      </c>
      <c r="D421" s="442" t="str">
        <f>IF(Measures!AM421="Row Not Used","",Measures!G421)</f>
        <v/>
      </c>
      <c r="E421" s="443" t="str">
        <f>IF(Measures!AM421="Row Not Used","",Measures!H421)</f>
        <v/>
      </c>
      <c r="F421" s="450" t="str">
        <f>IF(Measures!AM421="Row Not Used","",Measures!I421)</f>
        <v/>
      </c>
      <c r="G421" s="426" t="str">
        <f>IF(OR(Measures!AM421="Row Not Used",Measures!C421="Controls Only",Measures!C421="Decommissioning"),"",_xlfn.CONCAT(Measures!K421," - ",Measures!L421))</f>
        <v/>
      </c>
      <c r="H421" s="442" t="str">
        <f>IF(OR(Measures!AM421="Row Not Used",Measures!C421="Controls Only",Measures!C421="Decommissioning"),"",Measures!M421)</f>
        <v/>
      </c>
      <c r="I421" s="443" t="str">
        <f>IF(OR(Measures!AM421="Row Not Used",Measures!C421="Controls Only",Measures!C421="Decommissioning"),"",Measures!N421)</f>
        <v/>
      </c>
      <c r="J421" s="444" t="str">
        <f>IF(OR(Measures!AM421="Row Not Used",Measures!C421="Controls Only",Measures!C421="Decommissioning"),"",Measures!O421)</f>
        <v/>
      </c>
      <c r="K421" s="425" t="str">
        <f>IF(OR(Measures!AM421="Row Not Used",Measures!C421="Controls Only",Measures!C421="Decommissioning"),"",Measures!AS421)</f>
        <v/>
      </c>
      <c r="L421" s="426" t="str">
        <f>IF(OR(Measures!AM421="Row Not Used",Measures!AM421="Decommissioning",ISBLANK(Measures!R421)),"",Measures!R421)</f>
        <v/>
      </c>
      <c r="M421" s="431" t="str">
        <f>IF(OR(Measures!AM421="Row Not Used",Measures!AM421="Fixtures Only",Measures!AM421="Decommissioning"),"",Measures!S421)</f>
        <v/>
      </c>
      <c r="N421" s="432" t="str">
        <f>IF(Measures!AM421="Row Not Used","",Measures!AF421)</f>
        <v/>
      </c>
      <c r="O421" s="426" t="str">
        <f>IF(Measures!AM421="Row Not Used","",Measures!C421)</f>
        <v/>
      </c>
      <c r="P421" s="133" t="str">
        <f t="shared" si="6"/>
        <v>No</v>
      </c>
    </row>
    <row r="422" spans="1:16" ht="75.599999999999994" customHeight="1" x14ac:dyDescent="0.3">
      <c r="A422" s="454">
        <f>Measures!A422</f>
        <v>415</v>
      </c>
      <c r="B422" s="425" t="str">
        <f>IF(Measures!AM422="Row Not Used","",IF(ISBLANK(Measures!V422),Measures!B422,_xlfn.CONCAT(Measures!B422," - ",Measures!V422)))</f>
        <v/>
      </c>
      <c r="C422" s="426" t="str">
        <f>IF(Measures!AM422="Row Not Used","",_xlfn.CONCAT(Measures!D422," - ",Measures!E422," - ",Measures!F422))</f>
        <v/>
      </c>
      <c r="D422" s="442" t="str">
        <f>IF(Measures!AM422="Row Not Used","",Measures!G422)</f>
        <v/>
      </c>
      <c r="E422" s="443" t="str">
        <f>IF(Measures!AM422="Row Not Used","",Measures!H422)</f>
        <v/>
      </c>
      <c r="F422" s="450" t="str">
        <f>IF(Measures!AM422="Row Not Used","",Measures!I422)</f>
        <v/>
      </c>
      <c r="G422" s="426" t="str">
        <f>IF(OR(Measures!AM422="Row Not Used",Measures!C422="Controls Only",Measures!C422="Decommissioning"),"",_xlfn.CONCAT(Measures!K422," - ",Measures!L422))</f>
        <v/>
      </c>
      <c r="H422" s="442" t="str">
        <f>IF(OR(Measures!AM422="Row Not Used",Measures!C422="Controls Only",Measures!C422="Decommissioning"),"",Measures!M422)</f>
        <v/>
      </c>
      <c r="I422" s="443" t="str">
        <f>IF(OR(Measures!AM422="Row Not Used",Measures!C422="Controls Only",Measures!C422="Decommissioning"),"",Measures!N422)</f>
        <v/>
      </c>
      <c r="J422" s="444" t="str">
        <f>IF(OR(Measures!AM422="Row Not Used",Measures!C422="Controls Only",Measures!C422="Decommissioning"),"",Measures!O422)</f>
        <v/>
      </c>
      <c r="K422" s="425" t="str">
        <f>IF(OR(Measures!AM422="Row Not Used",Measures!C422="Controls Only",Measures!C422="Decommissioning"),"",Measures!AS422)</f>
        <v/>
      </c>
      <c r="L422" s="426" t="str">
        <f>IF(OR(Measures!AM422="Row Not Used",Measures!AM422="Decommissioning",ISBLANK(Measures!R422)),"",Measures!R422)</f>
        <v/>
      </c>
      <c r="M422" s="431" t="str">
        <f>IF(OR(Measures!AM422="Row Not Used",Measures!AM422="Fixtures Only",Measures!AM422="Decommissioning"),"",Measures!S422)</f>
        <v/>
      </c>
      <c r="N422" s="432" t="str">
        <f>IF(Measures!AM422="Row Not Used","",Measures!AF422)</f>
        <v/>
      </c>
      <c r="O422" s="426" t="str">
        <f>IF(Measures!AM422="Row Not Used","",Measures!C422)</f>
        <v/>
      </c>
      <c r="P422" s="133" t="str">
        <f t="shared" si="6"/>
        <v>No</v>
      </c>
    </row>
    <row r="423" spans="1:16" ht="75.599999999999994" customHeight="1" x14ac:dyDescent="0.3">
      <c r="A423" s="454">
        <f>Measures!A423</f>
        <v>416</v>
      </c>
      <c r="B423" s="425" t="str">
        <f>IF(Measures!AM423="Row Not Used","",IF(ISBLANK(Measures!V423),Measures!B423,_xlfn.CONCAT(Measures!B423," - ",Measures!V423)))</f>
        <v/>
      </c>
      <c r="C423" s="426" t="str">
        <f>IF(Measures!AM423="Row Not Used","",_xlfn.CONCAT(Measures!D423," - ",Measures!E423," - ",Measures!F423))</f>
        <v/>
      </c>
      <c r="D423" s="442" t="str">
        <f>IF(Measures!AM423="Row Not Used","",Measures!G423)</f>
        <v/>
      </c>
      <c r="E423" s="443" t="str">
        <f>IF(Measures!AM423="Row Not Used","",Measures!H423)</f>
        <v/>
      </c>
      <c r="F423" s="450" t="str">
        <f>IF(Measures!AM423="Row Not Used","",Measures!I423)</f>
        <v/>
      </c>
      <c r="G423" s="426" t="str">
        <f>IF(OR(Measures!AM423="Row Not Used",Measures!C423="Controls Only",Measures!C423="Decommissioning"),"",_xlfn.CONCAT(Measures!K423," - ",Measures!L423))</f>
        <v/>
      </c>
      <c r="H423" s="442" t="str">
        <f>IF(OR(Measures!AM423="Row Not Used",Measures!C423="Controls Only",Measures!C423="Decommissioning"),"",Measures!M423)</f>
        <v/>
      </c>
      <c r="I423" s="443" t="str">
        <f>IF(OR(Measures!AM423="Row Not Used",Measures!C423="Controls Only",Measures!C423="Decommissioning"),"",Measures!N423)</f>
        <v/>
      </c>
      <c r="J423" s="444" t="str">
        <f>IF(OR(Measures!AM423="Row Not Used",Measures!C423="Controls Only",Measures!C423="Decommissioning"),"",Measures!O423)</f>
        <v/>
      </c>
      <c r="K423" s="425" t="str">
        <f>IF(OR(Measures!AM423="Row Not Used",Measures!C423="Controls Only",Measures!C423="Decommissioning"),"",Measures!AS423)</f>
        <v/>
      </c>
      <c r="L423" s="426" t="str">
        <f>IF(OR(Measures!AM423="Row Not Used",Measures!AM423="Decommissioning",ISBLANK(Measures!R423)),"",Measures!R423)</f>
        <v/>
      </c>
      <c r="M423" s="431" t="str">
        <f>IF(OR(Measures!AM423="Row Not Used",Measures!AM423="Fixtures Only",Measures!AM423="Decommissioning"),"",Measures!S423)</f>
        <v/>
      </c>
      <c r="N423" s="432" t="str">
        <f>IF(Measures!AM423="Row Not Used","",Measures!AF423)</f>
        <v/>
      </c>
      <c r="O423" s="426" t="str">
        <f>IF(Measures!AM423="Row Not Used","",Measures!C423)</f>
        <v/>
      </c>
      <c r="P423" s="133" t="str">
        <f t="shared" si="6"/>
        <v>No</v>
      </c>
    </row>
    <row r="424" spans="1:16" ht="75.599999999999994" customHeight="1" x14ac:dyDescent="0.3">
      <c r="A424" s="454">
        <f>Measures!A424</f>
        <v>417</v>
      </c>
      <c r="B424" s="425" t="str">
        <f>IF(Measures!AM424="Row Not Used","",IF(ISBLANK(Measures!V424),Measures!B424,_xlfn.CONCAT(Measures!B424," - ",Measures!V424)))</f>
        <v/>
      </c>
      <c r="C424" s="426" t="str">
        <f>IF(Measures!AM424="Row Not Used","",_xlfn.CONCAT(Measures!D424," - ",Measures!E424," - ",Measures!F424))</f>
        <v/>
      </c>
      <c r="D424" s="442" t="str">
        <f>IF(Measures!AM424="Row Not Used","",Measures!G424)</f>
        <v/>
      </c>
      <c r="E424" s="443" t="str">
        <f>IF(Measures!AM424="Row Not Used","",Measures!H424)</f>
        <v/>
      </c>
      <c r="F424" s="450" t="str">
        <f>IF(Measures!AM424="Row Not Used","",Measures!I424)</f>
        <v/>
      </c>
      <c r="G424" s="426" t="str">
        <f>IF(OR(Measures!AM424="Row Not Used",Measures!C424="Controls Only",Measures!C424="Decommissioning"),"",_xlfn.CONCAT(Measures!K424," - ",Measures!L424))</f>
        <v/>
      </c>
      <c r="H424" s="442" t="str">
        <f>IF(OR(Measures!AM424="Row Not Used",Measures!C424="Controls Only",Measures!C424="Decommissioning"),"",Measures!M424)</f>
        <v/>
      </c>
      <c r="I424" s="443" t="str">
        <f>IF(OR(Measures!AM424="Row Not Used",Measures!C424="Controls Only",Measures!C424="Decommissioning"),"",Measures!N424)</f>
        <v/>
      </c>
      <c r="J424" s="444" t="str">
        <f>IF(OR(Measures!AM424="Row Not Used",Measures!C424="Controls Only",Measures!C424="Decommissioning"),"",Measures!O424)</f>
        <v/>
      </c>
      <c r="K424" s="425" t="str">
        <f>IF(OR(Measures!AM424="Row Not Used",Measures!C424="Controls Only",Measures!C424="Decommissioning"),"",Measures!AS424)</f>
        <v/>
      </c>
      <c r="L424" s="426" t="str">
        <f>IF(OR(Measures!AM424="Row Not Used",Measures!AM424="Decommissioning",ISBLANK(Measures!R424)),"",Measures!R424)</f>
        <v/>
      </c>
      <c r="M424" s="431" t="str">
        <f>IF(OR(Measures!AM424="Row Not Used",Measures!AM424="Fixtures Only",Measures!AM424="Decommissioning"),"",Measures!S424)</f>
        <v/>
      </c>
      <c r="N424" s="432" t="str">
        <f>IF(Measures!AM424="Row Not Used","",Measures!AF424)</f>
        <v/>
      </c>
      <c r="O424" s="426" t="str">
        <f>IF(Measures!AM424="Row Not Used","",Measures!C424)</f>
        <v/>
      </c>
      <c r="P424" s="133" t="str">
        <f t="shared" si="6"/>
        <v>No</v>
      </c>
    </row>
    <row r="425" spans="1:16" ht="75.599999999999994" customHeight="1" x14ac:dyDescent="0.3">
      <c r="A425" s="454">
        <f>Measures!A425</f>
        <v>418</v>
      </c>
      <c r="B425" s="425" t="str">
        <f>IF(Measures!AM425="Row Not Used","",IF(ISBLANK(Measures!V425),Measures!B425,_xlfn.CONCAT(Measures!B425," - ",Measures!V425)))</f>
        <v/>
      </c>
      <c r="C425" s="426" t="str">
        <f>IF(Measures!AM425="Row Not Used","",_xlfn.CONCAT(Measures!D425," - ",Measures!E425," - ",Measures!F425))</f>
        <v/>
      </c>
      <c r="D425" s="442" t="str">
        <f>IF(Measures!AM425="Row Not Used","",Measures!G425)</f>
        <v/>
      </c>
      <c r="E425" s="443" t="str">
        <f>IF(Measures!AM425="Row Not Used","",Measures!H425)</f>
        <v/>
      </c>
      <c r="F425" s="450" t="str">
        <f>IF(Measures!AM425="Row Not Used","",Measures!I425)</f>
        <v/>
      </c>
      <c r="G425" s="426" t="str">
        <f>IF(OR(Measures!AM425="Row Not Used",Measures!C425="Controls Only",Measures!C425="Decommissioning"),"",_xlfn.CONCAT(Measures!K425," - ",Measures!L425))</f>
        <v/>
      </c>
      <c r="H425" s="442" t="str">
        <f>IF(OR(Measures!AM425="Row Not Used",Measures!C425="Controls Only",Measures!C425="Decommissioning"),"",Measures!M425)</f>
        <v/>
      </c>
      <c r="I425" s="443" t="str">
        <f>IF(OR(Measures!AM425="Row Not Used",Measures!C425="Controls Only",Measures!C425="Decommissioning"),"",Measures!N425)</f>
        <v/>
      </c>
      <c r="J425" s="444" t="str">
        <f>IF(OR(Measures!AM425="Row Not Used",Measures!C425="Controls Only",Measures!C425="Decommissioning"),"",Measures!O425)</f>
        <v/>
      </c>
      <c r="K425" s="425" t="str">
        <f>IF(OR(Measures!AM425="Row Not Used",Measures!C425="Controls Only",Measures!C425="Decommissioning"),"",Measures!AS425)</f>
        <v/>
      </c>
      <c r="L425" s="426" t="str">
        <f>IF(OR(Measures!AM425="Row Not Used",Measures!AM425="Decommissioning",ISBLANK(Measures!R425)),"",Measures!R425)</f>
        <v/>
      </c>
      <c r="M425" s="431" t="str">
        <f>IF(OR(Measures!AM425="Row Not Used",Measures!AM425="Fixtures Only",Measures!AM425="Decommissioning"),"",Measures!S425)</f>
        <v/>
      </c>
      <c r="N425" s="432" t="str">
        <f>IF(Measures!AM425="Row Not Used","",Measures!AF425)</f>
        <v/>
      </c>
      <c r="O425" s="426" t="str">
        <f>IF(Measures!AM425="Row Not Used","",Measures!C425)</f>
        <v/>
      </c>
      <c r="P425" s="133" t="str">
        <f t="shared" si="6"/>
        <v>No</v>
      </c>
    </row>
    <row r="426" spans="1:16" ht="75.599999999999994" customHeight="1" x14ac:dyDescent="0.3">
      <c r="A426" s="454">
        <f>Measures!A426</f>
        <v>419</v>
      </c>
      <c r="B426" s="425" t="str">
        <f>IF(Measures!AM426="Row Not Used","",IF(ISBLANK(Measures!V426),Measures!B426,_xlfn.CONCAT(Measures!B426," - ",Measures!V426)))</f>
        <v/>
      </c>
      <c r="C426" s="426" t="str">
        <f>IF(Measures!AM426="Row Not Used","",_xlfn.CONCAT(Measures!D426," - ",Measures!E426," - ",Measures!F426))</f>
        <v/>
      </c>
      <c r="D426" s="442" t="str">
        <f>IF(Measures!AM426="Row Not Used","",Measures!G426)</f>
        <v/>
      </c>
      <c r="E426" s="443" t="str">
        <f>IF(Measures!AM426="Row Not Used","",Measures!H426)</f>
        <v/>
      </c>
      <c r="F426" s="450" t="str">
        <f>IF(Measures!AM426="Row Not Used","",Measures!I426)</f>
        <v/>
      </c>
      <c r="G426" s="426" t="str">
        <f>IF(OR(Measures!AM426="Row Not Used",Measures!C426="Controls Only",Measures!C426="Decommissioning"),"",_xlfn.CONCAT(Measures!K426," - ",Measures!L426))</f>
        <v/>
      </c>
      <c r="H426" s="442" t="str">
        <f>IF(OR(Measures!AM426="Row Not Used",Measures!C426="Controls Only",Measures!C426="Decommissioning"),"",Measures!M426)</f>
        <v/>
      </c>
      <c r="I426" s="443" t="str">
        <f>IF(OR(Measures!AM426="Row Not Used",Measures!C426="Controls Only",Measures!C426="Decommissioning"),"",Measures!N426)</f>
        <v/>
      </c>
      <c r="J426" s="444" t="str">
        <f>IF(OR(Measures!AM426="Row Not Used",Measures!C426="Controls Only",Measures!C426="Decommissioning"),"",Measures!O426)</f>
        <v/>
      </c>
      <c r="K426" s="425" t="str">
        <f>IF(OR(Measures!AM426="Row Not Used",Measures!C426="Controls Only",Measures!C426="Decommissioning"),"",Measures!AS426)</f>
        <v/>
      </c>
      <c r="L426" s="426" t="str">
        <f>IF(OR(Measures!AM426="Row Not Used",Measures!AM426="Decommissioning",ISBLANK(Measures!R426)),"",Measures!R426)</f>
        <v/>
      </c>
      <c r="M426" s="431" t="str">
        <f>IF(OR(Measures!AM426="Row Not Used",Measures!AM426="Fixtures Only",Measures!AM426="Decommissioning"),"",Measures!S426)</f>
        <v/>
      </c>
      <c r="N426" s="432" t="str">
        <f>IF(Measures!AM426="Row Not Used","",Measures!AF426)</f>
        <v/>
      </c>
      <c r="O426" s="426" t="str">
        <f>IF(Measures!AM426="Row Not Used","",Measures!C426)</f>
        <v/>
      </c>
      <c r="P426" s="133" t="str">
        <f t="shared" si="6"/>
        <v>No</v>
      </c>
    </row>
    <row r="427" spans="1:16" ht="75.599999999999994" customHeight="1" x14ac:dyDescent="0.3">
      <c r="A427" s="454">
        <f>Measures!A427</f>
        <v>420</v>
      </c>
      <c r="B427" s="425" t="str">
        <f>IF(Measures!AM427="Row Not Used","",IF(ISBLANK(Measures!V427),Measures!B427,_xlfn.CONCAT(Measures!B427," - ",Measures!V427)))</f>
        <v/>
      </c>
      <c r="C427" s="426" t="str">
        <f>IF(Measures!AM427="Row Not Used","",_xlfn.CONCAT(Measures!D427," - ",Measures!E427," - ",Measures!F427))</f>
        <v/>
      </c>
      <c r="D427" s="442" t="str">
        <f>IF(Measures!AM427="Row Not Used","",Measures!G427)</f>
        <v/>
      </c>
      <c r="E427" s="443" t="str">
        <f>IF(Measures!AM427="Row Not Used","",Measures!H427)</f>
        <v/>
      </c>
      <c r="F427" s="450" t="str">
        <f>IF(Measures!AM427="Row Not Used","",Measures!I427)</f>
        <v/>
      </c>
      <c r="G427" s="426" t="str">
        <f>IF(OR(Measures!AM427="Row Not Used",Measures!C427="Controls Only",Measures!C427="Decommissioning"),"",_xlfn.CONCAT(Measures!K427," - ",Measures!L427))</f>
        <v/>
      </c>
      <c r="H427" s="442" t="str">
        <f>IF(OR(Measures!AM427="Row Not Used",Measures!C427="Controls Only",Measures!C427="Decommissioning"),"",Measures!M427)</f>
        <v/>
      </c>
      <c r="I427" s="443" t="str">
        <f>IF(OR(Measures!AM427="Row Not Used",Measures!C427="Controls Only",Measures!C427="Decommissioning"),"",Measures!N427)</f>
        <v/>
      </c>
      <c r="J427" s="444" t="str">
        <f>IF(OR(Measures!AM427="Row Not Used",Measures!C427="Controls Only",Measures!C427="Decommissioning"),"",Measures!O427)</f>
        <v/>
      </c>
      <c r="K427" s="425" t="str">
        <f>IF(OR(Measures!AM427="Row Not Used",Measures!C427="Controls Only",Measures!C427="Decommissioning"),"",Measures!AS427)</f>
        <v/>
      </c>
      <c r="L427" s="426" t="str">
        <f>IF(OR(Measures!AM427="Row Not Used",Measures!AM427="Decommissioning",ISBLANK(Measures!R427)),"",Measures!R427)</f>
        <v/>
      </c>
      <c r="M427" s="431" t="str">
        <f>IF(OR(Measures!AM427="Row Not Used",Measures!AM427="Fixtures Only",Measures!AM427="Decommissioning"),"",Measures!S427)</f>
        <v/>
      </c>
      <c r="N427" s="432" t="str">
        <f>IF(Measures!AM427="Row Not Used","",Measures!AF427)</f>
        <v/>
      </c>
      <c r="O427" s="426" t="str">
        <f>IF(Measures!AM427="Row Not Used","",Measures!C427)</f>
        <v/>
      </c>
      <c r="P427" s="133" t="str">
        <f t="shared" si="6"/>
        <v>No</v>
      </c>
    </row>
    <row r="428" spans="1:16" ht="75.599999999999994" customHeight="1" x14ac:dyDescent="0.3">
      <c r="A428" s="454">
        <f>Measures!A428</f>
        <v>421</v>
      </c>
      <c r="B428" s="425" t="str">
        <f>IF(Measures!AM428="Row Not Used","",IF(ISBLANK(Measures!V428),Measures!B428,_xlfn.CONCAT(Measures!B428," - ",Measures!V428)))</f>
        <v/>
      </c>
      <c r="C428" s="426" t="str">
        <f>IF(Measures!AM428="Row Not Used","",_xlfn.CONCAT(Measures!D428," - ",Measures!E428," - ",Measures!F428))</f>
        <v/>
      </c>
      <c r="D428" s="442" t="str">
        <f>IF(Measures!AM428="Row Not Used","",Measures!G428)</f>
        <v/>
      </c>
      <c r="E428" s="443" t="str">
        <f>IF(Measures!AM428="Row Not Used","",Measures!H428)</f>
        <v/>
      </c>
      <c r="F428" s="450" t="str">
        <f>IF(Measures!AM428="Row Not Used","",Measures!I428)</f>
        <v/>
      </c>
      <c r="G428" s="426" t="str">
        <f>IF(OR(Measures!AM428="Row Not Used",Measures!C428="Controls Only",Measures!C428="Decommissioning"),"",_xlfn.CONCAT(Measures!K428," - ",Measures!L428))</f>
        <v/>
      </c>
      <c r="H428" s="442" t="str">
        <f>IF(OR(Measures!AM428="Row Not Used",Measures!C428="Controls Only",Measures!C428="Decommissioning"),"",Measures!M428)</f>
        <v/>
      </c>
      <c r="I428" s="443" t="str">
        <f>IF(OR(Measures!AM428="Row Not Used",Measures!C428="Controls Only",Measures!C428="Decommissioning"),"",Measures!N428)</f>
        <v/>
      </c>
      <c r="J428" s="444" t="str">
        <f>IF(OR(Measures!AM428="Row Not Used",Measures!C428="Controls Only",Measures!C428="Decommissioning"),"",Measures!O428)</f>
        <v/>
      </c>
      <c r="K428" s="425" t="str">
        <f>IF(OR(Measures!AM428="Row Not Used",Measures!C428="Controls Only",Measures!C428="Decommissioning"),"",Measures!AS428)</f>
        <v/>
      </c>
      <c r="L428" s="426" t="str">
        <f>IF(OR(Measures!AM428="Row Not Used",Measures!AM428="Decommissioning",ISBLANK(Measures!R428)),"",Measures!R428)</f>
        <v/>
      </c>
      <c r="M428" s="431" t="str">
        <f>IF(OR(Measures!AM428="Row Not Used",Measures!AM428="Fixtures Only",Measures!AM428="Decommissioning"),"",Measures!S428)</f>
        <v/>
      </c>
      <c r="N428" s="432" t="str">
        <f>IF(Measures!AM428="Row Not Used","",Measures!AF428)</f>
        <v/>
      </c>
      <c r="O428" s="426" t="str">
        <f>IF(Measures!AM428="Row Not Used","",Measures!C428)</f>
        <v/>
      </c>
      <c r="P428" s="133" t="str">
        <f t="shared" si="6"/>
        <v>No</v>
      </c>
    </row>
    <row r="429" spans="1:16" ht="75.599999999999994" customHeight="1" x14ac:dyDescent="0.3">
      <c r="A429" s="454">
        <f>Measures!A429</f>
        <v>422</v>
      </c>
      <c r="B429" s="425" t="str">
        <f>IF(Measures!AM429="Row Not Used","",IF(ISBLANK(Measures!V429),Measures!B429,_xlfn.CONCAT(Measures!B429," - ",Measures!V429)))</f>
        <v/>
      </c>
      <c r="C429" s="426" t="str">
        <f>IF(Measures!AM429="Row Not Used","",_xlfn.CONCAT(Measures!D429," - ",Measures!E429," - ",Measures!F429))</f>
        <v/>
      </c>
      <c r="D429" s="442" t="str">
        <f>IF(Measures!AM429="Row Not Used","",Measures!G429)</f>
        <v/>
      </c>
      <c r="E429" s="443" t="str">
        <f>IF(Measures!AM429="Row Not Used","",Measures!H429)</f>
        <v/>
      </c>
      <c r="F429" s="450" t="str">
        <f>IF(Measures!AM429="Row Not Used","",Measures!I429)</f>
        <v/>
      </c>
      <c r="G429" s="426" t="str">
        <f>IF(OR(Measures!AM429="Row Not Used",Measures!C429="Controls Only",Measures!C429="Decommissioning"),"",_xlfn.CONCAT(Measures!K429," - ",Measures!L429))</f>
        <v/>
      </c>
      <c r="H429" s="442" t="str">
        <f>IF(OR(Measures!AM429="Row Not Used",Measures!C429="Controls Only",Measures!C429="Decommissioning"),"",Measures!M429)</f>
        <v/>
      </c>
      <c r="I429" s="443" t="str">
        <f>IF(OR(Measures!AM429="Row Not Used",Measures!C429="Controls Only",Measures!C429="Decommissioning"),"",Measures!N429)</f>
        <v/>
      </c>
      <c r="J429" s="444" t="str">
        <f>IF(OR(Measures!AM429="Row Not Used",Measures!C429="Controls Only",Measures!C429="Decommissioning"),"",Measures!O429)</f>
        <v/>
      </c>
      <c r="K429" s="425" t="str">
        <f>IF(OR(Measures!AM429="Row Not Used",Measures!C429="Controls Only",Measures!C429="Decommissioning"),"",Measures!AS429)</f>
        <v/>
      </c>
      <c r="L429" s="426" t="str">
        <f>IF(OR(Measures!AM429="Row Not Used",Measures!AM429="Decommissioning",ISBLANK(Measures!R429)),"",Measures!R429)</f>
        <v/>
      </c>
      <c r="M429" s="431" t="str">
        <f>IF(OR(Measures!AM429="Row Not Used",Measures!AM429="Fixtures Only",Measures!AM429="Decommissioning"),"",Measures!S429)</f>
        <v/>
      </c>
      <c r="N429" s="432" t="str">
        <f>IF(Measures!AM429="Row Not Used","",Measures!AF429)</f>
        <v/>
      </c>
      <c r="O429" s="426" t="str">
        <f>IF(Measures!AM429="Row Not Used","",Measures!C429)</f>
        <v/>
      </c>
      <c r="P429" s="133" t="str">
        <f t="shared" si="6"/>
        <v>No</v>
      </c>
    </row>
    <row r="430" spans="1:16" ht="75.599999999999994" customHeight="1" x14ac:dyDescent="0.3">
      <c r="A430" s="454">
        <f>Measures!A430</f>
        <v>423</v>
      </c>
      <c r="B430" s="425" t="str">
        <f>IF(Measures!AM430="Row Not Used","",IF(ISBLANK(Measures!V430),Measures!B430,_xlfn.CONCAT(Measures!B430," - ",Measures!V430)))</f>
        <v/>
      </c>
      <c r="C430" s="426" t="str">
        <f>IF(Measures!AM430="Row Not Used","",_xlfn.CONCAT(Measures!D430," - ",Measures!E430," - ",Measures!F430))</f>
        <v/>
      </c>
      <c r="D430" s="442" t="str">
        <f>IF(Measures!AM430="Row Not Used","",Measures!G430)</f>
        <v/>
      </c>
      <c r="E430" s="443" t="str">
        <f>IF(Measures!AM430="Row Not Used","",Measures!H430)</f>
        <v/>
      </c>
      <c r="F430" s="450" t="str">
        <f>IF(Measures!AM430="Row Not Used","",Measures!I430)</f>
        <v/>
      </c>
      <c r="G430" s="426" t="str">
        <f>IF(OR(Measures!AM430="Row Not Used",Measures!C430="Controls Only",Measures!C430="Decommissioning"),"",_xlfn.CONCAT(Measures!K430," - ",Measures!L430))</f>
        <v/>
      </c>
      <c r="H430" s="442" t="str">
        <f>IF(OR(Measures!AM430="Row Not Used",Measures!C430="Controls Only",Measures!C430="Decommissioning"),"",Measures!M430)</f>
        <v/>
      </c>
      <c r="I430" s="443" t="str">
        <f>IF(OR(Measures!AM430="Row Not Used",Measures!C430="Controls Only",Measures!C430="Decommissioning"),"",Measures!N430)</f>
        <v/>
      </c>
      <c r="J430" s="444" t="str">
        <f>IF(OR(Measures!AM430="Row Not Used",Measures!C430="Controls Only",Measures!C430="Decommissioning"),"",Measures!O430)</f>
        <v/>
      </c>
      <c r="K430" s="425" t="str">
        <f>IF(OR(Measures!AM430="Row Not Used",Measures!C430="Controls Only",Measures!C430="Decommissioning"),"",Measures!AS430)</f>
        <v/>
      </c>
      <c r="L430" s="426" t="str">
        <f>IF(OR(Measures!AM430="Row Not Used",Measures!AM430="Decommissioning",ISBLANK(Measures!R430)),"",Measures!R430)</f>
        <v/>
      </c>
      <c r="M430" s="431" t="str">
        <f>IF(OR(Measures!AM430="Row Not Used",Measures!AM430="Fixtures Only",Measures!AM430="Decommissioning"),"",Measures!S430)</f>
        <v/>
      </c>
      <c r="N430" s="432" t="str">
        <f>IF(Measures!AM430="Row Not Used","",Measures!AF430)</f>
        <v/>
      </c>
      <c r="O430" s="426" t="str">
        <f>IF(Measures!AM430="Row Not Used","",Measures!C430)</f>
        <v/>
      </c>
      <c r="P430" s="133" t="str">
        <f t="shared" si="6"/>
        <v>No</v>
      </c>
    </row>
    <row r="431" spans="1:16" ht="75.599999999999994" customHeight="1" x14ac:dyDescent="0.3">
      <c r="A431" s="454">
        <f>Measures!A431</f>
        <v>424</v>
      </c>
      <c r="B431" s="425" t="str">
        <f>IF(Measures!AM431="Row Not Used","",IF(ISBLANK(Measures!V431),Measures!B431,_xlfn.CONCAT(Measures!B431," - ",Measures!V431)))</f>
        <v/>
      </c>
      <c r="C431" s="426" t="str">
        <f>IF(Measures!AM431="Row Not Used","",_xlfn.CONCAT(Measures!D431," - ",Measures!E431," - ",Measures!F431))</f>
        <v/>
      </c>
      <c r="D431" s="442" t="str">
        <f>IF(Measures!AM431="Row Not Used","",Measures!G431)</f>
        <v/>
      </c>
      <c r="E431" s="443" t="str">
        <f>IF(Measures!AM431="Row Not Used","",Measures!H431)</f>
        <v/>
      </c>
      <c r="F431" s="450" t="str">
        <f>IF(Measures!AM431="Row Not Used","",Measures!I431)</f>
        <v/>
      </c>
      <c r="G431" s="426" t="str">
        <f>IF(OR(Measures!AM431="Row Not Used",Measures!C431="Controls Only",Measures!C431="Decommissioning"),"",_xlfn.CONCAT(Measures!K431," - ",Measures!L431))</f>
        <v/>
      </c>
      <c r="H431" s="442" t="str">
        <f>IF(OR(Measures!AM431="Row Not Used",Measures!C431="Controls Only",Measures!C431="Decommissioning"),"",Measures!M431)</f>
        <v/>
      </c>
      <c r="I431" s="443" t="str">
        <f>IF(OR(Measures!AM431="Row Not Used",Measures!C431="Controls Only",Measures!C431="Decommissioning"),"",Measures!N431)</f>
        <v/>
      </c>
      <c r="J431" s="444" t="str">
        <f>IF(OR(Measures!AM431="Row Not Used",Measures!C431="Controls Only",Measures!C431="Decommissioning"),"",Measures!O431)</f>
        <v/>
      </c>
      <c r="K431" s="425" t="str">
        <f>IF(OR(Measures!AM431="Row Not Used",Measures!C431="Controls Only",Measures!C431="Decommissioning"),"",Measures!AS431)</f>
        <v/>
      </c>
      <c r="L431" s="426" t="str">
        <f>IF(OR(Measures!AM431="Row Not Used",Measures!AM431="Decommissioning",ISBLANK(Measures!R431)),"",Measures!R431)</f>
        <v/>
      </c>
      <c r="M431" s="431" t="str">
        <f>IF(OR(Measures!AM431="Row Not Used",Measures!AM431="Fixtures Only",Measures!AM431="Decommissioning"),"",Measures!S431)</f>
        <v/>
      </c>
      <c r="N431" s="432" t="str">
        <f>IF(Measures!AM431="Row Not Used","",Measures!AF431)</f>
        <v/>
      </c>
      <c r="O431" s="426" t="str">
        <f>IF(Measures!AM431="Row Not Used","",Measures!C431)</f>
        <v/>
      </c>
      <c r="P431" s="133" t="str">
        <f t="shared" si="6"/>
        <v>No</v>
      </c>
    </row>
    <row r="432" spans="1:16" ht="75.599999999999994" customHeight="1" x14ac:dyDescent="0.3">
      <c r="A432" s="454">
        <f>Measures!A432</f>
        <v>425</v>
      </c>
      <c r="B432" s="425" t="str">
        <f>IF(Measures!AM432="Row Not Used","",IF(ISBLANK(Measures!V432),Measures!B432,_xlfn.CONCAT(Measures!B432," - ",Measures!V432)))</f>
        <v/>
      </c>
      <c r="C432" s="426" t="str">
        <f>IF(Measures!AM432="Row Not Used","",_xlfn.CONCAT(Measures!D432," - ",Measures!E432," - ",Measures!F432))</f>
        <v/>
      </c>
      <c r="D432" s="442" t="str">
        <f>IF(Measures!AM432="Row Not Used","",Measures!G432)</f>
        <v/>
      </c>
      <c r="E432" s="443" t="str">
        <f>IF(Measures!AM432="Row Not Used","",Measures!H432)</f>
        <v/>
      </c>
      <c r="F432" s="450" t="str">
        <f>IF(Measures!AM432="Row Not Used","",Measures!I432)</f>
        <v/>
      </c>
      <c r="G432" s="426" t="str">
        <f>IF(OR(Measures!AM432="Row Not Used",Measures!C432="Controls Only",Measures!C432="Decommissioning"),"",_xlfn.CONCAT(Measures!K432," - ",Measures!L432))</f>
        <v/>
      </c>
      <c r="H432" s="442" t="str">
        <f>IF(OR(Measures!AM432="Row Not Used",Measures!C432="Controls Only",Measures!C432="Decommissioning"),"",Measures!M432)</f>
        <v/>
      </c>
      <c r="I432" s="443" t="str">
        <f>IF(OR(Measures!AM432="Row Not Used",Measures!C432="Controls Only",Measures!C432="Decommissioning"),"",Measures!N432)</f>
        <v/>
      </c>
      <c r="J432" s="444" t="str">
        <f>IF(OR(Measures!AM432="Row Not Used",Measures!C432="Controls Only",Measures!C432="Decommissioning"),"",Measures!O432)</f>
        <v/>
      </c>
      <c r="K432" s="425" t="str">
        <f>IF(OR(Measures!AM432="Row Not Used",Measures!C432="Controls Only",Measures!C432="Decommissioning"),"",Measures!AS432)</f>
        <v/>
      </c>
      <c r="L432" s="426" t="str">
        <f>IF(OR(Measures!AM432="Row Not Used",Measures!AM432="Decommissioning",ISBLANK(Measures!R432)),"",Measures!R432)</f>
        <v/>
      </c>
      <c r="M432" s="431" t="str">
        <f>IF(OR(Measures!AM432="Row Not Used",Measures!AM432="Fixtures Only",Measures!AM432="Decommissioning"),"",Measures!S432)</f>
        <v/>
      </c>
      <c r="N432" s="432" t="str">
        <f>IF(Measures!AM432="Row Not Used","",Measures!AF432)</f>
        <v/>
      </c>
      <c r="O432" s="426" t="str">
        <f>IF(Measures!AM432="Row Not Used","",Measures!C432)</f>
        <v/>
      </c>
      <c r="P432" s="133" t="str">
        <f t="shared" si="6"/>
        <v>No</v>
      </c>
    </row>
    <row r="433" spans="1:16" ht="75.599999999999994" customHeight="1" x14ac:dyDescent="0.3">
      <c r="A433" s="454">
        <f>Measures!A433</f>
        <v>426</v>
      </c>
      <c r="B433" s="425" t="str">
        <f>IF(Measures!AM433="Row Not Used","",IF(ISBLANK(Measures!V433),Measures!B433,_xlfn.CONCAT(Measures!B433," - ",Measures!V433)))</f>
        <v/>
      </c>
      <c r="C433" s="426" t="str">
        <f>IF(Measures!AM433="Row Not Used","",_xlfn.CONCAT(Measures!D433," - ",Measures!E433," - ",Measures!F433))</f>
        <v/>
      </c>
      <c r="D433" s="442" t="str">
        <f>IF(Measures!AM433="Row Not Used","",Measures!G433)</f>
        <v/>
      </c>
      <c r="E433" s="443" t="str">
        <f>IF(Measures!AM433="Row Not Used","",Measures!H433)</f>
        <v/>
      </c>
      <c r="F433" s="450" t="str">
        <f>IF(Measures!AM433="Row Not Used","",Measures!I433)</f>
        <v/>
      </c>
      <c r="G433" s="426" t="str">
        <f>IF(OR(Measures!AM433="Row Not Used",Measures!C433="Controls Only",Measures!C433="Decommissioning"),"",_xlfn.CONCAT(Measures!K433," - ",Measures!L433))</f>
        <v/>
      </c>
      <c r="H433" s="442" t="str">
        <f>IF(OR(Measures!AM433="Row Not Used",Measures!C433="Controls Only",Measures!C433="Decommissioning"),"",Measures!M433)</f>
        <v/>
      </c>
      <c r="I433" s="443" t="str">
        <f>IF(OR(Measures!AM433="Row Not Used",Measures!C433="Controls Only",Measures!C433="Decommissioning"),"",Measures!N433)</f>
        <v/>
      </c>
      <c r="J433" s="444" t="str">
        <f>IF(OR(Measures!AM433="Row Not Used",Measures!C433="Controls Only",Measures!C433="Decommissioning"),"",Measures!O433)</f>
        <v/>
      </c>
      <c r="K433" s="425" t="str">
        <f>IF(OR(Measures!AM433="Row Not Used",Measures!C433="Controls Only",Measures!C433="Decommissioning"),"",Measures!AS433)</f>
        <v/>
      </c>
      <c r="L433" s="426" t="str">
        <f>IF(OR(Measures!AM433="Row Not Used",Measures!AM433="Decommissioning",ISBLANK(Measures!R433)),"",Measures!R433)</f>
        <v/>
      </c>
      <c r="M433" s="431" t="str">
        <f>IF(OR(Measures!AM433="Row Not Used",Measures!AM433="Fixtures Only",Measures!AM433="Decommissioning"),"",Measures!S433)</f>
        <v/>
      </c>
      <c r="N433" s="432" t="str">
        <f>IF(Measures!AM433="Row Not Used","",Measures!AF433)</f>
        <v/>
      </c>
      <c r="O433" s="426" t="str">
        <f>IF(Measures!AM433="Row Not Used","",Measures!C433)</f>
        <v/>
      </c>
      <c r="P433" s="133" t="str">
        <f t="shared" si="6"/>
        <v>No</v>
      </c>
    </row>
    <row r="434" spans="1:16" ht="75.599999999999994" customHeight="1" x14ac:dyDescent="0.3">
      <c r="A434" s="454">
        <f>Measures!A434</f>
        <v>427</v>
      </c>
      <c r="B434" s="425" t="str">
        <f>IF(Measures!AM434="Row Not Used","",IF(ISBLANK(Measures!V434),Measures!B434,_xlfn.CONCAT(Measures!B434," - ",Measures!V434)))</f>
        <v/>
      </c>
      <c r="C434" s="426" t="str">
        <f>IF(Measures!AM434="Row Not Used","",_xlfn.CONCAT(Measures!D434," - ",Measures!E434," - ",Measures!F434))</f>
        <v/>
      </c>
      <c r="D434" s="442" t="str">
        <f>IF(Measures!AM434="Row Not Used","",Measures!G434)</f>
        <v/>
      </c>
      <c r="E434" s="443" t="str">
        <f>IF(Measures!AM434="Row Not Used","",Measures!H434)</f>
        <v/>
      </c>
      <c r="F434" s="450" t="str">
        <f>IF(Measures!AM434="Row Not Used","",Measures!I434)</f>
        <v/>
      </c>
      <c r="G434" s="426" t="str">
        <f>IF(OR(Measures!AM434="Row Not Used",Measures!C434="Controls Only",Measures!C434="Decommissioning"),"",_xlfn.CONCAT(Measures!K434," - ",Measures!L434))</f>
        <v/>
      </c>
      <c r="H434" s="442" t="str">
        <f>IF(OR(Measures!AM434="Row Not Used",Measures!C434="Controls Only",Measures!C434="Decommissioning"),"",Measures!M434)</f>
        <v/>
      </c>
      <c r="I434" s="443" t="str">
        <f>IF(OR(Measures!AM434="Row Not Used",Measures!C434="Controls Only",Measures!C434="Decommissioning"),"",Measures!N434)</f>
        <v/>
      </c>
      <c r="J434" s="444" t="str">
        <f>IF(OR(Measures!AM434="Row Not Used",Measures!C434="Controls Only",Measures!C434="Decommissioning"),"",Measures!O434)</f>
        <v/>
      </c>
      <c r="K434" s="425" t="str">
        <f>IF(OR(Measures!AM434="Row Not Used",Measures!C434="Controls Only",Measures!C434="Decommissioning"),"",Measures!AS434)</f>
        <v/>
      </c>
      <c r="L434" s="426" t="str">
        <f>IF(OR(Measures!AM434="Row Not Used",Measures!AM434="Decommissioning",ISBLANK(Measures!R434)),"",Measures!R434)</f>
        <v/>
      </c>
      <c r="M434" s="431" t="str">
        <f>IF(OR(Measures!AM434="Row Not Used",Measures!AM434="Fixtures Only",Measures!AM434="Decommissioning"),"",Measures!S434)</f>
        <v/>
      </c>
      <c r="N434" s="432" t="str">
        <f>IF(Measures!AM434="Row Not Used","",Measures!AF434)</f>
        <v/>
      </c>
      <c r="O434" s="426" t="str">
        <f>IF(Measures!AM434="Row Not Used","",Measures!C434)</f>
        <v/>
      </c>
      <c r="P434" s="133" t="str">
        <f t="shared" si="6"/>
        <v>No</v>
      </c>
    </row>
    <row r="435" spans="1:16" ht="75.599999999999994" customHeight="1" x14ac:dyDescent="0.3">
      <c r="A435" s="454">
        <f>Measures!A435</f>
        <v>428</v>
      </c>
      <c r="B435" s="425" t="str">
        <f>IF(Measures!AM435="Row Not Used","",IF(ISBLANK(Measures!V435),Measures!B435,_xlfn.CONCAT(Measures!B435," - ",Measures!V435)))</f>
        <v/>
      </c>
      <c r="C435" s="426" t="str">
        <f>IF(Measures!AM435="Row Not Used","",_xlfn.CONCAT(Measures!D435," - ",Measures!E435," - ",Measures!F435))</f>
        <v/>
      </c>
      <c r="D435" s="442" t="str">
        <f>IF(Measures!AM435="Row Not Used","",Measures!G435)</f>
        <v/>
      </c>
      <c r="E435" s="443" t="str">
        <f>IF(Measures!AM435="Row Not Used","",Measures!H435)</f>
        <v/>
      </c>
      <c r="F435" s="450" t="str">
        <f>IF(Measures!AM435="Row Not Used","",Measures!I435)</f>
        <v/>
      </c>
      <c r="G435" s="426" t="str">
        <f>IF(OR(Measures!AM435="Row Not Used",Measures!C435="Controls Only",Measures!C435="Decommissioning"),"",_xlfn.CONCAT(Measures!K435," - ",Measures!L435))</f>
        <v/>
      </c>
      <c r="H435" s="442" t="str">
        <f>IF(OR(Measures!AM435="Row Not Used",Measures!C435="Controls Only",Measures!C435="Decommissioning"),"",Measures!M435)</f>
        <v/>
      </c>
      <c r="I435" s="443" t="str">
        <f>IF(OR(Measures!AM435="Row Not Used",Measures!C435="Controls Only",Measures!C435="Decommissioning"),"",Measures!N435)</f>
        <v/>
      </c>
      <c r="J435" s="444" t="str">
        <f>IF(OR(Measures!AM435="Row Not Used",Measures!C435="Controls Only",Measures!C435="Decommissioning"),"",Measures!O435)</f>
        <v/>
      </c>
      <c r="K435" s="425" t="str">
        <f>IF(OR(Measures!AM435="Row Not Used",Measures!C435="Controls Only",Measures!C435="Decommissioning"),"",Measures!AS435)</f>
        <v/>
      </c>
      <c r="L435" s="426" t="str">
        <f>IF(OR(Measures!AM435="Row Not Used",Measures!AM435="Decommissioning",ISBLANK(Measures!R435)),"",Measures!R435)</f>
        <v/>
      </c>
      <c r="M435" s="431" t="str">
        <f>IF(OR(Measures!AM435="Row Not Used",Measures!AM435="Fixtures Only",Measures!AM435="Decommissioning"),"",Measures!S435)</f>
        <v/>
      </c>
      <c r="N435" s="432" t="str">
        <f>IF(Measures!AM435="Row Not Used","",Measures!AF435)</f>
        <v/>
      </c>
      <c r="O435" s="426" t="str">
        <f>IF(Measures!AM435="Row Not Used","",Measures!C435)</f>
        <v/>
      </c>
      <c r="P435" s="133" t="str">
        <f t="shared" si="6"/>
        <v>No</v>
      </c>
    </row>
    <row r="436" spans="1:16" ht="75.599999999999994" customHeight="1" x14ac:dyDescent="0.3">
      <c r="A436" s="454">
        <f>Measures!A436</f>
        <v>429</v>
      </c>
      <c r="B436" s="425" t="str">
        <f>IF(Measures!AM436="Row Not Used","",IF(ISBLANK(Measures!V436),Measures!B436,_xlfn.CONCAT(Measures!B436," - ",Measures!V436)))</f>
        <v/>
      </c>
      <c r="C436" s="426" t="str">
        <f>IF(Measures!AM436="Row Not Used","",_xlfn.CONCAT(Measures!D436," - ",Measures!E436," - ",Measures!F436))</f>
        <v/>
      </c>
      <c r="D436" s="442" t="str">
        <f>IF(Measures!AM436="Row Not Used","",Measures!G436)</f>
        <v/>
      </c>
      <c r="E436" s="443" t="str">
        <f>IF(Measures!AM436="Row Not Used","",Measures!H436)</f>
        <v/>
      </c>
      <c r="F436" s="450" t="str">
        <f>IF(Measures!AM436="Row Not Used","",Measures!I436)</f>
        <v/>
      </c>
      <c r="G436" s="426" t="str">
        <f>IF(OR(Measures!AM436="Row Not Used",Measures!C436="Controls Only",Measures!C436="Decommissioning"),"",_xlfn.CONCAT(Measures!K436," - ",Measures!L436))</f>
        <v/>
      </c>
      <c r="H436" s="442" t="str">
        <f>IF(OR(Measures!AM436="Row Not Used",Measures!C436="Controls Only",Measures!C436="Decommissioning"),"",Measures!M436)</f>
        <v/>
      </c>
      <c r="I436" s="443" t="str">
        <f>IF(OR(Measures!AM436="Row Not Used",Measures!C436="Controls Only",Measures!C436="Decommissioning"),"",Measures!N436)</f>
        <v/>
      </c>
      <c r="J436" s="444" t="str">
        <f>IF(OR(Measures!AM436="Row Not Used",Measures!C436="Controls Only",Measures!C436="Decommissioning"),"",Measures!O436)</f>
        <v/>
      </c>
      <c r="K436" s="425" t="str">
        <f>IF(OR(Measures!AM436="Row Not Used",Measures!C436="Controls Only",Measures!C436="Decommissioning"),"",Measures!AS436)</f>
        <v/>
      </c>
      <c r="L436" s="426" t="str">
        <f>IF(OR(Measures!AM436="Row Not Used",Measures!AM436="Decommissioning",ISBLANK(Measures!R436)),"",Measures!R436)</f>
        <v/>
      </c>
      <c r="M436" s="431" t="str">
        <f>IF(OR(Measures!AM436="Row Not Used",Measures!AM436="Fixtures Only",Measures!AM436="Decommissioning"),"",Measures!S436)</f>
        <v/>
      </c>
      <c r="N436" s="432" t="str">
        <f>IF(Measures!AM436="Row Not Used","",Measures!AF436)</f>
        <v/>
      </c>
      <c r="O436" s="426" t="str">
        <f>IF(Measures!AM436="Row Not Used","",Measures!C436)</f>
        <v/>
      </c>
      <c r="P436" s="133" t="str">
        <f t="shared" si="6"/>
        <v>No</v>
      </c>
    </row>
    <row r="437" spans="1:16" ht="75.599999999999994" customHeight="1" x14ac:dyDescent="0.3">
      <c r="A437" s="454">
        <f>Measures!A437</f>
        <v>430</v>
      </c>
      <c r="B437" s="425" t="str">
        <f>IF(Measures!AM437="Row Not Used","",IF(ISBLANK(Measures!V437),Measures!B437,_xlfn.CONCAT(Measures!B437," - ",Measures!V437)))</f>
        <v/>
      </c>
      <c r="C437" s="426" t="str">
        <f>IF(Measures!AM437="Row Not Used","",_xlfn.CONCAT(Measures!D437," - ",Measures!E437," - ",Measures!F437))</f>
        <v/>
      </c>
      <c r="D437" s="442" t="str">
        <f>IF(Measures!AM437="Row Not Used","",Measures!G437)</f>
        <v/>
      </c>
      <c r="E437" s="443" t="str">
        <f>IF(Measures!AM437="Row Not Used","",Measures!H437)</f>
        <v/>
      </c>
      <c r="F437" s="450" t="str">
        <f>IF(Measures!AM437="Row Not Used","",Measures!I437)</f>
        <v/>
      </c>
      <c r="G437" s="426" t="str">
        <f>IF(OR(Measures!AM437="Row Not Used",Measures!C437="Controls Only",Measures!C437="Decommissioning"),"",_xlfn.CONCAT(Measures!K437," - ",Measures!L437))</f>
        <v/>
      </c>
      <c r="H437" s="442" t="str">
        <f>IF(OR(Measures!AM437="Row Not Used",Measures!C437="Controls Only",Measures!C437="Decommissioning"),"",Measures!M437)</f>
        <v/>
      </c>
      <c r="I437" s="443" t="str">
        <f>IF(OR(Measures!AM437="Row Not Used",Measures!C437="Controls Only",Measures!C437="Decommissioning"),"",Measures!N437)</f>
        <v/>
      </c>
      <c r="J437" s="444" t="str">
        <f>IF(OR(Measures!AM437="Row Not Used",Measures!C437="Controls Only",Measures!C437="Decommissioning"),"",Measures!O437)</f>
        <v/>
      </c>
      <c r="K437" s="425" t="str">
        <f>IF(OR(Measures!AM437="Row Not Used",Measures!C437="Controls Only",Measures!C437="Decommissioning"),"",Measures!AS437)</f>
        <v/>
      </c>
      <c r="L437" s="426" t="str">
        <f>IF(OR(Measures!AM437="Row Not Used",Measures!AM437="Decommissioning",ISBLANK(Measures!R437)),"",Measures!R437)</f>
        <v/>
      </c>
      <c r="M437" s="431" t="str">
        <f>IF(OR(Measures!AM437="Row Not Used",Measures!AM437="Fixtures Only",Measures!AM437="Decommissioning"),"",Measures!S437)</f>
        <v/>
      </c>
      <c r="N437" s="432" t="str">
        <f>IF(Measures!AM437="Row Not Used","",Measures!AF437)</f>
        <v/>
      </c>
      <c r="O437" s="426" t="str">
        <f>IF(Measures!AM437="Row Not Used","",Measures!C437)</f>
        <v/>
      </c>
      <c r="P437" s="133" t="str">
        <f t="shared" si="6"/>
        <v>No</v>
      </c>
    </row>
    <row r="438" spans="1:16" ht="75.599999999999994" customHeight="1" x14ac:dyDescent="0.3">
      <c r="A438" s="454">
        <f>Measures!A438</f>
        <v>431</v>
      </c>
      <c r="B438" s="425" t="str">
        <f>IF(Measures!AM438="Row Not Used","",IF(ISBLANK(Measures!V438),Measures!B438,_xlfn.CONCAT(Measures!B438," - ",Measures!V438)))</f>
        <v/>
      </c>
      <c r="C438" s="426" t="str">
        <f>IF(Measures!AM438="Row Not Used","",_xlfn.CONCAT(Measures!D438," - ",Measures!E438," - ",Measures!F438))</f>
        <v/>
      </c>
      <c r="D438" s="442" t="str">
        <f>IF(Measures!AM438="Row Not Used","",Measures!G438)</f>
        <v/>
      </c>
      <c r="E438" s="443" t="str">
        <f>IF(Measures!AM438="Row Not Used","",Measures!H438)</f>
        <v/>
      </c>
      <c r="F438" s="450" t="str">
        <f>IF(Measures!AM438="Row Not Used","",Measures!I438)</f>
        <v/>
      </c>
      <c r="G438" s="426" t="str">
        <f>IF(OR(Measures!AM438="Row Not Used",Measures!C438="Controls Only",Measures!C438="Decommissioning"),"",_xlfn.CONCAT(Measures!K438," - ",Measures!L438))</f>
        <v/>
      </c>
      <c r="H438" s="442" t="str">
        <f>IF(OR(Measures!AM438="Row Not Used",Measures!C438="Controls Only",Measures!C438="Decommissioning"),"",Measures!M438)</f>
        <v/>
      </c>
      <c r="I438" s="443" t="str">
        <f>IF(OR(Measures!AM438="Row Not Used",Measures!C438="Controls Only",Measures!C438="Decommissioning"),"",Measures!N438)</f>
        <v/>
      </c>
      <c r="J438" s="444" t="str">
        <f>IF(OR(Measures!AM438="Row Not Used",Measures!C438="Controls Only",Measures!C438="Decommissioning"),"",Measures!O438)</f>
        <v/>
      </c>
      <c r="K438" s="425" t="str">
        <f>IF(OR(Measures!AM438="Row Not Used",Measures!C438="Controls Only",Measures!C438="Decommissioning"),"",Measures!AS438)</f>
        <v/>
      </c>
      <c r="L438" s="426" t="str">
        <f>IF(OR(Measures!AM438="Row Not Used",Measures!AM438="Decommissioning",ISBLANK(Measures!R438)),"",Measures!R438)</f>
        <v/>
      </c>
      <c r="M438" s="431" t="str">
        <f>IF(OR(Measures!AM438="Row Not Used",Measures!AM438="Fixtures Only",Measures!AM438="Decommissioning"),"",Measures!S438)</f>
        <v/>
      </c>
      <c r="N438" s="432" t="str">
        <f>IF(Measures!AM438="Row Not Used","",Measures!AF438)</f>
        <v/>
      </c>
      <c r="O438" s="426" t="str">
        <f>IF(Measures!AM438="Row Not Used","",Measures!C438)</f>
        <v/>
      </c>
      <c r="P438" s="133" t="str">
        <f t="shared" si="6"/>
        <v>No</v>
      </c>
    </row>
    <row r="439" spans="1:16" ht="75.599999999999994" customHeight="1" x14ac:dyDescent="0.3">
      <c r="A439" s="454">
        <f>Measures!A439</f>
        <v>432</v>
      </c>
      <c r="B439" s="425" t="str">
        <f>IF(Measures!AM439="Row Not Used","",IF(ISBLANK(Measures!V439),Measures!B439,_xlfn.CONCAT(Measures!B439," - ",Measures!V439)))</f>
        <v/>
      </c>
      <c r="C439" s="426" t="str">
        <f>IF(Measures!AM439="Row Not Used","",_xlfn.CONCAT(Measures!D439," - ",Measures!E439," - ",Measures!F439))</f>
        <v/>
      </c>
      <c r="D439" s="442" t="str">
        <f>IF(Measures!AM439="Row Not Used","",Measures!G439)</f>
        <v/>
      </c>
      <c r="E439" s="443" t="str">
        <f>IF(Measures!AM439="Row Not Used","",Measures!H439)</f>
        <v/>
      </c>
      <c r="F439" s="450" t="str">
        <f>IF(Measures!AM439="Row Not Used","",Measures!I439)</f>
        <v/>
      </c>
      <c r="G439" s="426" t="str">
        <f>IF(OR(Measures!AM439="Row Not Used",Measures!C439="Controls Only",Measures!C439="Decommissioning"),"",_xlfn.CONCAT(Measures!K439," - ",Measures!L439))</f>
        <v/>
      </c>
      <c r="H439" s="442" t="str">
        <f>IF(OR(Measures!AM439="Row Not Used",Measures!C439="Controls Only",Measures!C439="Decommissioning"),"",Measures!M439)</f>
        <v/>
      </c>
      <c r="I439" s="443" t="str">
        <f>IF(OR(Measures!AM439="Row Not Used",Measures!C439="Controls Only",Measures!C439="Decommissioning"),"",Measures!N439)</f>
        <v/>
      </c>
      <c r="J439" s="444" t="str">
        <f>IF(OR(Measures!AM439="Row Not Used",Measures!C439="Controls Only",Measures!C439="Decommissioning"),"",Measures!O439)</f>
        <v/>
      </c>
      <c r="K439" s="425" t="str">
        <f>IF(OR(Measures!AM439="Row Not Used",Measures!C439="Controls Only",Measures!C439="Decommissioning"),"",Measures!AS439)</f>
        <v/>
      </c>
      <c r="L439" s="426" t="str">
        <f>IF(OR(Measures!AM439="Row Not Used",Measures!AM439="Decommissioning",ISBLANK(Measures!R439)),"",Measures!R439)</f>
        <v/>
      </c>
      <c r="M439" s="431" t="str">
        <f>IF(OR(Measures!AM439="Row Not Used",Measures!AM439="Fixtures Only",Measures!AM439="Decommissioning"),"",Measures!S439)</f>
        <v/>
      </c>
      <c r="N439" s="432" t="str">
        <f>IF(Measures!AM439="Row Not Used","",Measures!AF439)</f>
        <v/>
      </c>
      <c r="O439" s="426" t="str">
        <f>IF(Measures!AM439="Row Not Used","",Measures!C439)</f>
        <v/>
      </c>
      <c r="P439" s="133" t="str">
        <f t="shared" si="6"/>
        <v>No</v>
      </c>
    </row>
    <row r="440" spans="1:16" ht="75.599999999999994" customHeight="1" x14ac:dyDescent="0.3">
      <c r="A440" s="454">
        <f>Measures!A440</f>
        <v>433</v>
      </c>
      <c r="B440" s="425" t="str">
        <f>IF(Measures!AM440="Row Not Used","",IF(ISBLANK(Measures!V440),Measures!B440,_xlfn.CONCAT(Measures!B440," - ",Measures!V440)))</f>
        <v/>
      </c>
      <c r="C440" s="426" t="str">
        <f>IF(Measures!AM440="Row Not Used","",_xlfn.CONCAT(Measures!D440," - ",Measures!E440," - ",Measures!F440))</f>
        <v/>
      </c>
      <c r="D440" s="442" t="str">
        <f>IF(Measures!AM440="Row Not Used","",Measures!G440)</f>
        <v/>
      </c>
      <c r="E440" s="443" t="str">
        <f>IF(Measures!AM440="Row Not Used","",Measures!H440)</f>
        <v/>
      </c>
      <c r="F440" s="450" t="str">
        <f>IF(Measures!AM440="Row Not Used","",Measures!I440)</f>
        <v/>
      </c>
      <c r="G440" s="426" t="str">
        <f>IF(OR(Measures!AM440="Row Not Used",Measures!C440="Controls Only",Measures!C440="Decommissioning"),"",_xlfn.CONCAT(Measures!K440," - ",Measures!L440))</f>
        <v/>
      </c>
      <c r="H440" s="442" t="str">
        <f>IF(OR(Measures!AM440="Row Not Used",Measures!C440="Controls Only",Measures!C440="Decommissioning"),"",Measures!M440)</f>
        <v/>
      </c>
      <c r="I440" s="443" t="str">
        <f>IF(OR(Measures!AM440="Row Not Used",Measures!C440="Controls Only",Measures!C440="Decommissioning"),"",Measures!N440)</f>
        <v/>
      </c>
      <c r="J440" s="444" t="str">
        <f>IF(OR(Measures!AM440="Row Not Used",Measures!C440="Controls Only",Measures!C440="Decommissioning"),"",Measures!O440)</f>
        <v/>
      </c>
      <c r="K440" s="425" t="str">
        <f>IF(OR(Measures!AM440="Row Not Used",Measures!C440="Controls Only",Measures!C440="Decommissioning"),"",Measures!AS440)</f>
        <v/>
      </c>
      <c r="L440" s="426" t="str">
        <f>IF(OR(Measures!AM440="Row Not Used",Measures!AM440="Decommissioning",ISBLANK(Measures!R440)),"",Measures!R440)</f>
        <v/>
      </c>
      <c r="M440" s="431" t="str">
        <f>IF(OR(Measures!AM440="Row Not Used",Measures!AM440="Fixtures Only",Measures!AM440="Decommissioning"),"",Measures!S440)</f>
        <v/>
      </c>
      <c r="N440" s="432" t="str">
        <f>IF(Measures!AM440="Row Not Used","",Measures!AF440)</f>
        <v/>
      </c>
      <c r="O440" s="426" t="str">
        <f>IF(Measures!AM440="Row Not Used","",Measures!C440)</f>
        <v/>
      </c>
      <c r="P440" s="133" t="str">
        <f t="shared" si="6"/>
        <v>No</v>
      </c>
    </row>
    <row r="441" spans="1:16" ht="75.599999999999994" customHeight="1" x14ac:dyDescent="0.3">
      <c r="A441" s="454">
        <f>Measures!A441</f>
        <v>434</v>
      </c>
      <c r="B441" s="425" t="str">
        <f>IF(Measures!AM441="Row Not Used","",IF(ISBLANK(Measures!V441),Measures!B441,_xlfn.CONCAT(Measures!B441," - ",Measures!V441)))</f>
        <v/>
      </c>
      <c r="C441" s="426" t="str">
        <f>IF(Measures!AM441="Row Not Used","",_xlfn.CONCAT(Measures!D441," - ",Measures!E441," - ",Measures!F441))</f>
        <v/>
      </c>
      <c r="D441" s="442" t="str">
        <f>IF(Measures!AM441="Row Not Used","",Measures!G441)</f>
        <v/>
      </c>
      <c r="E441" s="443" t="str">
        <f>IF(Measures!AM441="Row Not Used","",Measures!H441)</f>
        <v/>
      </c>
      <c r="F441" s="450" t="str">
        <f>IF(Measures!AM441="Row Not Used","",Measures!I441)</f>
        <v/>
      </c>
      <c r="G441" s="426" t="str">
        <f>IF(OR(Measures!AM441="Row Not Used",Measures!C441="Controls Only",Measures!C441="Decommissioning"),"",_xlfn.CONCAT(Measures!K441," - ",Measures!L441))</f>
        <v/>
      </c>
      <c r="H441" s="442" t="str">
        <f>IF(OR(Measures!AM441="Row Not Used",Measures!C441="Controls Only",Measures!C441="Decommissioning"),"",Measures!M441)</f>
        <v/>
      </c>
      <c r="I441" s="443" t="str">
        <f>IF(OR(Measures!AM441="Row Not Used",Measures!C441="Controls Only",Measures!C441="Decommissioning"),"",Measures!N441)</f>
        <v/>
      </c>
      <c r="J441" s="444" t="str">
        <f>IF(OR(Measures!AM441="Row Not Used",Measures!C441="Controls Only",Measures!C441="Decommissioning"),"",Measures!O441)</f>
        <v/>
      </c>
      <c r="K441" s="425" t="str">
        <f>IF(OR(Measures!AM441="Row Not Used",Measures!C441="Controls Only",Measures!C441="Decommissioning"),"",Measures!AS441)</f>
        <v/>
      </c>
      <c r="L441" s="426" t="str">
        <f>IF(OR(Measures!AM441="Row Not Used",Measures!AM441="Decommissioning",ISBLANK(Measures!R441)),"",Measures!R441)</f>
        <v/>
      </c>
      <c r="M441" s="431" t="str">
        <f>IF(OR(Measures!AM441="Row Not Used",Measures!AM441="Fixtures Only",Measures!AM441="Decommissioning"),"",Measures!S441)</f>
        <v/>
      </c>
      <c r="N441" s="432" t="str">
        <f>IF(Measures!AM441="Row Not Used","",Measures!AF441)</f>
        <v/>
      </c>
      <c r="O441" s="426" t="str">
        <f>IF(Measures!AM441="Row Not Used","",Measures!C441)</f>
        <v/>
      </c>
      <c r="P441" s="133" t="str">
        <f t="shared" si="6"/>
        <v>No</v>
      </c>
    </row>
    <row r="442" spans="1:16" ht="75.599999999999994" customHeight="1" x14ac:dyDescent="0.3">
      <c r="A442" s="454">
        <f>Measures!A442</f>
        <v>435</v>
      </c>
      <c r="B442" s="425" t="str">
        <f>IF(Measures!AM442="Row Not Used","",IF(ISBLANK(Measures!V442),Measures!B442,_xlfn.CONCAT(Measures!B442," - ",Measures!V442)))</f>
        <v/>
      </c>
      <c r="C442" s="426" t="str">
        <f>IF(Measures!AM442="Row Not Used","",_xlfn.CONCAT(Measures!D442," - ",Measures!E442," - ",Measures!F442))</f>
        <v/>
      </c>
      <c r="D442" s="442" t="str">
        <f>IF(Measures!AM442="Row Not Used","",Measures!G442)</f>
        <v/>
      </c>
      <c r="E442" s="443" t="str">
        <f>IF(Measures!AM442="Row Not Used","",Measures!H442)</f>
        <v/>
      </c>
      <c r="F442" s="450" t="str">
        <f>IF(Measures!AM442="Row Not Used","",Measures!I442)</f>
        <v/>
      </c>
      <c r="G442" s="426" t="str">
        <f>IF(OR(Measures!AM442="Row Not Used",Measures!C442="Controls Only",Measures!C442="Decommissioning"),"",_xlfn.CONCAT(Measures!K442," - ",Measures!L442))</f>
        <v/>
      </c>
      <c r="H442" s="442" t="str">
        <f>IF(OR(Measures!AM442="Row Not Used",Measures!C442="Controls Only",Measures!C442="Decommissioning"),"",Measures!M442)</f>
        <v/>
      </c>
      <c r="I442" s="443" t="str">
        <f>IF(OR(Measures!AM442="Row Not Used",Measures!C442="Controls Only",Measures!C442="Decommissioning"),"",Measures!N442)</f>
        <v/>
      </c>
      <c r="J442" s="444" t="str">
        <f>IF(OR(Measures!AM442="Row Not Used",Measures!C442="Controls Only",Measures!C442="Decommissioning"),"",Measures!O442)</f>
        <v/>
      </c>
      <c r="K442" s="425" t="str">
        <f>IF(OR(Measures!AM442="Row Not Used",Measures!C442="Controls Only",Measures!C442="Decommissioning"),"",Measures!AS442)</f>
        <v/>
      </c>
      <c r="L442" s="426" t="str">
        <f>IF(OR(Measures!AM442="Row Not Used",Measures!AM442="Decommissioning",ISBLANK(Measures!R442)),"",Measures!R442)</f>
        <v/>
      </c>
      <c r="M442" s="431" t="str">
        <f>IF(OR(Measures!AM442="Row Not Used",Measures!AM442="Fixtures Only",Measures!AM442="Decommissioning"),"",Measures!S442)</f>
        <v/>
      </c>
      <c r="N442" s="432" t="str">
        <f>IF(Measures!AM442="Row Not Used","",Measures!AF442)</f>
        <v/>
      </c>
      <c r="O442" s="426" t="str">
        <f>IF(Measures!AM442="Row Not Used","",Measures!C442)</f>
        <v/>
      </c>
      <c r="P442" s="133" t="str">
        <f t="shared" si="6"/>
        <v>No</v>
      </c>
    </row>
    <row r="443" spans="1:16" ht="75.599999999999994" customHeight="1" x14ac:dyDescent="0.3">
      <c r="A443" s="454">
        <f>Measures!A443</f>
        <v>436</v>
      </c>
      <c r="B443" s="425" t="str">
        <f>IF(Measures!AM443="Row Not Used","",IF(ISBLANK(Measures!V443),Measures!B443,_xlfn.CONCAT(Measures!B443," - ",Measures!V443)))</f>
        <v/>
      </c>
      <c r="C443" s="426" t="str">
        <f>IF(Measures!AM443="Row Not Used","",_xlfn.CONCAT(Measures!D443," - ",Measures!E443," - ",Measures!F443))</f>
        <v/>
      </c>
      <c r="D443" s="442" t="str">
        <f>IF(Measures!AM443="Row Not Used","",Measures!G443)</f>
        <v/>
      </c>
      <c r="E443" s="443" t="str">
        <f>IF(Measures!AM443="Row Not Used","",Measures!H443)</f>
        <v/>
      </c>
      <c r="F443" s="450" t="str">
        <f>IF(Measures!AM443="Row Not Used","",Measures!I443)</f>
        <v/>
      </c>
      <c r="G443" s="426" t="str">
        <f>IF(OR(Measures!AM443="Row Not Used",Measures!C443="Controls Only",Measures!C443="Decommissioning"),"",_xlfn.CONCAT(Measures!K443," - ",Measures!L443))</f>
        <v/>
      </c>
      <c r="H443" s="442" t="str">
        <f>IF(OR(Measures!AM443="Row Not Used",Measures!C443="Controls Only",Measures!C443="Decommissioning"),"",Measures!M443)</f>
        <v/>
      </c>
      <c r="I443" s="443" t="str">
        <f>IF(OR(Measures!AM443="Row Not Used",Measures!C443="Controls Only",Measures!C443="Decommissioning"),"",Measures!N443)</f>
        <v/>
      </c>
      <c r="J443" s="444" t="str">
        <f>IF(OR(Measures!AM443="Row Not Used",Measures!C443="Controls Only",Measures!C443="Decommissioning"),"",Measures!O443)</f>
        <v/>
      </c>
      <c r="K443" s="425" t="str">
        <f>IF(OR(Measures!AM443="Row Not Used",Measures!C443="Controls Only",Measures!C443="Decommissioning"),"",Measures!AS443)</f>
        <v/>
      </c>
      <c r="L443" s="426" t="str">
        <f>IF(OR(Measures!AM443="Row Not Used",Measures!AM443="Decommissioning",ISBLANK(Measures!R443)),"",Measures!R443)</f>
        <v/>
      </c>
      <c r="M443" s="431" t="str">
        <f>IF(OR(Measures!AM443="Row Not Used",Measures!AM443="Fixtures Only",Measures!AM443="Decommissioning"),"",Measures!S443)</f>
        <v/>
      </c>
      <c r="N443" s="432" t="str">
        <f>IF(Measures!AM443="Row Not Used","",Measures!AF443)</f>
        <v/>
      </c>
      <c r="O443" s="426" t="str">
        <f>IF(Measures!AM443="Row Not Used","",Measures!C443)</f>
        <v/>
      </c>
      <c r="P443" s="133" t="str">
        <f t="shared" si="6"/>
        <v>No</v>
      </c>
    </row>
    <row r="444" spans="1:16" ht="75.599999999999994" customHeight="1" x14ac:dyDescent="0.3">
      <c r="A444" s="454">
        <f>Measures!A444</f>
        <v>437</v>
      </c>
      <c r="B444" s="425" t="str">
        <f>IF(Measures!AM444="Row Not Used","",IF(ISBLANK(Measures!V444),Measures!B444,_xlfn.CONCAT(Measures!B444," - ",Measures!V444)))</f>
        <v/>
      </c>
      <c r="C444" s="426" t="str">
        <f>IF(Measures!AM444="Row Not Used","",_xlfn.CONCAT(Measures!D444," - ",Measures!E444," - ",Measures!F444))</f>
        <v/>
      </c>
      <c r="D444" s="442" t="str">
        <f>IF(Measures!AM444="Row Not Used","",Measures!G444)</f>
        <v/>
      </c>
      <c r="E444" s="443" t="str">
        <f>IF(Measures!AM444="Row Not Used","",Measures!H444)</f>
        <v/>
      </c>
      <c r="F444" s="450" t="str">
        <f>IF(Measures!AM444="Row Not Used","",Measures!I444)</f>
        <v/>
      </c>
      <c r="G444" s="426" t="str">
        <f>IF(OR(Measures!AM444="Row Not Used",Measures!C444="Controls Only",Measures!C444="Decommissioning"),"",_xlfn.CONCAT(Measures!K444," - ",Measures!L444))</f>
        <v/>
      </c>
      <c r="H444" s="442" t="str">
        <f>IF(OR(Measures!AM444="Row Not Used",Measures!C444="Controls Only",Measures!C444="Decommissioning"),"",Measures!M444)</f>
        <v/>
      </c>
      <c r="I444" s="443" t="str">
        <f>IF(OR(Measures!AM444="Row Not Used",Measures!C444="Controls Only",Measures!C444="Decommissioning"),"",Measures!N444)</f>
        <v/>
      </c>
      <c r="J444" s="444" t="str">
        <f>IF(OR(Measures!AM444="Row Not Used",Measures!C444="Controls Only",Measures!C444="Decommissioning"),"",Measures!O444)</f>
        <v/>
      </c>
      <c r="K444" s="425" t="str">
        <f>IF(OR(Measures!AM444="Row Not Used",Measures!C444="Controls Only",Measures!C444="Decommissioning"),"",Measures!AS444)</f>
        <v/>
      </c>
      <c r="L444" s="426" t="str">
        <f>IF(OR(Measures!AM444="Row Not Used",Measures!AM444="Decommissioning",ISBLANK(Measures!R444)),"",Measures!R444)</f>
        <v/>
      </c>
      <c r="M444" s="431" t="str">
        <f>IF(OR(Measures!AM444="Row Not Used",Measures!AM444="Fixtures Only",Measures!AM444="Decommissioning"),"",Measures!S444)</f>
        <v/>
      </c>
      <c r="N444" s="432" t="str">
        <f>IF(Measures!AM444="Row Not Used","",Measures!AF444)</f>
        <v/>
      </c>
      <c r="O444" s="426" t="str">
        <f>IF(Measures!AM444="Row Not Used","",Measures!C444)</f>
        <v/>
      </c>
      <c r="P444" s="133" t="str">
        <f t="shared" si="6"/>
        <v>No</v>
      </c>
    </row>
    <row r="445" spans="1:16" ht="75.599999999999994" customHeight="1" x14ac:dyDescent="0.3">
      <c r="A445" s="454">
        <f>Measures!A445</f>
        <v>438</v>
      </c>
      <c r="B445" s="425" t="str">
        <f>IF(Measures!AM445="Row Not Used","",IF(ISBLANK(Measures!V445),Measures!B445,_xlfn.CONCAT(Measures!B445," - ",Measures!V445)))</f>
        <v/>
      </c>
      <c r="C445" s="426" t="str">
        <f>IF(Measures!AM445="Row Not Used","",_xlfn.CONCAT(Measures!D445," - ",Measures!E445," - ",Measures!F445))</f>
        <v/>
      </c>
      <c r="D445" s="442" t="str">
        <f>IF(Measures!AM445="Row Not Used","",Measures!G445)</f>
        <v/>
      </c>
      <c r="E445" s="443" t="str">
        <f>IF(Measures!AM445="Row Not Used","",Measures!H445)</f>
        <v/>
      </c>
      <c r="F445" s="450" t="str">
        <f>IF(Measures!AM445="Row Not Used","",Measures!I445)</f>
        <v/>
      </c>
      <c r="G445" s="426" t="str">
        <f>IF(OR(Measures!AM445="Row Not Used",Measures!C445="Controls Only",Measures!C445="Decommissioning"),"",_xlfn.CONCAT(Measures!K445," - ",Measures!L445))</f>
        <v/>
      </c>
      <c r="H445" s="442" t="str">
        <f>IF(OR(Measures!AM445="Row Not Used",Measures!C445="Controls Only",Measures!C445="Decommissioning"),"",Measures!M445)</f>
        <v/>
      </c>
      <c r="I445" s="443" t="str">
        <f>IF(OR(Measures!AM445="Row Not Used",Measures!C445="Controls Only",Measures!C445="Decommissioning"),"",Measures!N445)</f>
        <v/>
      </c>
      <c r="J445" s="444" t="str">
        <f>IF(OR(Measures!AM445="Row Not Used",Measures!C445="Controls Only",Measures!C445="Decommissioning"),"",Measures!O445)</f>
        <v/>
      </c>
      <c r="K445" s="425" t="str">
        <f>IF(OR(Measures!AM445="Row Not Used",Measures!C445="Controls Only",Measures!C445="Decommissioning"),"",Measures!AS445)</f>
        <v/>
      </c>
      <c r="L445" s="426" t="str">
        <f>IF(OR(Measures!AM445="Row Not Used",Measures!AM445="Decommissioning",ISBLANK(Measures!R445)),"",Measures!R445)</f>
        <v/>
      </c>
      <c r="M445" s="431" t="str">
        <f>IF(OR(Measures!AM445="Row Not Used",Measures!AM445="Fixtures Only",Measures!AM445="Decommissioning"),"",Measures!S445)</f>
        <v/>
      </c>
      <c r="N445" s="432" t="str">
        <f>IF(Measures!AM445="Row Not Used","",Measures!AF445)</f>
        <v/>
      </c>
      <c r="O445" s="426" t="str">
        <f>IF(Measures!AM445="Row Not Used","",Measures!C445)</f>
        <v/>
      </c>
      <c r="P445" s="133" t="str">
        <f t="shared" si="6"/>
        <v>No</v>
      </c>
    </row>
    <row r="446" spans="1:16" ht="75.599999999999994" customHeight="1" x14ac:dyDescent="0.3">
      <c r="A446" s="454">
        <f>Measures!A446</f>
        <v>439</v>
      </c>
      <c r="B446" s="425" t="str">
        <f>IF(Measures!AM446="Row Not Used","",IF(ISBLANK(Measures!V446),Measures!B446,_xlfn.CONCAT(Measures!B446," - ",Measures!V446)))</f>
        <v/>
      </c>
      <c r="C446" s="426" t="str">
        <f>IF(Measures!AM446="Row Not Used","",_xlfn.CONCAT(Measures!D446," - ",Measures!E446," - ",Measures!F446))</f>
        <v/>
      </c>
      <c r="D446" s="442" t="str">
        <f>IF(Measures!AM446="Row Not Used","",Measures!G446)</f>
        <v/>
      </c>
      <c r="E446" s="443" t="str">
        <f>IF(Measures!AM446="Row Not Used","",Measures!H446)</f>
        <v/>
      </c>
      <c r="F446" s="450" t="str">
        <f>IF(Measures!AM446="Row Not Used","",Measures!I446)</f>
        <v/>
      </c>
      <c r="G446" s="426" t="str">
        <f>IF(OR(Measures!AM446="Row Not Used",Measures!C446="Controls Only",Measures!C446="Decommissioning"),"",_xlfn.CONCAT(Measures!K446," - ",Measures!L446))</f>
        <v/>
      </c>
      <c r="H446" s="442" t="str">
        <f>IF(OR(Measures!AM446="Row Not Used",Measures!C446="Controls Only",Measures!C446="Decommissioning"),"",Measures!M446)</f>
        <v/>
      </c>
      <c r="I446" s="443" t="str">
        <f>IF(OR(Measures!AM446="Row Not Used",Measures!C446="Controls Only",Measures!C446="Decommissioning"),"",Measures!N446)</f>
        <v/>
      </c>
      <c r="J446" s="444" t="str">
        <f>IF(OR(Measures!AM446="Row Not Used",Measures!C446="Controls Only",Measures!C446="Decommissioning"),"",Measures!O446)</f>
        <v/>
      </c>
      <c r="K446" s="425" t="str">
        <f>IF(OR(Measures!AM446="Row Not Used",Measures!C446="Controls Only",Measures!C446="Decommissioning"),"",Measures!AS446)</f>
        <v/>
      </c>
      <c r="L446" s="426" t="str">
        <f>IF(OR(Measures!AM446="Row Not Used",Measures!AM446="Decommissioning",ISBLANK(Measures!R446)),"",Measures!R446)</f>
        <v/>
      </c>
      <c r="M446" s="431" t="str">
        <f>IF(OR(Measures!AM446="Row Not Used",Measures!AM446="Fixtures Only",Measures!AM446="Decommissioning"),"",Measures!S446)</f>
        <v/>
      </c>
      <c r="N446" s="432" t="str">
        <f>IF(Measures!AM446="Row Not Used","",Measures!AF446)</f>
        <v/>
      </c>
      <c r="O446" s="426" t="str">
        <f>IF(Measures!AM446="Row Not Used","",Measures!C446)</f>
        <v/>
      </c>
      <c r="P446" s="133" t="str">
        <f t="shared" si="6"/>
        <v>No</v>
      </c>
    </row>
    <row r="447" spans="1:16" ht="75.599999999999994" customHeight="1" x14ac:dyDescent="0.3">
      <c r="A447" s="454">
        <f>Measures!A447</f>
        <v>440</v>
      </c>
      <c r="B447" s="425" t="str">
        <f>IF(Measures!AM447="Row Not Used","",IF(ISBLANK(Measures!V447),Measures!B447,_xlfn.CONCAT(Measures!B447," - ",Measures!V447)))</f>
        <v/>
      </c>
      <c r="C447" s="426" t="str">
        <f>IF(Measures!AM447="Row Not Used","",_xlfn.CONCAT(Measures!D447," - ",Measures!E447," - ",Measures!F447))</f>
        <v/>
      </c>
      <c r="D447" s="442" t="str">
        <f>IF(Measures!AM447="Row Not Used","",Measures!G447)</f>
        <v/>
      </c>
      <c r="E447" s="443" t="str">
        <f>IF(Measures!AM447="Row Not Used","",Measures!H447)</f>
        <v/>
      </c>
      <c r="F447" s="450" t="str">
        <f>IF(Measures!AM447="Row Not Used","",Measures!I447)</f>
        <v/>
      </c>
      <c r="G447" s="426" t="str">
        <f>IF(OR(Measures!AM447="Row Not Used",Measures!C447="Controls Only",Measures!C447="Decommissioning"),"",_xlfn.CONCAT(Measures!K447," - ",Measures!L447))</f>
        <v/>
      </c>
      <c r="H447" s="442" t="str">
        <f>IF(OR(Measures!AM447="Row Not Used",Measures!C447="Controls Only",Measures!C447="Decommissioning"),"",Measures!M447)</f>
        <v/>
      </c>
      <c r="I447" s="443" t="str">
        <f>IF(OR(Measures!AM447="Row Not Used",Measures!C447="Controls Only",Measures!C447="Decommissioning"),"",Measures!N447)</f>
        <v/>
      </c>
      <c r="J447" s="444" t="str">
        <f>IF(OR(Measures!AM447="Row Not Used",Measures!C447="Controls Only",Measures!C447="Decommissioning"),"",Measures!O447)</f>
        <v/>
      </c>
      <c r="K447" s="425" t="str">
        <f>IF(OR(Measures!AM447="Row Not Used",Measures!C447="Controls Only",Measures!C447="Decommissioning"),"",Measures!AS447)</f>
        <v/>
      </c>
      <c r="L447" s="426" t="str">
        <f>IF(OR(Measures!AM447="Row Not Used",Measures!AM447="Decommissioning",ISBLANK(Measures!R447)),"",Measures!R447)</f>
        <v/>
      </c>
      <c r="M447" s="431" t="str">
        <f>IF(OR(Measures!AM447="Row Not Used",Measures!AM447="Fixtures Only",Measures!AM447="Decommissioning"),"",Measures!S447)</f>
        <v/>
      </c>
      <c r="N447" s="432" t="str">
        <f>IF(Measures!AM447="Row Not Used","",Measures!AF447)</f>
        <v/>
      </c>
      <c r="O447" s="426" t="str">
        <f>IF(Measures!AM447="Row Not Used","",Measures!C447)</f>
        <v/>
      </c>
      <c r="P447" s="133" t="str">
        <f t="shared" si="6"/>
        <v>No</v>
      </c>
    </row>
    <row r="448" spans="1:16" ht="75.599999999999994" customHeight="1" x14ac:dyDescent="0.3">
      <c r="A448" s="454">
        <f>Measures!A448</f>
        <v>441</v>
      </c>
      <c r="B448" s="425" t="str">
        <f>IF(Measures!AM448="Row Not Used","",IF(ISBLANK(Measures!V448),Measures!B448,_xlfn.CONCAT(Measures!B448," - ",Measures!V448)))</f>
        <v/>
      </c>
      <c r="C448" s="426" t="str">
        <f>IF(Measures!AM448="Row Not Used","",_xlfn.CONCAT(Measures!D448," - ",Measures!E448," - ",Measures!F448))</f>
        <v/>
      </c>
      <c r="D448" s="442" t="str">
        <f>IF(Measures!AM448="Row Not Used","",Measures!G448)</f>
        <v/>
      </c>
      <c r="E448" s="443" t="str">
        <f>IF(Measures!AM448="Row Not Used","",Measures!H448)</f>
        <v/>
      </c>
      <c r="F448" s="450" t="str">
        <f>IF(Measures!AM448="Row Not Used","",Measures!I448)</f>
        <v/>
      </c>
      <c r="G448" s="426" t="str">
        <f>IF(OR(Measures!AM448="Row Not Used",Measures!C448="Controls Only",Measures!C448="Decommissioning"),"",_xlfn.CONCAT(Measures!K448," - ",Measures!L448))</f>
        <v/>
      </c>
      <c r="H448" s="442" t="str">
        <f>IF(OR(Measures!AM448="Row Not Used",Measures!C448="Controls Only",Measures!C448="Decommissioning"),"",Measures!M448)</f>
        <v/>
      </c>
      <c r="I448" s="443" t="str">
        <f>IF(OR(Measures!AM448="Row Not Used",Measures!C448="Controls Only",Measures!C448="Decommissioning"),"",Measures!N448)</f>
        <v/>
      </c>
      <c r="J448" s="444" t="str">
        <f>IF(OR(Measures!AM448="Row Not Used",Measures!C448="Controls Only",Measures!C448="Decommissioning"),"",Measures!O448)</f>
        <v/>
      </c>
      <c r="K448" s="425" t="str">
        <f>IF(OR(Measures!AM448="Row Not Used",Measures!C448="Controls Only",Measures!C448="Decommissioning"),"",Measures!AS448)</f>
        <v/>
      </c>
      <c r="L448" s="426" t="str">
        <f>IF(OR(Measures!AM448="Row Not Used",Measures!AM448="Decommissioning",ISBLANK(Measures!R448)),"",Measures!R448)</f>
        <v/>
      </c>
      <c r="M448" s="431" t="str">
        <f>IF(OR(Measures!AM448="Row Not Used",Measures!AM448="Fixtures Only",Measures!AM448="Decommissioning"),"",Measures!S448)</f>
        <v/>
      </c>
      <c r="N448" s="432" t="str">
        <f>IF(Measures!AM448="Row Not Used","",Measures!AF448)</f>
        <v/>
      </c>
      <c r="O448" s="426" t="str">
        <f>IF(Measures!AM448="Row Not Used","",Measures!C448)</f>
        <v/>
      </c>
      <c r="P448" s="133" t="str">
        <f t="shared" si="6"/>
        <v>No</v>
      </c>
    </row>
    <row r="449" spans="1:16" ht="75.599999999999994" customHeight="1" x14ac:dyDescent="0.3">
      <c r="A449" s="454">
        <f>Measures!A449</f>
        <v>442</v>
      </c>
      <c r="B449" s="425" t="str">
        <f>IF(Measures!AM449="Row Not Used","",IF(ISBLANK(Measures!V449),Measures!B449,_xlfn.CONCAT(Measures!B449," - ",Measures!V449)))</f>
        <v/>
      </c>
      <c r="C449" s="426" t="str">
        <f>IF(Measures!AM449="Row Not Used","",_xlfn.CONCAT(Measures!D449," - ",Measures!E449," - ",Measures!F449))</f>
        <v/>
      </c>
      <c r="D449" s="442" t="str">
        <f>IF(Measures!AM449="Row Not Used","",Measures!G449)</f>
        <v/>
      </c>
      <c r="E449" s="443" t="str">
        <f>IF(Measures!AM449="Row Not Used","",Measures!H449)</f>
        <v/>
      </c>
      <c r="F449" s="450" t="str">
        <f>IF(Measures!AM449="Row Not Used","",Measures!I449)</f>
        <v/>
      </c>
      <c r="G449" s="426" t="str">
        <f>IF(OR(Measures!AM449="Row Not Used",Measures!C449="Controls Only",Measures!C449="Decommissioning"),"",_xlfn.CONCAT(Measures!K449," - ",Measures!L449))</f>
        <v/>
      </c>
      <c r="H449" s="442" t="str">
        <f>IF(OR(Measures!AM449="Row Not Used",Measures!C449="Controls Only",Measures!C449="Decommissioning"),"",Measures!M449)</f>
        <v/>
      </c>
      <c r="I449" s="443" t="str">
        <f>IF(OR(Measures!AM449="Row Not Used",Measures!C449="Controls Only",Measures!C449="Decommissioning"),"",Measures!N449)</f>
        <v/>
      </c>
      <c r="J449" s="444" t="str">
        <f>IF(OR(Measures!AM449="Row Not Used",Measures!C449="Controls Only",Measures!C449="Decommissioning"),"",Measures!O449)</f>
        <v/>
      </c>
      <c r="K449" s="425" t="str">
        <f>IF(OR(Measures!AM449="Row Not Used",Measures!C449="Controls Only",Measures!C449="Decommissioning"),"",Measures!AS449)</f>
        <v/>
      </c>
      <c r="L449" s="426" t="str">
        <f>IF(OR(Measures!AM449="Row Not Used",Measures!AM449="Decommissioning",ISBLANK(Measures!R449)),"",Measures!R449)</f>
        <v/>
      </c>
      <c r="M449" s="431" t="str">
        <f>IF(OR(Measures!AM449="Row Not Used",Measures!AM449="Fixtures Only",Measures!AM449="Decommissioning"),"",Measures!S449)</f>
        <v/>
      </c>
      <c r="N449" s="432" t="str">
        <f>IF(Measures!AM449="Row Not Used","",Measures!AF449)</f>
        <v/>
      </c>
      <c r="O449" s="426" t="str">
        <f>IF(Measures!AM449="Row Not Used","",Measures!C449)</f>
        <v/>
      </c>
      <c r="P449" s="133" t="str">
        <f t="shared" si="6"/>
        <v>No</v>
      </c>
    </row>
    <row r="450" spans="1:16" ht="75.599999999999994" customHeight="1" x14ac:dyDescent="0.3">
      <c r="A450" s="454">
        <f>Measures!A450</f>
        <v>443</v>
      </c>
      <c r="B450" s="425" t="str">
        <f>IF(Measures!AM450="Row Not Used","",IF(ISBLANK(Measures!V450),Measures!B450,_xlfn.CONCAT(Measures!B450," - ",Measures!V450)))</f>
        <v/>
      </c>
      <c r="C450" s="426" t="str">
        <f>IF(Measures!AM450="Row Not Used","",_xlfn.CONCAT(Measures!D450," - ",Measures!E450," - ",Measures!F450))</f>
        <v/>
      </c>
      <c r="D450" s="442" t="str">
        <f>IF(Measures!AM450="Row Not Used","",Measures!G450)</f>
        <v/>
      </c>
      <c r="E450" s="443" t="str">
        <f>IF(Measures!AM450="Row Not Used","",Measures!H450)</f>
        <v/>
      </c>
      <c r="F450" s="450" t="str">
        <f>IF(Measures!AM450="Row Not Used","",Measures!I450)</f>
        <v/>
      </c>
      <c r="G450" s="426" t="str">
        <f>IF(OR(Measures!AM450="Row Not Used",Measures!C450="Controls Only",Measures!C450="Decommissioning"),"",_xlfn.CONCAT(Measures!K450," - ",Measures!L450))</f>
        <v/>
      </c>
      <c r="H450" s="442" t="str">
        <f>IF(OR(Measures!AM450="Row Not Used",Measures!C450="Controls Only",Measures!C450="Decommissioning"),"",Measures!M450)</f>
        <v/>
      </c>
      <c r="I450" s="443" t="str">
        <f>IF(OR(Measures!AM450="Row Not Used",Measures!C450="Controls Only",Measures!C450="Decommissioning"),"",Measures!N450)</f>
        <v/>
      </c>
      <c r="J450" s="444" t="str">
        <f>IF(OR(Measures!AM450="Row Not Used",Measures!C450="Controls Only",Measures!C450="Decommissioning"),"",Measures!O450)</f>
        <v/>
      </c>
      <c r="K450" s="425" t="str">
        <f>IF(OR(Measures!AM450="Row Not Used",Measures!C450="Controls Only",Measures!C450="Decommissioning"),"",Measures!AS450)</f>
        <v/>
      </c>
      <c r="L450" s="426" t="str">
        <f>IF(OR(Measures!AM450="Row Not Used",Measures!AM450="Decommissioning",ISBLANK(Measures!R450)),"",Measures!R450)</f>
        <v/>
      </c>
      <c r="M450" s="431" t="str">
        <f>IF(OR(Measures!AM450="Row Not Used",Measures!AM450="Fixtures Only",Measures!AM450="Decommissioning"),"",Measures!S450)</f>
        <v/>
      </c>
      <c r="N450" s="432" t="str">
        <f>IF(Measures!AM450="Row Not Used","",Measures!AF450)</f>
        <v/>
      </c>
      <c r="O450" s="426" t="str">
        <f>IF(Measures!AM450="Row Not Used","",Measures!C450)</f>
        <v/>
      </c>
      <c r="P450" s="133" t="str">
        <f t="shared" si="6"/>
        <v>No</v>
      </c>
    </row>
    <row r="451" spans="1:16" ht="75.599999999999994" customHeight="1" x14ac:dyDescent="0.3">
      <c r="A451" s="454">
        <f>Measures!A451</f>
        <v>444</v>
      </c>
      <c r="B451" s="425" t="str">
        <f>IF(Measures!AM451="Row Not Used","",IF(ISBLANK(Measures!V451),Measures!B451,_xlfn.CONCAT(Measures!B451," - ",Measures!V451)))</f>
        <v/>
      </c>
      <c r="C451" s="426" t="str">
        <f>IF(Measures!AM451="Row Not Used","",_xlfn.CONCAT(Measures!D451," - ",Measures!E451," - ",Measures!F451))</f>
        <v/>
      </c>
      <c r="D451" s="442" t="str">
        <f>IF(Measures!AM451="Row Not Used","",Measures!G451)</f>
        <v/>
      </c>
      <c r="E451" s="443" t="str">
        <f>IF(Measures!AM451="Row Not Used","",Measures!H451)</f>
        <v/>
      </c>
      <c r="F451" s="450" t="str">
        <f>IF(Measures!AM451="Row Not Used","",Measures!I451)</f>
        <v/>
      </c>
      <c r="G451" s="426" t="str">
        <f>IF(OR(Measures!AM451="Row Not Used",Measures!C451="Controls Only",Measures!C451="Decommissioning"),"",_xlfn.CONCAT(Measures!K451," - ",Measures!L451))</f>
        <v/>
      </c>
      <c r="H451" s="442" t="str">
        <f>IF(OR(Measures!AM451="Row Not Used",Measures!C451="Controls Only",Measures!C451="Decommissioning"),"",Measures!M451)</f>
        <v/>
      </c>
      <c r="I451" s="443" t="str">
        <f>IF(OR(Measures!AM451="Row Not Used",Measures!C451="Controls Only",Measures!C451="Decommissioning"),"",Measures!N451)</f>
        <v/>
      </c>
      <c r="J451" s="444" t="str">
        <f>IF(OR(Measures!AM451="Row Not Used",Measures!C451="Controls Only",Measures!C451="Decommissioning"),"",Measures!O451)</f>
        <v/>
      </c>
      <c r="K451" s="425" t="str">
        <f>IF(OR(Measures!AM451="Row Not Used",Measures!C451="Controls Only",Measures!C451="Decommissioning"),"",Measures!AS451)</f>
        <v/>
      </c>
      <c r="L451" s="426" t="str">
        <f>IF(OR(Measures!AM451="Row Not Used",Measures!AM451="Decommissioning",ISBLANK(Measures!R451)),"",Measures!R451)</f>
        <v/>
      </c>
      <c r="M451" s="431" t="str">
        <f>IF(OR(Measures!AM451="Row Not Used",Measures!AM451="Fixtures Only",Measures!AM451="Decommissioning"),"",Measures!S451)</f>
        <v/>
      </c>
      <c r="N451" s="432" t="str">
        <f>IF(Measures!AM451="Row Not Used","",Measures!AF451)</f>
        <v/>
      </c>
      <c r="O451" s="426" t="str">
        <f>IF(Measures!AM451="Row Not Used","",Measures!C451)</f>
        <v/>
      </c>
      <c r="P451" s="133" t="str">
        <f t="shared" si="6"/>
        <v>No</v>
      </c>
    </row>
    <row r="452" spans="1:16" ht="75.599999999999994" customHeight="1" x14ac:dyDescent="0.3">
      <c r="A452" s="454">
        <f>Measures!A452</f>
        <v>445</v>
      </c>
      <c r="B452" s="425" t="str">
        <f>IF(Measures!AM452="Row Not Used","",IF(ISBLANK(Measures!V452),Measures!B452,_xlfn.CONCAT(Measures!B452," - ",Measures!V452)))</f>
        <v/>
      </c>
      <c r="C452" s="426" t="str">
        <f>IF(Measures!AM452="Row Not Used","",_xlfn.CONCAT(Measures!D452," - ",Measures!E452," - ",Measures!F452))</f>
        <v/>
      </c>
      <c r="D452" s="442" t="str">
        <f>IF(Measures!AM452="Row Not Used","",Measures!G452)</f>
        <v/>
      </c>
      <c r="E452" s="443" t="str">
        <f>IF(Measures!AM452="Row Not Used","",Measures!H452)</f>
        <v/>
      </c>
      <c r="F452" s="450" t="str">
        <f>IF(Measures!AM452="Row Not Used","",Measures!I452)</f>
        <v/>
      </c>
      <c r="G452" s="426" t="str">
        <f>IF(OR(Measures!AM452="Row Not Used",Measures!C452="Controls Only",Measures!C452="Decommissioning"),"",_xlfn.CONCAT(Measures!K452," - ",Measures!L452))</f>
        <v/>
      </c>
      <c r="H452" s="442" t="str">
        <f>IF(OR(Measures!AM452="Row Not Used",Measures!C452="Controls Only",Measures!C452="Decommissioning"),"",Measures!M452)</f>
        <v/>
      </c>
      <c r="I452" s="443" t="str">
        <f>IF(OR(Measures!AM452="Row Not Used",Measures!C452="Controls Only",Measures!C452="Decommissioning"),"",Measures!N452)</f>
        <v/>
      </c>
      <c r="J452" s="444" t="str">
        <f>IF(OR(Measures!AM452="Row Not Used",Measures!C452="Controls Only",Measures!C452="Decommissioning"),"",Measures!O452)</f>
        <v/>
      </c>
      <c r="K452" s="425" t="str">
        <f>IF(OR(Measures!AM452="Row Not Used",Measures!C452="Controls Only",Measures!C452="Decommissioning"),"",Measures!AS452)</f>
        <v/>
      </c>
      <c r="L452" s="426" t="str">
        <f>IF(OR(Measures!AM452="Row Not Used",Measures!AM452="Decommissioning",ISBLANK(Measures!R452)),"",Measures!R452)</f>
        <v/>
      </c>
      <c r="M452" s="431" t="str">
        <f>IF(OR(Measures!AM452="Row Not Used",Measures!AM452="Fixtures Only",Measures!AM452="Decommissioning"),"",Measures!S452)</f>
        <v/>
      </c>
      <c r="N452" s="432" t="str">
        <f>IF(Measures!AM452="Row Not Used","",Measures!AF452)</f>
        <v/>
      </c>
      <c r="O452" s="426" t="str">
        <f>IF(Measures!AM452="Row Not Used","",Measures!C452)</f>
        <v/>
      </c>
      <c r="P452" s="133" t="str">
        <f t="shared" si="6"/>
        <v>No</v>
      </c>
    </row>
    <row r="453" spans="1:16" ht="75.599999999999994" customHeight="1" x14ac:dyDescent="0.3">
      <c r="A453" s="454">
        <f>Measures!A453</f>
        <v>446</v>
      </c>
      <c r="B453" s="425" t="str">
        <f>IF(Measures!AM453="Row Not Used","",IF(ISBLANK(Measures!V453),Measures!B453,_xlfn.CONCAT(Measures!B453," - ",Measures!V453)))</f>
        <v/>
      </c>
      <c r="C453" s="426" t="str">
        <f>IF(Measures!AM453="Row Not Used","",_xlfn.CONCAT(Measures!D453," - ",Measures!E453," - ",Measures!F453))</f>
        <v/>
      </c>
      <c r="D453" s="442" t="str">
        <f>IF(Measures!AM453="Row Not Used","",Measures!G453)</f>
        <v/>
      </c>
      <c r="E453" s="443" t="str">
        <f>IF(Measures!AM453="Row Not Used","",Measures!H453)</f>
        <v/>
      </c>
      <c r="F453" s="450" t="str">
        <f>IF(Measures!AM453="Row Not Used","",Measures!I453)</f>
        <v/>
      </c>
      <c r="G453" s="426" t="str">
        <f>IF(OR(Measures!AM453="Row Not Used",Measures!C453="Controls Only",Measures!C453="Decommissioning"),"",_xlfn.CONCAT(Measures!K453," - ",Measures!L453))</f>
        <v/>
      </c>
      <c r="H453" s="442" t="str">
        <f>IF(OR(Measures!AM453="Row Not Used",Measures!C453="Controls Only",Measures!C453="Decommissioning"),"",Measures!M453)</f>
        <v/>
      </c>
      <c r="I453" s="443" t="str">
        <f>IF(OR(Measures!AM453="Row Not Used",Measures!C453="Controls Only",Measures!C453="Decommissioning"),"",Measures!N453)</f>
        <v/>
      </c>
      <c r="J453" s="444" t="str">
        <f>IF(OR(Measures!AM453="Row Not Used",Measures!C453="Controls Only",Measures!C453="Decommissioning"),"",Measures!O453)</f>
        <v/>
      </c>
      <c r="K453" s="425" t="str">
        <f>IF(OR(Measures!AM453="Row Not Used",Measures!C453="Controls Only",Measures!C453="Decommissioning"),"",Measures!AS453)</f>
        <v/>
      </c>
      <c r="L453" s="426" t="str">
        <f>IF(OR(Measures!AM453="Row Not Used",Measures!AM453="Decommissioning",ISBLANK(Measures!R453)),"",Measures!R453)</f>
        <v/>
      </c>
      <c r="M453" s="431" t="str">
        <f>IF(OR(Measures!AM453="Row Not Used",Measures!AM453="Fixtures Only",Measures!AM453="Decommissioning"),"",Measures!S453)</f>
        <v/>
      </c>
      <c r="N453" s="432" t="str">
        <f>IF(Measures!AM453="Row Not Used","",Measures!AF453)</f>
        <v/>
      </c>
      <c r="O453" s="426" t="str">
        <f>IF(Measures!AM453="Row Not Used","",Measures!C453)</f>
        <v/>
      </c>
      <c r="P453" s="133" t="str">
        <f t="shared" si="6"/>
        <v>No</v>
      </c>
    </row>
    <row r="454" spans="1:16" ht="75.599999999999994" customHeight="1" x14ac:dyDescent="0.3">
      <c r="A454" s="454">
        <f>Measures!A454</f>
        <v>447</v>
      </c>
      <c r="B454" s="425" t="str">
        <f>IF(Measures!AM454="Row Not Used","",IF(ISBLANK(Measures!V454),Measures!B454,_xlfn.CONCAT(Measures!B454," - ",Measures!V454)))</f>
        <v/>
      </c>
      <c r="C454" s="426" t="str">
        <f>IF(Measures!AM454="Row Not Used","",_xlfn.CONCAT(Measures!D454," - ",Measures!E454," - ",Measures!F454))</f>
        <v/>
      </c>
      <c r="D454" s="442" t="str">
        <f>IF(Measures!AM454="Row Not Used","",Measures!G454)</f>
        <v/>
      </c>
      <c r="E454" s="443" t="str">
        <f>IF(Measures!AM454="Row Not Used","",Measures!H454)</f>
        <v/>
      </c>
      <c r="F454" s="450" t="str">
        <f>IF(Measures!AM454="Row Not Used","",Measures!I454)</f>
        <v/>
      </c>
      <c r="G454" s="426" t="str">
        <f>IF(OR(Measures!AM454="Row Not Used",Measures!C454="Controls Only",Measures!C454="Decommissioning"),"",_xlfn.CONCAT(Measures!K454," - ",Measures!L454))</f>
        <v/>
      </c>
      <c r="H454" s="442" t="str">
        <f>IF(OR(Measures!AM454="Row Not Used",Measures!C454="Controls Only",Measures!C454="Decommissioning"),"",Measures!M454)</f>
        <v/>
      </c>
      <c r="I454" s="443" t="str">
        <f>IF(OR(Measures!AM454="Row Not Used",Measures!C454="Controls Only",Measures!C454="Decommissioning"),"",Measures!N454)</f>
        <v/>
      </c>
      <c r="J454" s="444" t="str">
        <f>IF(OR(Measures!AM454="Row Not Used",Measures!C454="Controls Only",Measures!C454="Decommissioning"),"",Measures!O454)</f>
        <v/>
      </c>
      <c r="K454" s="425" t="str">
        <f>IF(OR(Measures!AM454="Row Not Used",Measures!C454="Controls Only",Measures!C454="Decommissioning"),"",Measures!AS454)</f>
        <v/>
      </c>
      <c r="L454" s="426" t="str">
        <f>IF(OR(Measures!AM454="Row Not Used",Measures!AM454="Decommissioning",ISBLANK(Measures!R454)),"",Measures!R454)</f>
        <v/>
      </c>
      <c r="M454" s="431" t="str">
        <f>IF(OR(Measures!AM454="Row Not Used",Measures!AM454="Fixtures Only",Measures!AM454="Decommissioning"),"",Measures!S454)</f>
        <v/>
      </c>
      <c r="N454" s="432" t="str">
        <f>IF(Measures!AM454="Row Not Used","",Measures!AF454)</f>
        <v/>
      </c>
      <c r="O454" s="426" t="str">
        <f>IF(Measures!AM454="Row Not Used","",Measures!C454)</f>
        <v/>
      </c>
      <c r="P454" s="133" t="str">
        <f t="shared" si="6"/>
        <v>No</v>
      </c>
    </row>
    <row r="455" spans="1:16" ht="75.599999999999994" customHeight="1" x14ac:dyDescent="0.3">
      <c r="A455" s="454">
        <f>Measures!A455</f>
        <v>448</v>
      </c>
      <c r="B455" s="425" t="str">
        <f>IF(Measures!AM455="Row Not Used","",IF(ISBLANK(Measures!V455),Measures!B455,_xlfn.CONCAT(Measures!B455," - ",Measures!V455)))</f>
        <v/>
      </c>
      <c r="C455" s="426" t="str">
        <f>IF(Measures!AM455="Row Not Used","",_xlfn.CONCAT(Measures!D455," - ",Measures!E455," - ",Measures!F455))</f>
        <v/>
      </c>
      <c r="D455" s="442" t="str">
        <f>IF(Measures!AM455="Row Not Used","",Measures!G455)</f>
        <v/>
      </c>
      <c r="E455" s="443" t="str">
        <f>IF(Measures!AM455="Row Not Used","",Measures!H455)</f>
        <v/>
      </c>
      <c r="F455" s="450" t="str">
        <f>IF(Measures!AM455="Row Not Used","",Measures!I455)</f>
        <v/>
      </c>
      <c r="G455" s="426" t="str">
        <f>IF(OR(Measures!AM455="Row Not Used",Measures!C455="Controls Only",Measures!C455="Decommissioning"),"",_xlfn.CONCAT(Measures!K455," - ",Measures!L455))</f>
        <v/>
      </c>
      <c r="H455" s="442" t="str">
        <f>IF(OR(Measures!AM455="Row Not Used",Measures!C455="Controls Only",Measures!C455="Decommissioning"),"",Measures!M455)</f>
        <v/>
      </c>
      <c r="I455" s="443" t="str">
        <f>IF(OR(Measures!AM455="Row Not Used",Measures!C455="Controls Only",Measures!C455="Decommissioning"),"",Measures!N455)</f>
        <v/>
      </c>
      <c r="J455" s="444" t="str">
        <f>IF(OR(Measures!AM455="Row Not Used",Measures!C455="Controls Only",Measures!C455="Decommissioning"),"",Measures!O455)</f>
        <v/>
      </c>
      <c r="K455" s="425" t="str">
        <f>IF(OR(Measures!AM455="Row Not Used",Measures!C455="Controls Only",Measures!C455="Decommissioning"),"",Measures!AS455)</f>
        <v/>
      </c>
      <c r="L455" s="426" t="str">
        <f>IF(OR(Measures!AM455="Row Not Used",Measures!AM455="Decommissioning",ISBLANK(Measures!R455)),"",Measures!R455)</f>
        <v/>
      </c>
      <c r="M455" s="431" t="str">
        <f>IF(OR(Measures!AM455="Row Not Used",Measures!AM455="Fixtures Only",Measures!AM455="Decommissioning"),"",Measures!S455)</f>
        <v/>
      </c>
      <c r="N455" s="432" t="str">
        <f>IF(Measures!AM455="Row Not Used","",Measures!AF455)</f>
        <v/>
      </c>
      <c r="O455" s="426" t="str">
        <f>IF(Measures!AM455="Row Not Used","",Measures!C455)</f>
        <v/>
      </c>
      <c r="P455" s="133" t="str">
        <f t="shared" si="6"/>
        <v>No</v>
      </c>
    </row>
    <row r="456" spans="1:16" ht="75.599999999999994" customHeight="1" x14ac:dyDescent="0.3">
      <c r="A456" s="454">
        <f>Measures!A456</f>
        <v>449</v>
      </c>
      <c r="B456" s="425" t="str">
        <f>IF(Measures!AM456="Row Not Used","",IF(ISBLANK(Measures!V456),Measures!B456,_xlfn.CONCAT(Measures!B456," - ",Measures!V456)))</f>
        <v/>
      </c>
      <c r="C456" s="426" t="str">
        <f>IF(Measures!AM456="Row Not Used","",_xlfn.CONCAT(Measures!D456," - ",Measures!E456," - ",Measures!F456))</f>
        <v/>
      </c>
      <c r="D456" s="442" t="str">
        <f>IF(Measures!AM456="Row Not Used","",Measures!G456)</f>
        <v/>
      </c>
      <c r="E456" s="443" t="str">
        <f>IF(Measures!AM456="Row Not Used","",Measures!H456)</f>
        <v/>
      </c>
      <c r="F456" s="450" t="str">
        <f>IF(Measures!AM456="Row Not Used","",Measures!I456)</f>
        <v/>
      </c>
      <c r="G456" s="426" t="str">
        <f>IF(OR(Measures!AM456="Row Not Used",Measures!C456="Controls Only",Measures!C456="Decommissioning"),"",_xlfn.CONCAT(Measures!K456," - ",Measures!L456))</f>
        <v/>
      </c>
      <c r="H456" s="442" t="str">
        <f>IF(OR(Measures!AM456="Row Not Used",Measures!C456="Controls Only",Measures!C456="Decommissioning"),"",Measures!M456)</f>
        <v/>
      </c>
      <c r="I456" s="443" t="str">
        <f>IF(OR(Measures!AM456="Row Not Used",Measures!C456="Controls Only",Measures!C456="Decommissioning"),"",Measures!N456)</f>
        <v/>
      </c>
      <c r="J456" s="444" t="str">
        <f>IF(OR(Measures!AM456="Row Not Used",Measures!C456="Controls Only",Measures!C456="Decommissioning"),"",Measures!O456)</f>
        <v/>
      </c>
      <c r="K456" s="425" t="str">
        <f>IF(OR(Measures!AM456="Row Not Used",Measures!C456="Controls Only",Measures!C456="Decommissioning"),"",Measures!AS456)</f>
        <v/>
      </c>
      <c r="L456" s="426" t="str">
        <f>IF(OR(Measures!AM456="Row Not Used",Measures!AM456="Decommissioning",ISBLANK(Measures!R456)),"",Measures!R456)</f>
        <v/>
      </c>
      <c r="M456" s="431" t="str">
        <f>IF(OR(Measures!AM456="Row Not Used",Measures!AM456="Fixtures Only",Measures!AM456="Decommissioning"),"",Measures!S456)</f>
        <v/>
      </c>
      <c r="N456" s="432" t="str">
        <f>IF(Measures!AM456="Row Not Used","",Measures!AF456)</f>
        <v/>
      </c>
      <c r="O456" s="426" t="str">
        <f>IF(Measures!AM456="Row Not Used","",Measures!C456)</f>
        <v/>
      </c>
      <c r="P456" s="133" t="str">
        <f t="shared" si="6"/>
        <v>No</v>
      </c>
    </row>
    <row r="457" spans="1:16" ht="75.599999999999994" customHeight="1" x14ac:dyDescent="0.3">
      <c r="A457" s="454">
        <f>Measures!A457</f>
        <v>450</v>
      </c>
      <c r="B457" s="425" t="str">
        <f>IF(Measures!AM457="Row Not Used","",IF(ISBLANK(Measures!V457),Measures!B457,_xlfn.CONCAT(Measures!B457," - ",Measures!V457)))</f>
        <v/>
      </c>
      <c r="C457" s="426" t="str">
        <f>IF(Measures!AM457="Row Not Used","",_xlfn.CONCAT(Measures!D457," - ",Measures!E457," - ",Measures!F457))</f>
        <v/>
      </c>
      <c r="D457" s="442" t="str">
        <f>IF(Measures!AM457="Row Not Used","",Measures!G457)</f>
        <v/>
      </c>
      <c r="E457" s="443" t="str">
        <f>IF(Measures!AM457="Row Not Used","",Measures!H457)</f>
        <v/>
      </c>
      <c r="F457" s="450" t="str">
        <f>IF(Measures!AM457="Row Not Used","",Measures!I457)</f>
        <v/>
      </c>
      <c r="G457" s="426" t="str">
        <f>IF(OR(Measures!AM457="Row Not Used",Measures!C457="Controls Only",Measures!C457="Decommissioning"),"",_xlfn.CONCAT(Measures!K457," - ",Measures!L457))</f>
        <v/>
      </c>
      <c r="H457" s="442" t="str">
        <f>IF(OR(Measures!AM457="Row Not Used",Measures!C457="Controls Only",Measures!C457="Decommissioning"),"",Measures!M457)</f>
        <v/>
      </c>
      <c r="I457" s="443" t="str">
        <f>IF(OR(Measures!AM457="Row Not Used",Measures!C457="Controls Only",Measures!C457="Decommissioning"),"",Measures!N457)</f>
        <v/>
      </c>
      <c r="J457" s="444" t="str">
        <f>IF(OR(Measures!AM457="Row Not Used",Measures!C457="Controls Only",Measures!C457="Decommissioning"),"",Measures!O457)</f>
        <v/>
      </c>
      <c r="K457" s="425" t="str">
        <f>IF(OR(Measures!AM457="Row Not Used",Measures!C457="Controls Only",Measures!C457="Decommissioning"),"",Measures!AS457)</f>
        <v/>
      </c>
      <c r="L457" s="426" t="str">
        <f>IF(OR(Measures!AM457="Row Not Used",Measures!AM457="Decommissioning",ISBLANK(Measures!R457)),"",Measures!R457)</f>
        <v/>
      </c>
      <c r="M457" s="431" t="str">
        <f>IF(OR(Measures!AM457="Row Not Used",Measures!AM457="Fixtures Only",Measures!AM457="Decommissioning"),"",Measures!S457)</f>
        <v/>
      </c>
      <c r="N457" s="432" t="str">
        <f>IF(Measures!AM457="Row Not Used","",Measures!AF457)</f>
        <v/>
      </c>
      <c r="O457" s="426" t="str">
        <f>IF(Measures!AM457="Row Not Used","",Measures!C457)</f>
        <v/>
      </c>
      <c r="P457" s="133" t="str">
        <f t="shared" ref="P457:P507" si="7">IF(LEN(B457)&gt;0,"Yes","No")</f>
        <v>No</v>
      </c>
    </row>
    <row r="458" spans="1:16" ht="75.599999999999994" customHeight="1" x14ac:dyDescent="0.3">
      <c r="A458" s="454">
        <f>Measures!A458</f>
        <v>451</v>
      </c>
      <c r="B458" s="425" t="str">
        <f>IF(Measures!AM458="Row Not Used","",IF(ISBLANK(Measures!V458),Measures!B458,_xlfn.CONCAT(Measures!B458," - ",Measures!V458)))</f>
        <v/>
      </c>
      <c r="C458" s="426" t="str">
        <f>IF(Measures!AM458="Row Not Used","",_xlfn.CONCAT(Measures!D458," - ",Measures!E458," - ",Measures!F458))</f>
        <v/>
      </c>
      <c r="D458" s="442" t="str">
        <f>IF(Measures!AM458="Row Not Used","",Measures!G458)</f>
        <v/>
      </c>
      <c r="E458" s="443" t="str">
        <f>IF(Measures!AM458="Row Not Used","",Measures!H458)</f>
        <v/>
      </c>
      <c r="F458" s="450" t="str">
        <f>IF(Measures!AM458="Row Not Used","",Measures!I458)</f>
        <v/>
      </c>
      <c r="G458" s="426" t="str">
        <f>IF(OR(Measures!AM458="Row Not Used",Measures!C458="Controls Only",Measures!C458="Decommissioning"),"",_xlfn.CONCAT(Measures!K458," - ",Measures!L458))</f>
        <v/>
      </c>
      <c r="H458" s="442" t="str">
        <f>IF(OR(Measures!AM458="Row Not Used",Measures!C458="Controls Only",Measures!C458="Decommissioning"),"",Measures!M458)</f>
        <v/>
      </c>
      <c r="I458" s="443" t="str">
        <f>IF(OR(Measures!AM458="Row Not Used",Measures!C458="Controls Only",Measures!C458="Decommissioning"),"",Measures!N458)</f>
        <v/>
      </c>
      <c r="J458" s="444" t="str">
        <f>IF(OR(Measures!AM458="Row Not Used",Measures!C458="Controls Only",Measures!C458="Decommissioning"),"",Measures!O458)</f>
        <v/>
      </c>
      <c r="K458" s="425" t="str">
        <f>IF(OR(Measures!AM458="Row Not Used",Measures!C458="Controls Only",Measures!C458="Decommissioning"),"",Measures!AS458)</f>
        <v/>
      </c>
      <c r="L458" s="426" t="str">
        <f>IF(OR(Measures!AM458="Row Not Used",Measures!AM458="Decommissioning",ISBLANK(Measures!R458)),"",Measures!R458)</f>
        <v/>
      </c>
      <c r="M458" s="431" t="str">
        <f>IF(OR(Measures!AM458="Row Not Used",Measures!AM458="Fixtures Only",Measures!AM458="Decommissioning"),"",Measures!S458)</f>
        <v/>
      </c>
      <c r="N458" s="432" t="str">
        <f>IF(Measures!AM458="Row Not Used","",Measures!AF458)</f>
        <v/>
      </c>
      <c r="O458" s="426" t="str">
        <f>IF(Measures!AM458="Row Not Used","",Measures!C458)</f>
        <v/>
      </c>
      <c r="P458" s="133" t="str">
        <f t="shared" si="7"/>
        <v>No</v>
      </c>
    </row>
    <row r="459" spans="1:16" ht="75.599999999999994" customHeight="1" x14ac:dyDescent="0.3">
      <c r="A459" s="454">
        <f>Measures!A459</f>
        <v>452</v>
      </c>
      <c r="B459" s="425" t="str">
        <f>IF(Measures!AM459="Row Not Used","",IF(ISBLANK(Measures!V459),Measures!B459,_xlfn.CONCAT(Measures!B459," - ",Measures!V459)))</f>
        <v/>
      </c>
      <c r="C459" s="426" t="str">
        <f>IF(Measures!AM459="Row Not Used","",_xlfn.CONCAT(Measures!D459," - ",Measures!E459," - ",Measures!F459))</f>
        <v/>
      </c>
      <c r="D459" s="442" t="str">
        <f>IF(Measures!AM459="Row Not Used","",Measures!G459)</f>
        <v/>
      </c>
      <c r="E459" s="443" t="str">
        <f>IF(Measures!AM459="Row Not Used","",Measures!H459)</f>
        <v/>
      </c>
      <c r="F459" s="450" t="str">
        <f>IF(Measures!AM459="Row Not Used","",Measures!I459)</f>
        <v/>
      </c>
      <c r="G459" s="426" t="str">
        <f>IF(OR(Measures!AM459="Row Not Used",Measures!C459="Controls Only",Measures!C459="Decommissioning"),"",_xlfn.CONCAT(Measures!K459," - ",Measures!L459))</f>
        <v/>
      </c>
      <c r="H459" s="442" t="str">
        <f>IF(OR(Measures!AM459="Row Not Used",Measures!C459="Controls Only",Measures!C459="Decommissioning"),"",Measures!M459)</f>
        <v/>
      </c>
      <c r="I459" s="443" t="str">
        <f>IF(OR(Measures!AM459="Row Not Used",Measures!C459="Controls Only",Measures!C459="Decommissioning"),"",Measures!N459)</f>
        <v/>
      </c>
      <c r="J459" s="444" t="str">
        <f>IF(OR(Measures!AM459="Row Not Used",Measures!C459="Controls Only",Measures!C459="Decommissioning"),"",Measures!O459)</f>
        <v/>
      </c>
      <c r="K459" s="425" t="str">
        <f>IF(OR(Measures!AM459="Row Not Used",Measures!C459="Controls Only",Measures!C459="Decommissioning"),"",Measures!AS459)</f>
        <v/>
      </c>
      <c r="L459" s="426" t="str">
        <f>IF(OR(Measures!AM459="Row Not Used",Measures!AM459="Decommissioning",ISBLANK(Measures!R459)),"",Measures!R459)</f>
        <v/>
      </c>
      <c r="M459" s="431" t="str">
        <f>IF(OR(Measures!AM459="Row Not Used",Measures!AM459="Fixtures Only",Measures!AM459="Decommissioning"),"",Measures!S459)</f>
        <v/>
      </c>
      <c r="N459" s="432" t="str">
        <f>IF(Measures!AM459="Row Not Used","",Measures!AF459)</f>
        <v/>
      </c>
      <c r="O459" s="426" t="str">
        <f>IF(Measures!AM459="Row Not Used","",Measures!C459)</f>
        <v/>
      </c>
      <c r="P459" s="133" t="str">
        <f t="shared" si="7"/>
        <v>No</v>
      </c>
    </row>
    <row r="460" spans="1:16" ht="75.599999999999994" customHeight="1" x14ac:dyDescent="0.3">
      <c r="A460" s="454">
        <f>Measures!A460</f>
        <v>453</v>
      </c>
      <c r="B460" s="425" t="str">
        <f>IF(Measures!AM460="Row Not Used","",IF(ISBLANK(Measures!V460),Measures!B460,_xlfn.CONCAT(Measures!B460," - ",Measures!V460)))</f>
        <v/>
      </c>
      <c r="C460" s="426" t="str">
        <f>IF(Measures!AM460="Row Not Used","",_xlfn.CONCAT(Measures!D460," - ",Measures!E460," - ",Measures!F460))</f>
        <v/>
      </c>
      <c r="D460" s="442" t="str">
        <f>IF(Measures!AM460="Row Not Used","",Measures!G460)</f>
        <v/>
      </c>
      <c r="E460" s="443" t="str">
        <f>IF(Measures!AM460="Row Not Used","",Measures!H460)</f>
        <v/>
      </c>
      <c r="F460" s="450" t="str">
        <f>IF(Measures!AM460="Row Not Used","",Measures!I460)</f>
        <v/>
      </c>
      <c r="G460" s="426" t="str">
        <f>IF(OR(Measures!AM460="Row Not Used",Measures!C460="Controls Only",Measures!C460="Decommissioning"),"",_xlfn.CONCAT(Measures!K460," - ",Measures!L460))</f>
        <v/>
      </c>
      <c r="H460" s="442" t="str">
        <f>IF(OR(Measures!AM460="Row Not Used",Measures!C460="Controls Only",Measures!C460="Decommissioning"),"",Measures!M460)</f>
        <v/>
      </c>
      <c r="I460" s="443" t="str">
        <f>IF(OR(Measures!AM460="Row Not Used",Measures!C460="Controls Only",Measures!C460="Decommissioning"),"",Measures!N460)</f>
        <v/>
      </c>
      <c r="J460" s="444" t="str">
        <f>IF(OR(Measures!AM460="Row Not Used",Measures!C460="Controls Only",Measures!C460="Decommissioning"),"",Measures!O460)</f>
        <v/>
      </c>
      <c r="K460" s="425" t="str">
        <f>IF(OR(Measures!AM460="Row Not Used",Measures!C460="Controls Only",Measures!C460="Decommissioning"),"",Measures!AS460)</f>
        <v/>
      </c>
      <c r="L460" s="426" t="str">
        <f>IF(OR(Measures!AM460="Row Not Used",Measures!AM460="Decommissioning",ISBLANK(Measures!R460)),"",Measures!R460)</f>
        <v/>
      </c>
      <c r="M460" s="431" t="str">
        <f>IF(OR(Measures!AM460="Row Not Used",Measures!AM460="Fixtures Only",Measures!AM460="Decommissioning"),"",Measures!S460)</f>
        <v/>
      </c>
      <c r="N460" s="432" t="str">
        <f>IF(Measures!AM460="Row Not Used","",Measures!AF460)</f>
        <v/>
      </c>
      <c r="O460" s="426" t="str">
        <f>IF(Measures!AM460="Row Not Used","",Measures!C460)</f>
        <v/>
      </c>
      <c r="P460" s="133" t="str">
        <f t="shared" si="7"/>
        <v>No</v>
      </c>
    </row>
    <row r="461" spans="1:16" ht="75.599999999999994" customHeight="1" x14ac:dyDescent="0.3">
      <c r="A461" s="454">
        <f>Measures!A461</f>
        <v>454</v>
      </c>
      <c r="B461" s="425" t="str">
        <f>IF(Measures!AM461="Row Not Used","",IF(ISBLANK(Measures!V461),Measures!B461,_xlfn.CONCAT(Measures!B461," - ",Measures!V461)))</f>
        <v/>
      </c>
      <c r="C461" s="426" t="str">
        <f>IF(Measures!AM461="Row Not Used","",_xlfn.CONCAT(Measures!D461," - ",Measures!E461," - ",Measures!F461))</f>
        <v/>
      </c>
      <c r="D461" s="442" t="str">
        <f>IF(Measures!AM461="Row Not Used","",Measures!G461)</f>
        <v/>
      </c>
      <c r="E461" s="443" t="str">
        <f>IF(Measures!AM461="Row Not Used","",Measures!H461)</f>
        <v/>
      </c>
      <c r="F461" s="450" t="str">
        <f>IF(Measures!AM461="Row Not Used","",Measures!I461)</f>
        <v/>
      </c>
      <c r="G461" s="426" t="str">
        <f>IF(OR(Measures!AM461="Row Not Used",Measures!C461="Controls Only",Measures!C461="Decommissioning"),"",_xlfn.CONCAT(Measures!K461," - ",Measures!L461))</f>
        <v/>
      </c>
      <c r="H461" s="442" t="str">
        <f>IF(OR(Measures!AM461="Row Not Used",Measures!C461="Controls Only",Measures!C461="Decommissioning"),"",Measures!M461)</f>
        <v/>
      </c>
      <c r="I461" s="443" t="str">
        <f>IF(OR(Measures!AM461="Row Not Used",Measures!C461="Controls Only",Measures!C461="Decommissioning"),"",Measures!N461)</f>
        <v/>
      </c>
      <c r="J461" s="444" t="str">
        <f>IF(OR(Measures!AM461="Row Not Used",Measures!C461="Controls Only",Measures!C461="Decommissioning"),"",Measures!O461)</f>
        <v/>
      </c>
      <c r="K461" s="425" t="str">
        <f>IF(OR(Measures!AM461="Row Not Used",Measures!C461="Controls Only",Measures!C461="Decommissioning"),"",Measures!AS461)</f>
        <v/>
      </c>
      <c r="L461" s="426" t="str">
        <f>IF(OR(Measures!AM461="Row Not Used",Measures!AM461="Decommissioning",ISBLANK(Measures!R461)),"",Measures!R461)</f>
        <v/>
      </c>
      <c r="M461" s="431" t="str">
        <f>IF(OR(Measures!AM461="Row Not Used",Measures!AM461="Fixtures Only",Measures!AM461="Decommissioning"),"",Measures!S461)</f>
        <v/>
      </c>
      <c r="N461" s="432" t="str">
        <f>IF(Measures!AM461="Row Not Used","",Measures!AF461)</f>
        <v/>
      </c>
      <c r="O461" s="426" t="str">
        <f>IF(Measures!AM461="Row Not Used","",Measures!C461)</f>
        <v/>
      </c>
      <c r="P461" s="133" t="str">
        <f t="shared" si="7"/>
        <v>No</v>
      </c>
    </row>
    <row r="462" spans="1:16" ht="75.599999999999994" customHeight="1" x14ac:dyDescent="0.3">
      <c r="A462" s="454">
        <f>Measures!A462</f>
        <v>455</v>
      </c>
      <c r="B462" s="425" t="str">
        <f>IF(Measures!AM462="Row Not Used","",IF(ISBLANK(Measures!V462),Measures!B462,_xlfn.CONCAT(Measures!B462," - ",Measures!V462)))</f>
        <v/>
      </c>
      <c r="C462" s="426" t="str">
        <f>IF(Measures!AM462="Row Not Used","",_xlfn.CONCAT(Measures!D462," - ",Measures!E462," - ",Measures!F462))</f>
        <v/>
      </c>
      <c r="D462" s="442" t="str">
        <f>IF(Measures!AM462="Row Not Used","",Measures!G462)</f>
        <v/>
      </c>
      <c r="E462" s="443" t="str">
        <f>IF(Measures!AM462="Row Not Used","",Measures!H462)</f>
        <v/>
      </c>
      <c r="F462" s="450" t="str">
        <f>IF(Measures!AM462="Row Not Used","",Measures!I462)</f>
        <v/>
      </c>
      <c r="G462" s="426" t="str">
        <f>IF(OR(Measures!AM462="Row Not Used",Measures!C462="Controls Only",Measures!C462="Decommissioning"),"",_xlfn.CONCAT(Measures!K462," - ",Measures!L462))</f>
        <v/>
      </c>
      <c r="H462" s="442" t="str">
        <f>IF(OR(Measures!AM462="Row Not Used",Measures!C462="Controls Only",Measures!C462="Decommissioning"),"",Measures!M462)</f>
        <v/>
      </c>
      <c r="I462" s="443" t="str">
        <f>IF(OR(Measures!AM462="Row Not Used",Measures!C462="Controls Only",Measures!C462="Decommissioning"),"",Measures!N462)</f>
        <v/>
      </c>
      <c r="J462" s="444" t="str">
        <f>IF(OR(Measures!AM462="Row Not Used",Measures!C462="Controls Only",Measures!C462="Decommissioning"),"",Measures!O462)</f>
        <v/>
      </c>
      <c r="K462" s="425" t="str">
        <f>IF(OR(Measures!AM462="Row Not Used",Measures!C462="Controls Only",Measures!C462="Decommissioning"),"",Measures!AS462)</f>
        <v/>
      </c>
      <c r="L462" s="426" t="str">
        <f>IF(OR(Measures!AM462="Row Not Used",Measures!AM462="Decommissioning",ISBLANK(Measures!R462)),"",Measures!R462)</f>
        <v/>
      </c>
      <c r="M462" s="431" t="str">
        <f>IF(OR(Measures!AM462="Row Not Used",Measures!AM462="Fixtures Only",Measures!AM462="Decommissioning"),"",Measures!S462)</f>
        <v/>
      </c>
      <c r="N462" s="432" t="str">
        <f>IF(Measures!AM462="Row Not Used","",Measures!AF462)</f>
        <v/>
      </c>
      <c r="O462" s="426" t="str">
        <f>IF(Measures!AM462="Row Not Used","",Measures!C462)</f>
        <v/>
      </c>
      <c r="P462" s="133" t="str">
        <f t="shared" si="7"/>
        <v>No</v>
      </c>
    </row>
    <row r="463" spans="1:16" ht="75.599999999999994" customHeight="1" x14ac:dyDescent="0.3">
      <c r="A463" s="454">
        <f>Measures!A463</f>
        <v>456</v>
      </c>
      <c r="B463" s="425" t="str">
        <f>IF(Measures!AM463="Row Not Used","",IF(ISBLANK(Measures!V463),Measures!B463,_xlfn.CONCAT(Measures!B463," - ",Measures!V463)))</f>
        <v/>
      </c>
      <c r="C463" s="426" t="str">
        <f>IF(Measures!AM463="Row Not Used","",_xlfn.CONCAT(Measures!D463," - ",Measures!E463," - ",Measures!F463))</f>
        <v/>
      </c>
      <c r="D463" s="442" t="str">
        <f>IF(Measures!AM463="Row Not Used","",Measures!G463)</f>
        <v/>
      </c>
      <c r="E463" s="443" t="str">
        <f>IF(Measures!AM463="Row Not Used","",Measures!H463)</f>
        <v/>
      </c>
      <c r="F463" s="450" t="str">
        <f>IF(Measures!AM463="Row Not Used","",Measures!I463)</f>
        <v/>
      </c>
      <c r="G463" s="426" t="str">
        <f>IF(OR(Measures!AM463="Row Not Used",Measures!C463="Controls Only",Measures!C463="Decommissioning"),"",_xlfn.CONCAT(Measures!K463," - ",Measures!L463))</f>
        <v/>
      </c>
      <c r="H463" s="442" t="str">
        <f>IF(OR(Measures!AM463="Row Not Used",Measures!C463="Controls Only",Measures!C463="Decommissioning"),"",Measures!M463)</f>
        <v/>
      </c>
      <c r="I463" s="443" t="str">
        <f>IF(OR(Measures!AM463="Row Not Used",Measures!C463="Controls Only",Measures!C463="Decommissioning"),"",Measures!N463)</f>
        <v/>
      </c>
      <c r="J463" s="444" t="str">
        <f>IF(OR(Measures!AM463="Row Not Used",Measures!C463="Controls Only",Measures!C463="Decommissioning"),"",Measures!O463)</f>
        <v/>
      </c>
      <c r="K463" s="425" t="str">
        <f>IF(OR(Measures!AM463="Row Not Used",Measures!C463="Controls Only",Measures!C463="Decommissioning"),"",Measures!AS463)</f>
        <v/>
      </c>
      <c r="L463" s="426" t="str">
        <f>IF(OR(Measures!AM463="Row Not Used",Measures!AM463="Decommissioning",ISBLANK(Measures!R463)),"",Measures!R463)</f>
        <v/>
      </c>
      <c r="M463" s="431" t="str">
        <f>IF(OR(Measures!AM463="Row Not Used",Measures!AM463="Fixtures Only",Measures!AM463="Decommissioning"),"",Measures!S463)</f>
        <v/>
      </c>
      <c r="N463" s="432" t="str">
        <f>IF(Measures!AM463="Row Not Used","",Measures!AF463)</f>
        <v/>
      </c>
      <c r="O463" s="426" t="str">
        <f>IF(Measures!AM463="Row Not Used","",Measures!C463)</f>
        <v/>
      </c>
      <c r="P463" s="133" t="str">
        <f t="shared" si="7"/>
        <v>No</v>
      </c>
    </row>
    <row r="464" spans="1:16" ht="75.599999999999994" customHeight="1" x14ac:dyDescent="0.3">
      <c r="A464" s="454">
        <f>Measures!A464</f>
        <v>457</v>
      </c>
      <c r="B464" s="425" t="str">
        <f>IF(Measures!AM464="Row Not Used","",IF(ISBLANK(Measures!V464),Measures!B464,_xlfn.CONCAT(Measures!B464," - ",Measures!V464)))</f>
        <v/>
      </c>
      <c r="C464" s="426" t="str">
        <f>IF(Measures!AM464="Row Not Used","",_xlfn.CONCAT(Measures!D464," - ",Measures!E464," - ",Measures!F464))</f>
        <v/>
      </c>
      <c r="D464" s="442" t="str">
        <f>IF(Measures!AM464="Row Not Used","",Measures!G464)</f>
        <v/>
      </c>
      <c r="E464" s="443" t="str">
        <f>IF(Measures!AM464="Row Not Used","",Measures!H464)</f>
        <v/>
      </c>
      <c r="F464" s="450" t="str">
        <f>IF(Measures!AM464="Row Not Used","",Measures!I464)</f>
        <v/>
      </c>
      <c r="G464" s="426" t="str">
        <f>IF(OR(Measures!AM464="Row Not Used",Measures!C464="Controls Only",Measures!C464="Decommissioning"),"",_xlfn.CONCAT(Measures!K464," - ",Measures!L464))</f>
        <v/>
      </c>
      <c r="H464" s="442" t="str">
        <f>IF(OR(Measures!AM464="Row Not Used",Measures!C464="Controls Only",Measures!C464="Decommissioning"),"",Measures!M464)</f>
        <v/>
      </c>
      <c r="I464" s="443" t="str">
        <f>IF(OR(Measures!AM464="Row Not Used",Measures!C464="Controls Only",Measures!C464="Decommissioning"),"",Measures!N464)</f>
        <v/>
      </c>
      <c r="J464" s="444" t="str">
        <f>IF(OR(Measures!AM464="Row Not Used",Measures!C464="Controls Only",Measures!C464="Decommissioning"),"",Measures!O464)</f>
        <v/>
      </c>
      <c r="K464" s="425" t="str">
        <f>IF(OR(Measures!AM464="Row Not Used",Measures!C464="Controls Only",Measures!C464="Decommissioning"),"",Measures!AS464)</f>
        <v/>
      </c>
      <c r="L464" s="426" t="str">
        <f>IF(OR(Measures!AM464="Row Not Used",Measures!AM464="Decommissioning",ISBLANK(Measures!R464)),"",Measures!R464)</f>
        <v/>
      </c>
      <c r="M464" s="431" t="str">
        <f>IF(OR(Measures!AM464="Row Not Used",Measures!AM464="Fixtures Only",Measures!AM464="Decommissioning"),"",Measures!S464)</f>
        <v/>
      </c>
      <c r="N464" s="432" t="str">
        <f>IF(Measures!AM464="Row Not Used","",Measures!AF464)</f>
        <v/>
      </c>
      <c r="O464" s="426" t="str">
        <f>IF(Measures!AM464="Row Not Used","",Measures!C464)</f>
        <v/>
      </c>
      <c r="P464" s="133" t="str">
        <f t="shared" si="7"/>
        <v>No</v>
      </c>
    </row>
    <row r="465" spans="1:16" ht="75.599999999999994" customHeight="1" x14ac:dyDescent="0.3">
      <c r="A465" s="454">
        <f>Measures!A465</f>
        <v>458</v>
      </c>
      <c r="B465" s="425" t="str">
        <f>IF(Measures!AM465="Row Not Used","",IF(ISBLANK(Measures!V465),Measures!B465,_xlfn.CONCAT(Measures!B465," - ",Measures!V465)))</f>
        <v/>
      </c>
      <c r="C465" s="426" t="str">
        <f>IF(Measures!AM465="Row Not Used","",_xlfn.CONCAT(Measures!D465," - ",Measures!E465," - ",Measures!F465))</f>
        <v/>
      </c>
      <c r="D465" s="442" t="str">
        <f>IF(Measures!AM465="Row Not Used","",Measures!G465)</f>
        <v/>
      </c>
      <c r="E465" s="443" t="str">
        <f>IF(Measures!AM465="Row Not Used","",Measures!H465)</f>
        <v/>
      </c>
      <c r="F465" s="450" t="str">
        <f>IF(Measures!AM465="Row Not Used","",Measures!I465)</f>
        <v/>
      </c>
      <c r="G465" s="426" t="str">
        <f>IF(OR(Measures!AM465="Row Not Used",Measures!C465="Controls Only",Measures!C465="Decommissioning"),"",_xlfn.CONCAT(Measures!K465," - ",Measures!L465))</f>
        <v/>
      </c>
      <c r="H465" s="442" t="str">
        <f>IF(OR(Measures!AM465="Row Not Used",Measures!C465="Controls Only",Measures!C465="Decommissioning"),"",Measures!M465)</f>
        <v/>
      </c>
      <c r="I465" s="443" t="str">
        <f>IF(OR(Measures!AM465="Row Not Used",Measures!C465="Controls Only",Measures!C465="Decommissioning"),"",Measures!N465)</f>
        <v/>
      </c>
      <c r="J465" s="444" t="str">
        <f>IF(OR(Measures!AM465="Row Not Used",Measures!C465="Controls Only",Measures!C465="Decommissioning"),"",Measures!O465)</f>
        <v/>
      </c>
      <c r="K465" s="425" t="str">
        <f>IF(OR(Measures!AM465="Row Not Used",Measures!C465="Controls Only",Measures!C465="Decommissioning"),"",Measures!AS465)</f>
        <v/>
      </c>
      <c r="L465" s="426" t="str">
        <f>IF(OR(Measures!AM465="Row Not Used",Measures!AM465="Decommissioning",ISBLANK(Measures!R465)),"",Measures!R465)</f>
        <v/>
      </c>
      <c r="M465" s="431" t="str">
        <f>IF(OR(Measures!AM465="Row Not Used",Measures!AM465="Fixtures Only",Measures!AM465="Decommissioning"),"",Measures!S465)</f>
        <v/>
      </c>
      <c r="N465" s="432" t="str">
        <f>IF(Measures!AM465="Row Not Used","",Measures!AF465)</f>
        <v/>
      </c>
      <c r="O465" s="426" t="str">
        <f>IF(Measures!AM465="Row Not Used","",Measures!C465)</f>
        <v/>
      </c>
      <c r="P465" s="133" t="str">
        <f t="shared" si="7"/>
        <v>No</v>
      </c>
    </row>
    <row r="466" spans="1:16" ht="75.599999999999994" customHeight="1" x14ac:dyDescent="0.3">
      <c r="A466" s="454">
        <f>Measures!A466</f>
        <v>459</v>
      </c>
      <c r="B466" s="425" t="str">
        <f>IF(Measures!AM466="Row Not Used","",IF(ISBLANK(Measures!V466),Measures!B466,_xlfn.CONCAT(Measures!B466," - ",Measures!V466)))</f>
        <v/>
      </c>
      <c r="C466" s="426" t="str">
        <f>IF(Measures!AM466="Row Not Used","",_xlfn.CONCAT(Measures!D466," - ",Measures!E466," - ",Measures!F466))</f>
        <v/>
      </c>
      <c r="D466" s="442" t="str">
        <f>IF(Measures!AM466="Row Not Used","",Measures!G466)</f>
        <v/>
      </c>
      <c r="E466" s="443" t="str">
        <f>IF(Measures!AM466="Row Not Used","",Measures!H466)</f>
        <v/>
      </c>
      <c r="F466" s="450" t="str">
        <f>IF(Measures!AM466="Row Not Used","",Measures!I466)</f>
        <v/>
      </c>
      <c r="G466" s="426" t="str">
        <f>IF(OR(Measures!AM466="Row Not Used",Measures!C466="Controls Only",Measures!C466="Decommissioning"),"",_xlfn.CONCAT(Measures!K466," - ",Measures!L466))</f>
        <v/>
      </c>
      <c r="H466" s="442" t="str">
        <f>IF(OR(Measures!AM466="Row Not Used",Measures!C466="Controls Only",Measures!C466="Decommissioning"),"",Measures!M466)</f>
        <v/>
      </c>
      <c r="I466" s="443" t="str">
        <f>IF(OR(Measures!AM466="Row Not Used",Measures!C466="Controls Only",Measures!C466="Decommissioning"),"",Measures!N466)</f>
        <v/>
      </c>
      <c r="J466" s="444" t="str">
        <f>IF(OR(Measures!AM466="Row Not Used",Measures!C466="Controls Only",Measures!C466="Decommissioning"),"",Measures!O466)</f>
        <v/>
      </c>
      <c r="K466" s="425" t="str">
        <f>IF(OR(Measures!AM466="Row Not Used",Measures!C466="Controls Only",Measures!C466="Decommissioning"),"",Measures!AS466)</f>
        <v/>
      </c>
      <c r="L466" s="426" t="str">
        <f>IF(OR(Measures!AM466="Row Not Used",Measures!AM466="Decommissioning",ISBLANK(Measures!R466)),"",Measures!R466)</f>
        <v/>
      </c>
      <c r="M466" s="431" t="str">
        <f>IF(OR(Measures!AM466="Row Not Used",Measures!AM466="Fixtures Only",Measures!AM466="Decommissioning"),"",Measures!S466)</f>
        <v/>
      </c>
      <c r="N466" s="432" t="str">
        <f>IF(Measures!AM466="Row Not Used","",Measures!AF466)</f>
        <v/>
      </c>
      <c r="O466" s="426" t="str">
        <f>IF(Measures!AM466="Row Not Used","",Measures!C466)</f>
        <v/>
      </c>
      <c r="P466" s="133" t="str">
        <f t="shared" si="7"/>
        <v>No</v>
      </c>
    </row>
    <row r="467" spans="1:16" ht="75.599999999999994" customHeight="1" x14ac:dyDescent="0.3">
      <c r="A467" s="454">
        <f>Measures!A467</f>
        <v>460</v>
      </c>
      <c r="B467" s="425" t="str">
        <f>IF(Measures!AM467="Row Not Used","",IF(ISBLANK(Measures!V467),Measures!B467,_xlfn.CONCAT(Measures!B467," - ",Measures!V467)))</f>
        <v/>
      </c>
      <c r="C467" s="426" t="str">
        <f>IF(Measures!AM467="Row Not Used","",_xlfn.CONCAT(Measures!D467," - ",Measures!E467," - ",Measures!F467))</f>
        <v/>
      </c>
      <c r="D467" s="442" t="str">
        <f>IF(Measures!AM467="Row Not Used","",Measures!G467)</f>
        <v/>
      </c>
      <c r="E467" s="443" t="str">
        <f>IF(Measures!AM467="Row Not Used","",Measures!H467)</f>
        <v/>
      </c>
      <c r="F467" s="450" t="str">
        <f>IF(Measures!AM467="Row Not Used","",Measures!I467)</f>
        <v/>
      </c>
      <c r="G467" s="426" t="str">
        <f>IF(OR(Measures!AM467="Row Not Used",Measures!C467="Controls Only",Measures!C467="Decommissioning"),"",_xlfn.CONCAT(Measures!K467," - ",Measures!L467))</f>
        <v/>
      </c>
      <c r="H467" s="442" t="str">
        <f>IF(OR(Measures!AM467="Row Not Used",Measures!C467="Controls Only",Measures!C467="Decommissioning"),"",Measures!M467)</f>
        <v/>
      </c>
      <c r="I467" s="443" t="str">
        <f>IF(OR(Measures!AM467="Row Not Used",Measures!C467="Controls Only",Measures!C467="Decommissioning"),"",Measures!N467)</f>
        <v/>
      </c>
      <c r="J467" s="444" t="str">
        <f>IF(OR(Measures!AM467="Row Not Used",Measures!C467="Controls Only",Measures!C467="Decommissioning"),"",Measures!O467)</f>
        <v/>
      </c>
      <c r="K467" s="425" t="str">
        <f>IF(OR(Measures!AM467="Row Not Used",Measures!C467="Controls Only",Measures!C467="Decommissioning"),"",Measures!AS467)</f>
        <v/>
      </c>
      <c r="L467" s="426" t="str">
        <f>IF(OR(Measures!AM467="Row Not Used",Measures!AM467="Decommissioning",ISBLANK(Measures!R467)),"",Measures!R467)</f>
        <v/>
      </c>
      <c r="M467" s="431" t="str">
        <f>IF(OR(Measures!AM467="Row Not Used",Measures!AM467="Fixtures Only",Measures!AM467="Decommissioning"),"",Measures!S467)</f>
        <v/>
      </c>
      <c r="N467" s="432" t="str">
        <f>IF(Measures!AM467="Row Not Used","",Measures!AF467)</f>
        <v/>
      </c>
      <c r="O467" s="426" t="str">
        <f>IF(Measures!AM467="Row Not Used","",Measures!C467)</f>
        <v/>
      </c>
      <c r="P467" s="133" t="str">
        <f t="shared" si="7"/>
        <v>No</v>
      </c>
    </row>
    <row r="468" spans="1:16" ht="75.599999999999994" customHeight="1" x14ac:dyDescent="0.3">
      <c r="A468" s="454">
        <f>Measures!A468</f>
        <v>461</v>
      </c>
      <c r="B468" s="425" t="str">
        <f>IF(Measures!AM468="Row Not Used","",IF(ISBLANK(Measures!V468),Measures!B468,_xlfn.CONCAT(Measures!B468," - ",Measures!V468)))</f>
        <v/>
      </c>
      <c r="C468" s="426" t="str">
        <f>IF(Measures!AM468="Row Not Used","",_xlfn.CONCAT(Measures!D468," - ",Measures!E468," - ",Measures!F468))</f>
        <v/>
      </c>
      <c r="D468" s="442" t="str">
        <f>IF(Measures!AM468="Row Not Used","",Measures!G468)</f>
        <v/>
      </c>
      <c r="E468" s="443" t="str">
        <f>IF(Measures!AM468="Row Not Used","",Measures!H468)</f>
        <v/>
      </c>
      <c r="F468" s="450" t="str">
        <f>IF(Measures!AM468="Row Not Used","",Measures!I468)</f>
        <v/>
      </c>
      <c r="G468" s="426" t="str">
        <f>IF(OR(Measures!AM468="Row Not Used",Measures!C468="Controls Only",Measures!C468="Decommissioning"),"",_xlfn.CONCAT(Measures!K468," - ",Measures!L468))</f>
        <v/>
      </c>
      <c r="H468" s="442" t="str">
        <f>IF(OR(Measures!AM468="Row Not Used",Measures!C468="Controls Only",Measures!C468="Decommissioning"),"",Measures!M468)</f>
        <v/>
      </c>
      <c r="I468" s="443" t="str">
        <f>IF(OR(Measures!AM468="Row Not Used",Measures!C468="Controls Only",Measures!C468="Decommissioning"),"",Measures!N468)</f>
        <v/>
      </c>
      <c r="J468" s="444" t="str">
        <f>IF(OR(Measures!AM468="Row Not Used",Measures!C468="Controls Only",Measures!C468="Decommissioning"),"",Measures!O468)</f>
        <v/>
      </c>
      <c r="K468" s="425" t="str">
        <f>IF(OR(Measures!AM468="Row Not Used",Measures!C468="Controls Only",Measures!C468="Decommissioning"),"",Measures!AS468)</f>
        <v/>
      </c>
      <c r="L468" s="426" t="str">
        <f>IF(OR(Measures!AM468="Row Not Used",Measures!AM468="Decommissioning",ISBLANK(Measures!R468)),"",Measures!R468)</f>
        <v/>
      </c>
      <c r="M468" s="431" t="str">
        <f>IF(OR(Measures!AM468="Row Not Used",Measures!AM468="Fixtures Only",Measures!AM468="Decommissioning"),"",Measures!S468)</f>
        <v/>
      </c>
      <c r="N468" s="432" t="str">
        <f>IF(Measures!AM468="Row Not Used","",Measures!AF468)</f>
        <v/>
      </c>
      <c r="O468" s="426" t="str">
        <f>IF(Measures!AM468="Row Not Used","",Measures!C468)</f>
        <v/>
      </c>
      <c r="P468" s="133" t="str">
        <f t="shared" si="7"/>
        <v>No</v>
      </c>
    </row>
    <row r="469" spans="1:16" ht="75.599999999999994" customHeight="1" x14ac:dyDescent="0.3">
      <c r="A469" s="454">
        <f>Measures!A469</f>
        <v>462</v>
      </c>
      <c r="B469" s="425" t="str">
        <f>IF(Measures!AM469="Row Not Used","",IF(ISBLANK(Measures!V469),Measures!B469,_xlfn.CONCAT(Measures!B469," - ",Measures!V469)))</f>
        <v/>
      </c>
      <c r="C469" s="426" t="str">
        <f>IF(Measures!AM469="Row Not Used","",_xlfn.CONCAT(Measures!D469," - ",Measures!E469," - ",Measures!F469))</f>
        <v/>
      </c>
      <c r="D469" s="442" t="str">
        <f>IF(Measures!AM469="Row Not Used","",Measures!G469)</f>
        <v/>
      </c>
      <c r="E469" s="443" t="str">
        <f>IF(Measures!AM469="Row Not Used","",Measures!H469)</f>
        <v/>
      </c>
      <c r="F469" s="450" t="str">
        <f>IF(Measures!AM469="Row Not Used","",Measures!I469)</f>
        <v/>
      </c>
      <c r="G469" s="426" t="str">
        <f>IF(OR(Measures!AM469="Row Not Used",Measures!C469="Controls Only",Measures!C469="Decommissioning"),"",_xlfn.CONCAT(Measures!K469," - ",Measures!L469))</f>
        <v/>
      </c>
      <c r="H469" s="442" t="str">
        <f>IF(OR(Measures!AM469="Row Not Used",Measures!C469="Controls Only",Measures!C469="Decommissioning"),"",Measures!M469)</f>
        <v/>
      </c>
      <c r="I469" s="443" t="str">
        <f>IF(OR(Measures!AM469="Row Not Used",Measures!C469="Controls Only",Measures!C469="Decommissioning"),"",Measures!N469)</f>
        <v/>
      </c>
      <c r="J469" s="444" t="str">
        <f>IF(OR(Measures!AM469="Row Not Used",Measures!C469="Controls Only",Measures!C469="Decommissioning"),"",Measures!O469)</f>
        <v/>
      </c>
      <c r="K469" s="425" t="str">
        <f>IF(OR(Measures!AM469="Row Not Used",Measures!C469="Controls Only",Measures!C469="Decommissioning"),"",Measures!AS469)</f>
        <v/>
      </c>
      <c r="L469" s="426" t="str">
        <f>IF(OR(Measures!AM469="Row Not Used",Measures!AM469="Decommissioning",ISBLANK(Measures!R469)),"",Measures!R469)</f>
        <v/>
      </c>
      <c r="M469" s="431" t="str">
        <f>IF(OR(Measures!AM469="Row Not Used",Measures!AM469="Fixtures Only",Measures!AM469="Decommissioning"),"",Measures!S469)</f>
        <v/>
      </c>
      <c r="N469" s="432" t="str">
        <f>IF(Measures!AM469="Row Not Used","",Measures!AF469)</f>
        <v/>
      </c>
      <c r="O469" s="426" t="str">
        <f>IF(Measures!AM469="Row Not Used","",Measures!C469)</f>
        <v/>
      </c>
      <c r="P469" s="133" t="str">
        <f t="shared" si="7"/>
        <v>No</v>
      </c>
    </row>
    <row r="470" spans="1:16" ht="75.599999999999994" customHeight="1" x14ac:dyDescent="0.3">
      <c r="A470" s="454">
        <f>Measures!A470</f>
        <v>463</v>
      </c>
      <c r="B470" s="425" t="str">
        <f>IF(Measures!AM470="Row Not Used","",IF(ISBLANK(Measures!V470),Measures!B470,_xlfn.CONCAT(Measures!B470," - ",Measures!V470)))</f>
        <v/>
      </c>
      <c r="C470" s="426" t="str">
        <f>IF(Measures!AM470="Row Not Used","",_xlfn.CONCAT(Measures!D470," - ",Measures!E470," - ",Measures!F470))</f>
        <v/>
      </c>
      <c r="D470" s="442" t="str">
        <f>IF(Measures!AM470="Row Not Used","",Measures!G470)</f>
        <v/>
      </c>
      <c r="E470" s="443" t="str">
        <f>IF(Measures!AM470="Row Not Used","",Measures!H470)</f>
        <v/>
      </c>
      <c r="F470" s="450" t="str">
        <f>IF(Measures!AM470="Row Not Used","",Measures!I470)</f>
        <v/>
      </c>
      <c r="G470" s="426" t="str">
        <f>IF(OR(Measures!AM470="Row Not Used",Measures!C470="Controls Only",Measures!C470="Decommissioning"),"",_xlfn.CONCAT(Measures!K470," - ",Measures!L470))</f>
        <v/>
      </c>
      <c r="H470" s="442" t="str">
        <f>IF(OR(Measures!AM470="Row Not Used",Measures!C470="Controls Only",Measures!C470="Decommissioning"),"",Measures!M470)</f>
        <v/>
      </c>
      <c r="I470" s="443" t="str">
        <f>IF(OR(Measures!AM470="Row Not Used",Measures!C470="Controls Only",Measures!C470="Decommissioning"),"",Measures!N470)</f>
        <v/>
      </c>
      <c r="J470" s="444" t="str">
        <f>IF(OR(Measures!AM470="Row Not Used",Measures!C470="Controls Only",Measures!C470="Decommissioning"),"",Measures!O470)</f>
        <v/>
      </c>
      <c r="K470" s="425" t="str">
        <f>IF(OR(Measures!AM470="Row Not Used",Measures!C470="Controls Only",Measures!C470="Decommissioning"),"",Measures!AS470)</f>
        <v/>
      </c>
      <c r="L470" s="426" t="str">
        <f>IF(OR(Measures!AM470="Row Not Used",Measures!AM470="Decommissioning",ISBLANK(Measures!R470)),"",Measures!R470)</f>
        <v/>
      </c>
      <c r="M470" s="431" t="str">
        <f>IF(OR(Measures!AM470="Row Not Used",Measures!AM470="Fixtures Only",Measures!AM470="Decommissioning"),"",Measures!S470)</f>
        <v/>
      </c>
      <c r="N470" s="432" t="str">
        <f>IF(Measures!AM470="Row Not Used","",Measures!AF470)</f>
        <v/>
      </c>
      <c r="O470" s="426" t="str">
        <f>IF(Measures!AM470="Row Not Used","",Measures!C470)</f>
        <v/>
      </c>
      <c r="P470" s="133" t="str">
        <f t="shared" si="7"/>
        <v>No</v>
      </c>
    </row>
    <row r="471" spans="1:16" ht="75.599999999999994" customHeight="1" x14ac:dyDescent="0.3">
      <c r="A471" s="454">
        <f>Measures!A471</f>
        <v>464</v>
      </c>
      <c r="B471" s="425" t="str">
        <f>IF(Measures!AM471="Row Not Used","",IF(ISBLANK(Measures!V471),Measures!B471,_xlfn.CONCAT(Measures!B471," - ",Measures!V471)))</f>
        <v/>
      </c>
      <c r="C471" s="426" t="str">
        <f>IF(Measures!AM471="Row Not Used","",_xlfn.CONCAT(Measures!D471," - ",Measures!E471," - ",Measures!F471))</f>
        <v/>
      </c>
      <c r="D471" s="442" t="str">
        <f>IF(Measures!AM471="Row Not Used","",Measures!G471)</f>
        <v/>
      </c>
      <c r="E471" s="443" t="str">
        <f>IF(Measures!AM471="Row Not Used","",Measures!H471)</f>
        <v/>
      </c>
      <c r="F471" s="450" t="str">
        <f>IF(Measures!AM471="Row Not Used","",Measures!I471)</f>
        <v/>
      </c>
      <c r="G471" s="426" t="str">
        <f>IF(OR(Measures!AM471="Row Not Used",Measures!C471="Controls Only",Measures!C471="Decommissioning"),"",_xlfn.CONCAT(Measures!K471," - ",Measures!L471))</f>
        <v/>
      </c>
      <c r="H471" s="442" t="str">
        <f>IF(OR(Measures!AM471="Row Not Used",Measures!C471="Controls Only",Measures!C471="Decommissioning"),"",Measures!M471)</f>
        <v/>
      </c>
      <c r="I471" s="443" t="str">
        <f>IF(OR(Measures!AM471="Row Not Used",Measures!C471="Controls Only",Measures!C471="Decommissioning"),"",Measures!N471)</f>
        <v/>
      </c>
      <c r="J471" s="444" t="str">
        <f>IF(OR(Measures!AM471="Row Not Used",Measures!C471="Controls Only",Measures!C471="Decommissioning"),"",Measures!O471)</f>
        <v/>
      </c>
      <c r="K471" s="425" t="str">
        <f>IF(OR(Measures!AM471="Row Not Used",Measures!C471="Controls Only",Measures!C471="Decommissioning"),"",Measures!AS471)</f>
        <v/>
      </c>
      <c r="L471" s="426" t="str">
        <f>IF(OR(Measures!AM471="Row Not Used",Measures!AM471="Decommissioning",ISBLANK(Measures!R471)),"",Measures!R471)</f>
        <v/>
      </c>
      <c r="M471" s="431" t="str">
        <f>IF(OR(Measures!AM471="Row Not Used",Measures!AM471="Fixtures Only",Measures!AM471="Decommissioning"),"",Measures!S471)</f>
        <v/>
      </c>
      <c r="N471" s="432" t="str">
        <f>IF(Measures!AM471="Row Not Used","",Measures!AF471)</f>
        <v/>
      </c>
      <c r="O471" s="426" t="str">
        <f>IF(Measures!AM471="Row Not Used","",Measures!C471)</f>
        <v/>
      </c>
      <c r="P471" s="133" t="str">
        <f t="shared" si="7"/>
        <v>No</v>
      </c>
    </row>
    <row r="472" spans="1:16" ht="75.599999999999994" customHeight="1" x14ac:dyDescent="0.3">
      <c r="A472" s="454">
        <f>Measures!A472</f>
        <v>465</v>
      </c>
      <c r="B472" s="425" t="str">
        <f>IF(Measures!AM472="Row Not Used","",IF(ISBLANK(Measures!V472),Measures!B472,_xlfn.CONCAT(Measures!B472," - ",Measures!V472)))</f>
        <v/>
      </c>
      <c r="C472" s="426" t="str">
        <f>IF(Measures!AM472="Row Not Used","",_xlfn.CONCAT(Measures!D472," - ",Measures!E472," - ",Measures!F472))</f>
        <v/>
      </c>
      <c r="D472" s="442" t="str">
        <f>IF(Measures!AM472="Row Not Used","",Measures!G472)</f>
        <v/>
      </c>
      <c r="E472" s="443" t="str">
        <f>IF(Measures!AM472="Row Not Used","",Measures!H472)</f>
        <v/>
      </c>
      <c r="F472" s="450" t="str">
        <f>IF(Measures!AM472="Row Not Used","",Measures!I472)</f>
        <v/>
      </c>
      <c r="G472" s="426" t="str">
        <f>IF(OR(Measures!AM472="Row Not Used",Measures!C472="Controls Only",Measures!C472="Decommissioning"),"",_xlfn.CONCAT(Measures!K472," - ",Measures!L472))</f>
        <v/>
      </c>
      <c r="H472" s="442" t="str">
        <f>IF(OR(Measures!AM472="Row Not Used",Measures!C472="Controls Only",Measures!C472="Decommissioning"),"",Measures!M472)</f>
        <v/>
      </c>
      <c r="I472" s="443" t="str">
        <f>IF(OR(Measures!AM472="Row Not Used",Measures!C472="Controls Only",Measures!C472="Decommissioning"),"",Measures!N472)</f>
        <v/>
      </c>
      <c r="J472" s="444" t="str">
        <f>IF(OR(Measures!AM472="Row Not Used",Measures!C472="Controls Only",Measures!C472="Decommissioning"),"",Measures!O472)</f>
        <v/>
      </c>
      <c r="K472" s="425" t="str">
        <f>IF(OR(Measures!AM472="Row Not Used",Measures!C472="Controls Only",Measures!C472="Decommissioning"),"",Measures!AS472)</f>
        <v/>
      </c>
      <c r="L472" s="426" t="str">
        <f>IF(OR(Measures!AM472="Row Not Used",Measures!AM472="Decommissioning",ISBLANK(Measures!R472)),"",Measures!R472)</f>
        <v/>
      </c>
      <c r="M472" s="431" t="str">
        <f>IF(OR(Measures!AM472="Row Not Used",Measures!AM472="Fixtures Only",Measures!AM472="Decommissioning"),"",Measures!S472)</f>
        <v/>
      </c>
      <c r="N472" s="432" t="str">
        <f>IF(Measures!AM472="Row Not Used","",Measures!AF472)</f>
        <v/>
      </c>
      <c r="O472" s="426" t="str">
        <f>IF(Measures!AM472="Row Not Used","",Measures!C472)</f>
        <v/>
      </c>
      <c r="P472" s="133" t="str">
        <f t="shared" si="7"/>
        <v>No</v>
      </c>
    </row>
    <row r="473" spans="1:16" ht="75.599999999999994" customHeight="1" x14ac:dyDescent="0.3">
      <c r="A473" s="454">
        <f>Measures!A473</f>
        <v>466</v>
      </c>
      <c r="B473" s="425" t="str">
        <f>IF(Measures!AM473="Row Not Used","",IF(ISBLANK(Measures!V473),Measures!B473,_xlfn.CONCAT(Measures!B473," - ",Measures!V473)))</f>
        <v/>
      </c>
      <c r="C473" s="426" t="str">
        <f>IF(Measures!AM473="Row Not Used","",_xlfn.CONCAT(Measures!D473," - ",Measures!E473," - ",Measures!F473))</f>
        <v/>
      </c>
      <c r="D473" s="442" t="str">
        <f>IF(Measures!AM473="Row Not Used","",Measures!G473)</f>
        <v/>
      </c>
      <c r="E473" s="443" t="str">
        <f>IF(Measures!AM473="Row Not Used","",Measures!H473)</f>
        <v/>
      </c>
      <c r="F473" s="450" t="str">
        <f>IF(Measures!AM473="Row Not Used","",Measures!I473)</f>
        <v/>
      </c>
      <c r="G473" s="426" t="str">
        <f>IF(OR(Measures!AM473="Row Not Used",Measures!C473="Controls Only",Measures!C473="Decommissioning"),"",_xlfn.CONCAT(Measures!K473," - ",Measures!L473))</f>
        <v/>
      </c>
      <c r="H473" s="442" t="str">
        <f>IF(OR(Measures!AM473="Row Not Used",Measures!C473="Controls Only",Measures!C473="Decommissioning"),"",Measures!M473)</f>
        <v/>
      </c>
      <c r="I473" s="443" t="str">
        <f>IF(OR(Measures!AM473="Row Not Used",Measures!C473="Controls Only",Measures!C473="Decommissioning"),"",Measures!N473)</f>
        <v/>
      </c>
      <c r="J473" s="444" t="str">
        <f>IF(OR(Measures!AM473="Row Not Used",Measures!C473="Controls Only",Measures!C473="Decommissioning"),"",Measures!O473)</f>
        <v/>
      </c>
      <c r="K473" s="425" t="str">
        <f>IF(OR(Measures!AM473="Row Not Used",Measures!C473="Controls Only",Measures!C473="Decommissioning"),"",Measures!AS473)</f>
        <v/>
      </c>
      <c r="L473" s="426" t="str">
        <f>IF(OR(Measures!AM473="Row Not Used",Measures!AM473="Decommissioning",ISBLANK(Measures!R473)),"",Measures!R473)</f>
        <v/>
      </c>
      <c r="M473" s="431" t="str">
        <f>IF(OR(Measures!AM473="Row Not Used",Measures!AM473="Fixtures Only",Measures!AM473="Decommissioning"),"",Measures!S473)</f>
        <v/>
      </c>
      <c r="N473" s="432" t="str">
        <f>IF(Measures!AM473="Row Not Used","",Measures!AF473)</f>
        <v/>
      </c>
      <c r="O473" s="426" t="str">
        <f>IF(Measures!AM473="Row Not Used","",Measures!C473)</f>
        <v/>
      </c>
      <c r="P473" s="133" t="str">
        <f t="shared" si="7"/>
        <v>No</v>
      </c>
    </row>
    <row r="474" spans="1:16" ht="75.599999999999994" customHeight="1" x14ac:dyDescent="0.3">
      <c r="A474" s="454">
        <f>Measures!A474</f>
        <v>467</v>
      </c>
      <c r="B474" s="425" t="str">
        <f>IF(Measures!AM474="Row Not Used","",IF(ISBLANK(Measures!V474),Measures!B474,_xlfn.CONCAT(Measures!B474," - ",Measures!V474)))</f>
        <v/>
      </c>
      <c r="C474" s="426" t="str">
        <f>IF(Measures!AM474="Row Not Used","",_xlfn.CONCAT(Measures!D474," - ",Measures!E474," - ",Measures!F474))</f>
        <v/>
      </c>
      <c r="D474" s="442" t="str">
        <f>IF(Measures!AM474="Row Not Used","",Measures!G474)</f>
        <v/>
      </c>
      <c r="E474" s="443" t="str">
        <f>IF(Measures!AM474="Row Not Used","",Measures!H474)</f>
        <v/>
      </c>
      <c r="F474" s="450" t="str">
        <f>IF(Measures!AM474="Row Not Used","",Measures!I474)</f>
        <v/>
      </c>
      <c r="G474" s="426" t="str">
        <f>IF(OR(Measures!AM474="Row Not Used",Measures!C474="Controls Only",Measures!C474="Decommissioning"),"",_xlfn.CONCAT(Measures!K474," - ",Measures!L474))</f>
        <v/>
      </c>
      <c r="H474" s="442" t="str">
        <f>IF(OR(Measures!AM474="Row Not Used",Measures!C474="Controls Only",Measures!C474="Decommissioning"),"",Measures!M474)</f>
        <v/>
      </c>
      <c r="I474" s="443" t="str">
        <f>IF(OR(Measures!AM474="Row Not Used",Measures!C474="Controls Only",Measures!C474="Decommissioning"),"",Measures!N474)</f>
        <v/>
      </c>
      <c r="J474" s="444" t="str">
        <f>IF(OR(Measures!AM474="Row Not Used",Measures!C474="Controls Only",Measures!C474="Decommissioning"),"",Measures!O474)</f>
        <v/>
      </c>
      <c r="K474" s="425" t="str">
        <f>IF(OR(Measures!AM474="Row Not Used",Measures!C474="Controls Only",Measures!C474="Decommissioning"),"",Measures!AS474)</f>
        <v/>
      </c>
      <c r="L474" s="426" t="str">
        <f>IF(OR(Measures!AM474="Row Not Used",Measures!AM474="Decommissioning",ISBLANK(Measures!R474)),"",Measures!R474)</f>
        <v/>
      </c>
      <c r="M474" s="431" t="str">
        <f>IF(OR(Measures!AM474="Row Not Used",Measures!AM474="Fixtures Only",Measures!AM474="Decommissioning"),"",Measures!S474)</f>
        <v/>
      </c>
      <c r="N474" s="432" t="str">
        <f>IF(Measures!AM474="Row Not Used","",Measures!AF474)</f>
        <v/>
      </c>
      <c r="O474" s="426" t="str">
        <f>IF(Measures!AM474="Row Not Used","",Measures!C474)</f>
        <v/>
      </c>
      <c r="P474" s="133" t="str">
        <f t="shared" si="7"/>
        <v>No</v>
      </c>
    </row>
    <row r="475" spans="1:16" ht="75.599999999999994" customHeight="1" x14ac:dyDescent="0.3">
      <c r="A475" s="454">
        <f>Measures!A475</f>
        <v>468</v>
      </c>
      <c r="B475" s="425" t="str">
        <f>IF(Measures!AM475="Row Not Used","",IF(ISBLANK(Measures!V475),Measures!B475,_xlfn.CONCAT(Measures!B475," - ",Measures!V475)))</f>
        <v/>
      </c>
      <c r="C475" s="426" t="str">
        <f>IF(Measures!AM475="Row Not Used","",_xlfn.CONCAT(Measures!D475," - ",Measures!E475," - ",Measures!F475))</f>
        <v/>
      </c>
      <c r="D475" s="442" t="str">
        <f>IF(Measures!AM475="Row Not Used","",Measures!G475)</f>
        <v/>
      </c>
      <c r="E475" s="443" t="str">
        <f>IF(Measures!AM475="Row Not Used","",Measures!H475)</f>
        <v/>
      </c>
      <c r="F475" s="450" t="str">
        <f>IF(Measures!AM475="Row Not Used","",Measures!I475)</f>
        <v/>
      </c>
      <c r="G475" s="426" t="str">
        <f>IF(OR(Measures!AM475="Row Not Used",Measures!C475="Controls Only",Measures!C475="Decommissioning"),"",_xlfn.CONCAT(Measures!K475," - ",Measures!L475))</f>
        <v/>
      </c>
      <c r="H475" s="442" t="str">
        <f>IF(OR(Measures!AM475="Row Not Used",Measures!C475="Controls Only",Measures!C475="Decommissioning"),"",Measures!M475)</f>
        <v/>
      </c>
      <c r="I475" s="443" t="str">
        <f>IF(OR(Measures!AM475="Row Not Used",Measures!C475="Controls Only",Measures!C475="Decommissioning"),"",Measures!N475)</f>
        <v/>
      </c>
      <c r="J475" s="444" t="str">
        <f>IF(OR(Measures!AM475="Row Not Used",Measures!C475="Controls Only",Measures!C475="Decommissioning"),"",Measures!O475)</f>
        <v/>
      </c>
      <c r="K475" s="425" t="str">
        <f>IF(OR(Measures!AM475="Row Not Used",Measures!C475="Controls Only",Measures!C475="Decommissioning"),"",Measures!AS475)</f>
        <v/>
      </c>
      <c r="L475" s="426" t="str">
        <f>IF(OR(Measures!AM475="Row Not Used",Measures!AM475="Decommissioning",ISBLANK(Measures!R475)),"",Measures!R475)</f>
        <v/>
      </c>
      <c r="M475" s="431" t="str">
        <f>IF(OR(Measures!AM475="Row Not Used",Measures!AM475="Fixtures Only",Measures!AM475="Decommissioning"),"",Measures!S475)</f>
        <v/>
      </c>
      <c r="N475" s="432" t="str">
        <f>IF(Measures!AM475="Row Not Used","",Measures!AF475)</f>
        <v/>
      </c>
      <c r="O475" s="426" t="str">
        <f>IF(Measures!AM475="Row Not Used","",Measures!C475)</f>
        <v/>
      </c>
      <c r="P475" s="133" t="str">
        <f t="shared" si="7"/>
        <v>No</v>
      </c>
    </row>
    <row r="476" spans="1:16" ht="75.599999999999994" customHeight="1" x14ac:dyDescent="0.3">
      <c r="A476" s="454">
        <f>Measures!A476</f>
        <v>469</v>
      </c>
      <c r="B476" s="425" t="str">
        <f>IF(Measures!AM476="Row Not Used","",IF(ISBLANK(Measures!V476),Measures!B476,_xlfn.CONCAT(Measures!B476," - ",Measures!V476)))</f>
        <v/>
      </c>
      <c r="C476" s="426" t="str">
        <f>IF(Measures!AM476="Row Not Used","",_xlfn.CONCAT(Measures!D476," - ",Measures!E476," - ",Measures!F476))</f>
        <v/>
      </c>
      <c r="D476" s="442" t="str">
        <f>IF(Measures!AM476="Row Not Used","",Measures!G476)</f>
        <v/>
      </c>
      <c r="E476" s="443" t="str">
        <f>IF(Measures!AM476="Row Not Used","",Measures!H476)</f>
        <v/>
      </c>
      <c r="F476" s="450" t="str">
        <f>IF(Measures!AM476="Row Not Used","",Measures!I476)</f>
        <v/>
      </c>
      <c r="G476" s="426" t="str">
        <f>IF(OR(Measures!AM476="Row Not Used",Measures!C476="Controls Only",Measures!C476="Decommissioning"),"",_xlfn.CONCAT(Measures!K476," - ",Measures!L476))</f>
        <v/>
      </c>
      <c r="H476" s="442" t="str">
        <f>IF(OR(Measures!AM476="Row Not Used",Measures!C476="Controls Only",Measures!C476="Decommissioning"),"",Measures!M476)</f>
        <v/>
      </c>
      <c r="I476" s="443" t="str">
        <f>IF(OR(Measures!AM476="Row Not Used",Measures!C476="Controls Only",Measures!C476="Decommissioning"),"",Measures!N476)</f>
        <v/>
      </c>
      <c r="J476" s="444" t="str">
        <f>IF(OR(Measures!AM476="Row Not Used",Measures!C476="Controls Only",Measures!C476="Decommissioning"),"",Measures!O476)</f>
        <v/>
      </c>
      <c r="K476" s="425" t="str">
        <f>IF(OR(Measures!AM476="Row Not Used",Measures!C476="Controls Only",Measures!C476="Decommissioning"),"",Measures!AS476)</f>
        <v/>
      </c>
      <c r="L476" s="426" t="str">
        <f>IF(OR(Measures!AM476="Row Not Used",Measures!AM476="Decommissioning",ISBLANK(Measures!R476)),"",Measures!R476)</f>
        <v/>
      </c>
      <c r="M476" s="431" t="str">
        <f>IF(OR(Measures!AM476="Row Not Used",Measures!AM476="Fixtures Only",Measures!AM476="Decommissioning"),"",Measures!S476)</f>
        <v/>
      </c>
      <c r="N476" s="432" t="str">
        <f>IF(Measures!AM476="Row Not Used","",Measures!AF476)</f>
        <v/>
      </c>
      <c r="O476" s="426" t="str">
        <f>IF(Measures!AM476="Row Not Used","",Measures!C476)</f>
        <v/>
      </c>
      <c r="P476" s="133" t="str">
        <f t="shared" si="7"/>
        <v>No</v>
      </c>
    </row>
    <row r="477" spans="1:16" ht="75.599999999999994" customHeight="1" x14ac:dyDescent="0.3">
      <c r="A477" s="454">
        <f>Measures!A477</f>
        <v>470</v>
      </c>
      <c r="B477" s="425" t="str">
        <f>IF(Measures!AM477="Row Not Used","",IF(ISBLANK(Measures!V477),Measures!B477,_xlfn.CONCAT(Measures!B477," - ",Measures!V477)))</f>
        <v/>
      </c>
      <c r="C477" s="426" t="str">
        <f>IF(Measures!AM477="Row Not Used","",_xlfn.CONCAT(Measures!D477," - ",Measures!E477," - ",Measures!F477))</f>
        <v/>
      </c>
      <c r="D477" s="442" t="str">
        <f>IF(Measures!AM477="Row Not Used","",Measures!G477)</f>
        <v/>
      </c>
      <c r="E477" s="443" t="str">
        <f>IF(Measures!AM477="Row Not Used","",Measures!H477)</f>
        <v/>
      </c>
      <c r="F477" s="450" t="str">
        <f>IF(Measures!AM477="Row Not Used","",Measures!I477)</f>
        <v/>
      </c>
      <c r="G477" s="426" t="str">
        <f>IF(OR(Measures!AM477="Row Not Used",Measures!C477="Controls Only",Measures!C477="Decommissioning"),"",_xlfn.CONCAT(Measures!K477," - ",Measures!L477))</f>
        <v/>
      </c>
      <c r="H477" s="442" t="str">
        <f>IF(OR(Measures!AM477="Row Not Used",Measures!C477="Controls Only",Measures!C477="Decommissioning"),"",Measures!M477)</f>
        <v/>
      </c>
      <c r="I477" s="443" t="str">
        <f>IF(OR(Measures!AM477="Row Not Used",Measures!C477="Controls Only",Measures!C477="Decommissioning"),"",Measures!N477)</f>
        <v/>
      </c>
      <c r="J477" s="444" t="str">
        <f>IF(OR(Measures!AM477="Row Not Used",Measures!C477="Controls Only",Measures!C477="Decommissioning"),"",Measures!O477)</f>
        <v/>
      </c>
      <c r="K477" s="425" t="str">
        <f>IF(OR(Measures!AM477="Row Not Used",Measures!C477="Controls Only",Measures!C477="Decommissioning"),"",Measures!AS477)</f>
        <v/>
      </c>
      <c r="L477" s="426" t="str">
        <f>IF(OR(Measures!AM477="Row Not Used",Measures!AM477="Decommissioning",ISBLANK(Measures!R477)),"",Measures!R477)</f>
        <v/>
      </c>
      <c r="M477" s="431" t="str">
        <f>IF(OR(Measures!AM477="Row Not Used",Measures!AM477="Fixtures Only",Measures!AM477="Decommissioning"),"",Measures!S477)</f>
        <v/>
      </c>
      <c r="N477" s="432" t="str">
        <f>IF(Measures!AM477="Row Not Used","",Measures!AF477)</f>
        <v/>
      </c>
      <c r="O477" s="426" t="str">
        <f>IF(Measures!AM477="Row Not Used","",Measures!C477)</f>
        <v/>
      </c>
      <c r="P477" s="133" t="str">
        <f t="shared" si="7"/>
        <v>No</v>
      </c>
    </row>
    <row r="478" spans="1:16" ht="75.599999999999994" customHeight="1" x14ac:dyDescent="0.3">
      <c r="A478" s="454">
        <f>Measures!A478</f>
        <v>471</v>
      </c>
      <c r="B478" s="425" t="str">
        <f>IF(Measures!AM478="Row Not Used","",IF(ISBLANK(Measures!V478),Measures!B478,_xlfn.CONCAT(Measures!B478," - ",Measures!V478)))</f>
        <v/>
      </c>
      <c r="C478" s="426" t="str">
        <f>IF(Measures!AM478="Row Not Used","",_xlfn.CONCAT(Measures!D478," - ",Measures!E478," - ",Measures!F478))</f>
        <v/>
      </c>
      <c r="D478" s="442" t="str">
        <f>IF(Measures!AM478="Row Not Used","",Measures!G478)</f>
        <v/>
      </c>
      <c r="E478" s="443" t="str">
        <f>IF(Measures!AM478="Row Not Used","",Measures!H478)</f>
        <v/>
      </c>
      <c r="F478" s="450" t="str">
        <f>IF(Measures!AM478="Row Not Used","",Measures!I478)</f>
        <v/>
      </c>
      <c r="G478" s="426" t="str">
        <f>IF(OR(Measures!AM478="Row Not Used",Measures!C478="Controls Only",Measures!C478="Decommissioning"),"",_xlfn.CONCAT(Measures!K478," - ",Measures!L478))</f>
        <v/>
      </c>
      <c r="H478" s="442" t="str">
        <f>IF(OR(Measures!AM478="Row Not Used",Measures!C478="Controls Only",Measures!C478="Decommissioning"),"",Measures!M478)</f>
        <v/>
      </c>
      <c r="I478" s="443" t="str">
        <f>IF(OR(Measures!AM478="Row Not Used",Measures!C478="Controls Only",Measures!C478="Decommissioning"),"",Measures!N478)</f>
        <v/>
      </c>
      <c r="J478" s="444" t="str">
        <f>IF(OR(Measures!AM478="Row Not Used",Measures!C478="Controls Only",Measures!C478="Decommissioning"),"",Measures!O478)</f>
        <v/>
      </c>
      <c r="K478" s="425" t="str">
        <f>IF(OR(Measures!AM478="Row Not Used",Measures!C478="Controls Only",Measures!C478="Decommissioning"),"",Measures!AS478)</f>
        <v/>
      </c>
      <c r="L478" s="426" t="str">
        <f>IF(OR(Measures!AM478="Row Not Used",Measures!AM478="Decommissioning",ISBLANK(Measures!R478)),"",Measures!R478)</f>
        <v/>
      </c>
      <c r="M478" s="431" t="str">
        <f>IF(OR(Measures!AM478="Row Not Used",Measures!AM478="Fixtures Only",Measures!AM478="Decommissioning"),"",Measures!S478)</f>
        <v/>
      </c>
      <c r="N478" s="432" t="str">
        <f>IF(Measures!AM478="Row Not Used","",Measures!AF478)</f>
        <v/>
      </c>
      <c r="O478" s="426" t="str">
        <f>IF(Measures!AM478="Row Not Used","",Measures!C478)</f>
        <v/>
      </c>
      <c r="P478" s="133" t="str">
        <f t="shared" si="7"/>
        <v>No</v>
      </c>
    </row>
    <row r="479" spans="1:16" ht="75.599999999999994" customHeight="1" x14ac:dyDescent="0.3">
      <c r="A479" s="454">
        <f>Measures!A479</f>
        <v>472</v>
      </c>
      <c r="B479" s="425" t="str">
        <f>IF(Measures!AM479="Row Not Used","",IF(ISBLANK(Measures!V479),Measures!B479,_xlfn.CONCAT(Measures!B479," - ",Measures!V479)))</f>
        <v/>
      </c>
      <c r="C479" s="426" t="str">
        <f>IF(Measures!AM479="Row Not Used","",_xlfn.CONCAT(Measures!D479," - ",Measures!E479," - ",Measures!F479))</f>
        <v/>
      </c>
      <c r="D479" s="442" t="str">
        <f>IF(Measures!AM479="Row Not Used","",Measures!G479)</f>
        <v/>
      </c>
      <c r="E479" s="443" t="str">
        <f>IF(Measures!AM479="Row Not Used","",Measures!H479)</f>
        <v/>
      </c>
      <c r="F479" s="450" t="str">
        <f>IF(Measures!AM479="Row Not Used","",Measures!I479)</f>
        <v/>
      </c>
      <c r="G479" s="426" t="str">
        <f>IF(OR(Measures!AM479="Row Not Used",Measures!C479="Controls Only",Measures!C479="Decommissioning"),"",_xlfn.CONCAT(Measures!K479," - ",Measures!L479))</f>
        <v/>
      </c>
      <c r="H479" s="442" t="str">
        <f>IF(OR(Measures!AM479="Row Not Used",Measures!C479="Controls Only",Measures!C479="Decommissioning"),"",Measures!M479)</f>
        <v/>
      </c>
      <c r="I479" s="443" t="str">
        <f>IF(OR(Measures!AM479="Row Not Used",Measures!C479="Controls Only",Measures!C479="Decommissioning"),"",Measures!N479)</f>
        <v/>
      </c>
      <c r="J479" s="444" t="str">
        <f>IF(OR(Measures!AM479="Row Not Used",Measures!C479="Controls Only",Measures!C479="Decommissioning"),"",Measures!O479)</f>
        <v/>
      </c>
      <c r="K479" s="425" t="str">
        <f>IF(OR(Measures!AM479="Row Not Used",Measures!C479="Controls Only",Measures!C479="Decommissioning"),"",Measures!AS479)</f>
        <v/>
      </c>
      <c r="L479" s="426" t="str">
        <f>IF(OR(Measures!AM479="Row Not Used",Measures!AM479="Decommissioning",ISBLANK(Measures!R479)),"",Measures!R479)</f>
        <v/>
      </c>
      <c r="M479" s="431" t="str">
        <f>IF(OR(Measures!AM479="Row Not Used",Measures!AM479="Fixtures Only",Measures!AM479="Decommissioning"),"",Measures!S479)</f>
        <v/>
      </c>
      <c r="N479" s="432" t="str">
        <f>IF(Measures!AM479="Row Not Used","",Measures!AF479)</f>
        <v/>
      </c>
      <c r="O479" s="426" t="str">
        <f>IF(Measures!AM479="Row Not Used","",Measures!C479)</f>
        <v/>
      </c>
      <c r="P479" s="133" t="str">
        <f t="shared" si="7"/>
        <v>No</v>
      </c>
    </row>
    <row r="480" spans="1:16" ht="75.599999999999994" customHeight="1" x14ac:dyDescent="0.3">
      <c r="A480" s="454">
        <f>Measures!A480</f>
        <v>473</v>
      </c>
      <c r="B480" s="425" t="str">
        <f>IF(Measures!AM480="Row Not Used","",IF(ISBLANK(Measures!V480),Measures!B480,_xlfn.CONCAT(Measures!B480," - ",Measures!V480)))</f>
        <v/>
      </c>
      <c r="C480" s="426" t="str">
        <f>IF(Measures!AM480="Row Not Used","",_xlfn.CONCAT(Measures!D480," - ",Measures!E480," - ",Measures!F480))</f>
        <v/>
      </c>
      <c r="D480" s="442" t="str">
        <f>IF(Measures!AM480="Row Not Used","",Measures!G480)</f>
        <v/>
      </c>
      <c r="E480" s="443" t="str">
        <f>IF(Measures!AM480="Row Not Used","",Measures!H480)</f>
        <v/>
      </c>
      <c r="F480" s="450" t="str">
        <f>IF(Measures!AM480="Row Not Used","",Measures!I480)</f>
        <v/>
      </c>
      <c r="G480" s="426" t="str">
        <f>IF(OR(Measures!AM480="Row Not Used",Measures!C480="Controls Only",Measures!C480="Decommissioning"),"",_xlfn.CONCAT(Measures!K480," - ",Measures!L480))</f>
        <v/>
      </c>
      <c r="H480" s="442" t="str">
        <f>IF(OR(Measures!AM480="Row Not Used",Measures!C480="Controls Only",Measures!C480="Decommissioning"),"",Measures!M480)</f>
        <v/>
      </c>
      <c r="I480" s="443" t="str">
        <f>IF(OR(Measures!AM480="Row Not Used",Measures!C480="Controls Only",Measures!C480="Decommissioning"),"",Measures!N480)</f>
        <v/>
      </c>
      <c r="J480" s="444" t="str">
        <f>IF(OR(Measures!AM480="Row Not Used",Measures!C480="Controls Only",Measures!C480="Decommissioning"),"",Measures!O480)</f>
        <v/>
      </c>
      <c r="K480" s="425" t="str">
        <f>IF(OR(Measures!AM480="Row Not Used",Measures!C480="Controls Only",Measures!C480="Decommissioning"),"",Measures!AS480)</f>
        <v/>
      </c>
      <c r="L480" s="426" t="str">
        <f>IF(OR(Measures!AM480="Row Not Used",Measures!AM480="Decommissioning",ISBLANK(Measures!R480)),"",Measures!R480)</f>
        <v/>
      </c>
      <c r="M480" s="431" t="str">
        <f>IF(OR(Measures!AM480="Row Not Used",Measures!AM480="Fixtures Only",Measures!AM480="Decommissioning"),"",Measures!S480)</f>
        <v/>
      </c>
      <c r="N480" s="432" t="str">
        <f>IF(Measures!AM480="Row Not Used","",Measures!AF480)</f>
        <v/>
      </c>
      <c r="O480" s="426" t="str">
        <f>IF(Measures!AM480="Row Not Used","",Measures!C480)</f>
        <v/>
      </c>
      <c r="P480" s="133" t="str">
        <f t="shared" si="7"/>
        <v>No</v>
      </c>
    </row>
    <row r="481" spans="1:16" ht="75.599999999999994" customHeight="1" x14ac:dyDescent="0.3">
      <c r="A481" s="454">
        <f>Measures!A481</f>
        <v>474</v>
      </c>
      <c r="B481" s="425" t="str">
        <f>IF(Measures!AM481="Row Not Used","",IF(ISBLANK(Measures!V481),Measures!B481,_xlfn.CONCAT(Measures!B481," - ",Measures!V481)))</f>
        <v/>
      </c>
      <c r="C481" s="426" t="str">
        <f>IF(Measures!AM481="Row Not Used","",_xlfn.CONCAT(Measures!D481," - ",Measures!E481," - ",Measures!F481))</f>
        <v/>
      </c>
      <c r="D481" s="442" t="str">
        <f>IF(Measures!AM481="Row Not Used","",Measures!G481)</f>
        <v/>
      </c>
      <c r="E481" s="443" t="str">
        <f>IF(Measures!AM481="Row Not Used","",Measures!H481)</f>
        <v/>
      </c>
      <c r="F481" s="450" t="str">
        <f>IF(Measures!AM481="Row Not Used","",Measures!I481)</f>
        <v/>
      </c>
      <c r="G481" s="426" t="str">
        <f>IF(OR(Measures!AM481="Row Not Used",Measures!C481="Controls Only",Measures!C481="Decommissioning"),"",_xlfn.CONCAT(Measures!K481," - ",Measures!L481))</f>
        <v/>
      </c>
      <c r="H481" s="442" t="str">
        <f>IF(OR(Measures!AM481="Row Not Used",Measures!C481="Controls Only",Measures!C481="Decommissioning"),"",Measures!M481)</f>
        <v/>
      </c>
      <c r="I481" s="443" t="str">
        <f>IF(OR(Measures!AM481="Row Not Used",Measures!C481="Controls Only",Measures!C481="Decommissioning"),"",Measures!N481)</f>
        <v/>
      </c>
      <c r="J481" s="444" t="str">
        <f>IF(OR(Measures!AM481="Row Not Used",Measures!C481="Controls Only",Measures!C481="Decommissioning"),"",Measures!O481)</f>
        <v/>
      </c>
      <c r="K481" s="425" t="str">
        <f>IF(OR(Measures!AM481="Row Not Used",Measures!C481="Controls Only",Measures!C481="Decommissioning"),"",Measures!AS481)</f>
        <v/>
      </c>
      <c r="L481" s="426" t="str">
        <f>IF(OR(Measures!AM481="Row Not Used",Measures!AM481="Decommissioning",ISBLANK(Measures!R481)),"",Measures!R481)</f>
        <v/>
      </c>
      <c r="M481" s="431" t="str">
        <f>IF(OR(Measures!AM481="Row Not Used",Measures!AM481="Fixtures Only",Measures!AM481="Decommissioning"),"",Measures!S481)</f>
        <v/>
      </c>
      <c r="N481" s="432" t="str">
        <f>IF(Measures!AM481="Row Not Used","",Measures!AF481)</f>
        <v/>
      </c>
      <c r="O481" s="426" t="str">
        <f>IF(Measures!AM481="Row Not Used","",Measures!C481)</f>
        <v/>
      </c>
      <c r="P481" s="133" t="str">
        <f t="shared" si="7"/>
        <v>No</v>
      </c>
    </row>
    <row r="482" spans="1:16" ht="75.599999999999994" customHeight="1" x14ac:dyDescent="0.3">
      <c r="A482" s="454">
        <f>Measures!A482</f>
        <v>475</v>
      </c>
      <c r="B482" s="425" t="str">
        <f>IF(Measures!AM482="Row Not Used","",IF(ISBLANK(Measures!V482),Measures!B482,_xlfn.CONCAT(Measures!B482," - ",Measures!V482)))</f>
        <v/>
      </c>
      <c r="C482" s="426" t="str">
        <f>IF(Measures!AM482="Row Not Used","",_xlfn.CONCAT(Measures!D482," - ",Measures!E482," - ",Measures!F482))</f>
        <v/>
      </c>
      <c r="D482" s="442" t="str">
        <f>IF(Measures!AM482="Row Not Used","",Measures!G482)</f>
        <v/>
      </c>
      <c r="E482" s="443" t="str">
        <f>IF(Measures!AM482="Row Not Used","",Measures!H482)</f>
        <v/>
      </c>
      <c r="F482" s="450" t="str">
        <f>IF(Measures!AM482="Row Not Used","",Measures!I482)</f>
        <v/>
      </c>
      <c r="G482" s="426" t="str">
        <f>IF(OR(Measures!AM482="Row Not Used",Measures!C482="Controls Only",Measures!C482="Decommissioning"),"",_xlfn.CONCAT(Measures!K482," - ",Measures!L482))</f>
        <v/>
      </c>
      <c r="H482" s="442" t="str">
        <f>IF(OR(Measures!AM482="Row Not Used",Measures!C482="Controls Only",Measures!C482="Decommissioning"),"",Measures!M482)</f>
        <v/>
      </c>
      <c r="I482" s="443" t="str">
        <f>IF(OR(Measures!AM482="Row Not Used",Measures!C482="Controls Only",Measures!C482="Decommissioning"),"",Measures!N482)</f>
        <v/>
      </c>
      <c r="J482" s="444" t="str">
        <f>IF(OR(Measures!AM482="Row Not Used",Measures!C482="Controls Only",Measures!C482="Decommissioning"),"",Measures!O482)</f>
        <v/>
      </c>
      <c r="K482" s="425" t="str">
        <f>IF(OR(Measures!AM482="Row Not Used",Measures!C482="Controls Only",Measures!C482="Decommissioning"),"",Measures!AS482)</f>
        <v/>
      </c>
      <c r="L482" s="426" t="str">
        <f>IF(OR(Measures!AM482="Row Not Used",Measures!AM482="Decommissioning",ISBLANK(Measures!R482)),"",Measures!R482)</f>
        <v/>
      </c>
      <c r="M482" s="431" t="str">
        <f>IF(OR(Measures!AM482="Row Not Used",Measures!AM482="Fixtures Only",Measures!AM482="Decommissioning"),"",Measures!S482)</f>
        <v/>
      </c>
      <c r="N482" s="432" t="str">
        <f>IF(Measures!AM482="Row Not Used","",Measures!AF482)</f>
        <v/>
      </c>
      <c r="O482" s="426" t="str">
        <f>IF(Measures!AM482="Row Not Used","",Measures!C482)</f>
        <v/>
      </c>
      <c r="P482" s="133" t="str">
        <f t="shared" si="7"/>
        <v>No</v>
      </c>
    </row>
    <row r="483" spans="1:16" ht="75.599999999999994" customHeight="1" x14ac:dyDescent="0.3">
      <c r="A483" s="454">
        <f>Measures!A483</f>
        <v>476</v>
      </c>
      <c r="B483" s="425" t="str">
        <f>IF(Measures!AM483="Row Not Used","",IF(ISBLANK(Measures!V483),Measures!B483,_xlfn.CONCAT(Measures!B483," - ",Measures!V483)))</f>
        <v/>
      </c>
      <c r="C483" s="426" t="str">
        <f>IF(Measures!AM483="Row Not Used","",_xlfn.CONCAT(Measures!D483," - ",Measures!E483," - ",Measures!F483))</f>
        <v/>
      </c>
      <c r="D483" s="442" t="str">
        <f>IF(Measures!AM483="Row Not Used","",Measures!G483)</f>
        <v/>
      </c>
      <c r="E483" s="443" t="str">
        <f>IF(Measures!AM483="Row Not Used","",Measures!H483)</f>
        <v/>
      </c>
      <c r="F483" s="450" t="str">
        <f>IF(Measures!AM483="Row Not Used","",Measures!I483)</f>
        <v/>
      </c>
      <c r="G483" s="426" t="str">
        <f>IF(OR(Measures!AM483="Row Not Used",Measures!C483="Controls Only",Measures!C483="Decommissioning"),"",_xlfn.CONCAT(Measures!K483," - ",Measures!L483))</f>
        <v/>
      </c>
      <c r="H483" s="442" t="str">
        <f>IF(OR(Measures!AM483="Row Not Used",Measures!C483="Controls Only",Measures!C483="Decommissioning"),"",Measures!M483)</f>
        <v/>
      </c>
      <c r="I483" s="443" t="str">
        <f>IF(OR(Measures!AM483="Row Not Used",Measures!C483="Controls Only",Measures!C483="Decommissioning"),"",Measures!N483)</f>
        <v/>
      </c>
      <c r="J483" s="444" t="str">
        <f>IF(OR(Measures!AM483="Row Not Used",Measures!C483="Controls Only",Measures!C483="Decommissioning"),"",Measures!O483)</f>
        <v/>
      </c>
      <c r="K483" s="425" t="str">
        <f>IF(OR(Measures!AM483="Row Not Used",Measures!C483="Controls Only",Measures!C483="Decommissioning"),"",Measures!AS483)</f>
        <v/>
      </c>
      <c r="L483" s="426" t="str">
        <f>IF(OR(Measures!AM483="Row Not Used",Measures!AM483="Decommissioning",ISBLANK(Measures!R483)),"",Measures!R483)</f>
        <v/>
      </c>
      <c r="M483" s="431" t="str">
        <f>IF(OR(Measures!AM483="Row Not Used",Measures!AM483="Fixtures Only",Measures!AM483="Decommissioning"),"",Measures!S483)</f>
        <v/>
      </c>
      <c r="N483" s="432" t="str">
        <f>IF(Measures!AM483="Row Not Used","",Measures!AF483)</f>
        <v/>
      </c>
      <c r="O483" s="426" t="str">
        <f>IF(Measures!AM483="Row Not Used","",Measures!C483)</f>
        <v/>
      </c>
      <c r="P483" s="133" t="str">
        <f t="shared" si="7"/>
        <v>No</v>
      </c>
    </row>
    <row r="484" spans="1:16" ht="75.599999999999994" customHeight="1" x14ac:dyDescent="0.3">
      <c r="A484" s="454">
        <f>Measures!A484</f>
        <v>477</v>
      </c>
      <c r="B484" s="425" t="str">
        <f>IF(Measures!AM484="Row Not Used","",IF(ISBLANK(Measures!V484),Measures!B484,_xlfn.CONCAT(Measures!B484," - ",Measures!V484)))</f>
        <v/>
      </c>
      <c r="C484" s="426" t="str">
        <f>IF(Measures!AM484="Row Not Used","",_xlfn.CONCAT(Measures!D484," - ",Measures!E484," - ",Measures!F484))</f>
        <v/>
      </c>
      <c r="D484" s="442" t="str">
        <f>IF(Measures!AM484="Row Not Used","",Measures!G484)</f>
        <v/>
      </c>
      <c r="E484" s="443" t="str">
        <f>IF(Measures!AM484="Row Not Used","",Measures!H484)</f>
        <v/>
      </c>
      <c r="F484" s="450" t="str">
        <f>IF(Measures!AM484="Row Not Used","",Measures!I484)</f>
        <v/>
      </c>
      <c r="G484" s="426" t="str">
        <f>IF(OR(Measures!AM484="Row Not Used",Measures!C484="Controls Only",Measures!C484="Decommissioning"),"",_xlfn.CONCAT(Measures!K484," - ",Measures!L484))</f>
        <v/>
      </c>
      <c r="H484" s="442" t="str">
        <f>IF(OR(Measures!AM484="Row Not Used",Measures!C484="Controls Only",Measures!C484="Decommissioning"),"",Measures!M484)</f>
        <v/>
      </c>
      <c r="I484" s="443" t="str">
        <f>IF(OR(Measures!AM484="Row Not Used",Measures!C484="Controls Only",Measures!C484="Decommissioning"),"",Measures!N484)</f>
        <v/>
      </c>
      <c r="J484" s="444" t="str">
        <f>IF(OR(Measures!AM484="Row Not Used",Measures!C484="Controls Only",Measures!C484="Decommissioning"),"",Measures!O484)</f>
        <v/>
      </c>
      <c r="K484" s="425" t="str">
        <f>IF(OR(Measures!AM484="Row Not Used",Measures!C484="Controls Only",Measures!C484="Decommissioning"),"",Measures!AS484)</f>
        <v/>
      </c>
      <c r="L484" s="426" t="str">
        <f>IF(OR(Measures!AM484="Row Not Used",Measures!AM484="Decommissioning",ISBLANK(Measures!R484)),"",Measures!R484)</f>
        <v/>
      </c>
      <c r="M484" s="431" t="str">
        <f>IF(OR(Measures!AM484="Row Not Used",Measures!AM484="Fixtures Only",Measures!AM484="Decommissioning"),"",Measures!S484)</f>
        <v/>
      </c>
      <c r="N484" s="432" t="str">
        <f>IF(Measures!AM484="Row Not Used","",Measures!AF484)</f>
        <v/>
      </c>
      <c r="O484" s="426" t="str">
        <f>IF(Measures!AM484="Row Not Used","",Measures!C484)</f>
        <v/>
      </c>
      <c r="P484" s="133" t="str">
        <f t="shared" si="7"/>
        <v>No</v>
      </c>
    </row>
    <row r="485" spans="1:16" ht="75.599999999999994" customHeight="1" x14ac:dyDescent="0.3">
      <c r="A485" s="454">
        <f>Measures!A485</f>
        <v>478</v>
      </c>
      <c r="B485" s="425" t="str">
        <f>IF(Measures!AM485="Row Not Used","",IF(ISBLANK(Measures!V485),Measures!B485,_xlfn.CONCAT(Measures!B485," - ",Measures!V485)))</f>
        <v/>
      </c>
      <c r="C485" s="426" t="str">
        <f>IF(Measures!AM485="Row Not Used","",_xlfn.CONCAT(Measures!D485," - ",Measures!E485," - ",Measures!F485))</f>
        <v/>
      </c>
      <c r="D485" s="442" t="str">
        <f>IF(Measures!AM485="Row Not Used","",Measures!G485)</f>
        <v/>
      </c>
      <c r="E485" s="443" t="str">
        <f>IF(Measures!AM485="Row Not Used","",Measures!H485)</f>
        <v/>
      </c>
      <c r="F485" s="450" t="str">
        <f>IF(Measures!AM485="Row Not Used","",Measures!I485)</f>
        <v/>
      </c>
      <c r="G485" s="426" t="str">
        <f>IF(OR(Measures!AM485="Row Not Used",Measures!C485="Controls Only",Measures!C485="Decommissioning"),"",_xlfn.CONCAT(Measures!K485," - ",Measures!L485))</f>
        <v/>
      </c>
      <c r="H485" s="442" t="str">
        <f>IF(OR(Measures!AM485="Row Not Used",Measures!C485="Controls Only",Measures!C485="Decommissioning"),"",Measures!M485)</f>
        <v/>
      </c>
      <c r="I485" s="443" t="str">
        <f>IF(OR(Measures!AM485="Row Not Used",Measures!C485="Controls Only",Measures!C485="Decommissioning"),"",Measures!N485)</f>
        <v/>
      </c>
      <c r="J485" s="444" t="str">
        <f>IF(OR(Measures!AM485="Row Not Used",Measures!C485="Controls Only",Measures!C485="Decommissioning"),"",Measures!O485)</f>
        <v/>
      </c>
      <c r="K485" s="425" t="str">
        <f>IF(OR(Measures!AM485="Row Not Used",Measures!C485="Controls Only",Measures!C485="Decommissioning"),"",Measures!AS485)</f>
        <v/>
      </c>
      <c r="L485" s="426" t="str">
        <f>IF(OR(Measures!AM485="Row Not Used",Measures!AM485="Decommissioning",ISBLANK(Measures!R485)),"",Measures!R485)</f>
        <v/>
      </c>
      <c r="M485" s="431" t="str">
        <f>IF(OR(Measures!AM485="Row Not Used",Measures!AM485="Fixtures Only",Measures!AM485="Decommissioning"),"",Measures!S485)</f>
        <v/>
      </c>
      <c r="N485" s="432" t="str">
        <f>IF(Measures!AM485="Row Not Used","",Measures!AF485)</f>
        <v/>
      </c>
      <c r="O485" s="426" t="str">
        <f>IF(Measures!AM485="Row Not Used","",Measures!C485)</f>
        <v/>
      </c>
      <c r="P485" s="133" t="str">
        <f t="shared" si="7"/>
        <v>No</v>
      </c>
    </row>
    <row r="486" spans="1:16" ht="75.599999999999994" customHeight="1" x14ac:dyDescent="0.3">
      <c r="A486" s="454">
        <f>Measures!A486</f>
        <v>479</v>
      </c>
      <c r="B486" s="425" t="str">
        <f>IF(Measures!AM486="Row Not Used","",IF(ISBLANK(Measures!V486),Measures!B486,_xlfn.CONCAT(Measures!B486," - ",Measures!V486)))</f>
        <v/>
      </c>
      <c r="C486" s="426" t="str">
        <f>IF(Measures!AM486="Row Not Used","",_xlfn.CONCAT(Measures!D486," - ",Measures!E486," - ",Measures!F486))</f>
        <v/>
      </c>
      <c r="D486" s="442" t="str">
        <f>IF(Measures!AM486="Row Not Used","",Measures!G486)</f>
        <v/>
      </c>
      <c r="E486" s="443" t="str">
        <f>IF(Measures!AM486="Row Not Used","",Measures!H486)</f>
        <v/>
      </c>
      <c r="F486" s="450" t="str">
        <f>IF(Measures!AM486="Row Not Used","",Measures!I486)</f>
        <v/>
      </c>
      <c r="G486" s="426" t="str">
        <f>IF(OR(Measures!AM486="Row Not Used",Measures!C486="Controls Only",Measures!C486="Decommissioning"),"",_xlfn.CONCAT(Measures!K486," - ",Measures!L486))</f>
        <v/>
      </c>
      <c r="H486" s="442" t="str">
        <f>IF(OR(Measures!AM486="Row Not Used",Measures!C486="Controls Only",Measures!C486="Decommissioning"),"",Measures!M486)</f>
        <v/>
      </c>
      <c r="I486" s="443" t="str">
        <f>IF(OR(Measures!AM486="Row Not Used",Measures!C486="Controls Only",Measures!C486="Decommissioning"),"",Measures!N486)</f>
        <v/>
      </c>
      <c r="J486" s="444" t="str">
        <f>IF(OR(Measures!AM486="Row Not Used",Measures!C486="Controls Only",Measures!C486="Decommissioning"),"",Measures!O486)</f>
        <v/>
      </c>
      <c r="K486" s="425" t="str">
        <f>IF(OR(Measures!AM486="Row Not Used",Measures!C486="Controls Only",Measures!C486="Decommissioning"),"",Measures!AS486)</f>
        <v/>
      </c>
      <c r="L486" s="426" t="str">
        <f>IF(OR(Measures!AM486="Row Not Used",Measures!AM486="Decommissioning",ISBLANK(Measures!R486)),"",Measures!R486)</f>
        <v/>
      </c>
      <c r="M486" s="431" t="str">
        <f>IF(OR(Measures!AM486="Row Not Used",Measures!AM486="Fixtures Only",Measures!AM486="Decommissioning"),"",Measures!S486)</f>
        <v/>
      </c>
      <c r="N486" s="432" t="str">
        <f>IF(Measures!AM486="Row Not Used","",Measures!AF486)</f>
        <v/>
      </c>
      <c r="O486" s="426" t="str">
        <f>IF(Measures!AM486="Row Not Used","",Measures!C486)</f>
        <v/>
      </c>
      <c r="P486" s="133" t="str">
        <f t="shared" si="7"/>
        <v>No</v>
      </c>
    </row>
    <row r="487" spans="1:16" ht="75.599999999999994" customHeight="1" x14ac:dyDescent="0.3">
      <c r="A487" s="454">
        <f>Measures!A487</f>
        <v>480</v>
      </c>
      <c r="B487" s="425" t="str">
        <f>IF(Measures!AM487="Row Not Used","",IF(ISBLANK(Measures!V487),Measures!B487,_xlfn.CONCAT(Measures!B487," - ",Measures!V487)))</f>
        <v/>
      </c>
      <c r="C487" s="426" t="str">
        <f>IF(Measures!AM487="Row Not Used","",_xlfn.CONCAT(Measures!D487," - ",Measures!E487," - ",Measures!F487))</f>
        <v/>
      </c>
      <c r="D487" s="442" t="str">
        <f>IF(Measures!AM487="Row Not Used","",Measures!G487)</f>
        <v/>
      </c>
      <c r="E487" s="443" t="str">
        <f>IF(Measures!AM487="Row Not Used","",Measures!H487)</f>
        <v/>
      </c>
      <c r="F487" s="450" t="str">
        <f>IF(Measures!AM487="Row Not Used","",Measures!I487)</f>
        <v/>
      </c>
      <c r="G487" s="426" t="str">
        <f>IF(OR(Measures!AM487="Row Not Used",Measures!C487="Controls Only",Measures!C487="Decommissioning"),"",_xlfn.CONCAT(Measures!K487," - ",Measures!L487))</f>
        <v/>
      </c>
      <c r="H487" s="442" t="str">
        <f>IF(OR(Measures!AM487="Row Not Used",Measures!C487="Controls Only",Measures!C487="Decommissioning"),"",Measures!M487)</f>
        <v/>
      </c>
      <c r="I487" s="443" t="str">
        <f>IF(OR(Measures!AM487="Row Not Used",Measures!C487="Controls Only",Measures!C487="Decommissioning"),"",Measures!N487)</f>
        <v/>
      </c>
      <c r="J487" s="444" t="str">
        <f>IF(OR(Measures!AM487="Row Not Used",Measures!C487="Controls Only",Measures!C487="Decommissioning"),"",Measures!O487)</f>
        <v/>
      </c>
      <c r="K487" s="425" t="str">
        <f>IF(OR(Measures!AM487="Row Not Used",Measures!C487="Controls Only",Measures!C487="Decommissioning"),"",Measures!AS487)</f>
        <v/>
      </c>
      <c r="L487" s="426" t="str">
        <f>IF(OR(Measures!AM487="Row Not Used",Measures!AM487="Decommissioning",ISBLANK(Measures!R487)),"",Measures!R487)</f>
        <v/>
      </c>
      <c r="M487" s="431" t="str">
        <f>IF(OR(Measures!AM487="Row Not Used",Measures!AM487="Fixtures Only",Measures!AM487="Decommissioning"),"",Measures!S487)</f>
        <v/>
      </c>
      <c r="N487" s="432" t="str">
        <f>IF(Measures!AM487="Row Not Used","",Measures!AF487)</f>
        <v/>
      </c>
      <c r="O487" s="426" t="str">
        <f>IF(Measures!AM487="Row Not Used","",Measures!C487)</f>
        <v/>
      </c>
      <c r="P487" s="133" t="str">
        <f t="shared" si="7"/>
        <v>No</v>
      </c>
    </row>
    <row r="488" spans="1:16" ht="75.599999999999994" customHeight="1" x14ac:dyDescent="0.3">
      <c r="A488" s="454">
        <f>Measures!A488</f>
        <v>481</v>
      </c>
      <c r="B488" s="425" t="str">
        <f>IF(Measures!AM488="Row Not Used","",IF(ISBLANK(Measures!V488),Measures!B488,_xlfn.CONCAT(Measures!B488," - ",Measures!V488)))</f>
        <v/>
      </c>
      <c r="C488" s="426" t="str">
        <f>IF(Measures!AM488="Row Not Used","",_xlfn.CONCAT(Measures!D488," - ",Measures!E488," - ",Measures!F488))</f>
        <v/>
      </c>
      <c r="D488" s="442" t="str">
        <f>IF(Measures!AM488="Row Not Used","",Measures!G488)</f>
        <v/>
      </c>
      <c r="E488" s="443" t="str">
        <f>IF(Measures!AM488="Row Not Used","",Measures!H488)</f>
        <v/>
      </c>
      <c r="F488" s="450" t="str">
        <f>IF(Measures!AM488="Row Not Used","",Measures!I488)</f>
        <v/>
      </c>
      <c r="G488" s="426" t="str">
        <f>IF(OR(Measures!AM488="Row Not Used",Measures!C488="Controls Only",Measures!C488="Decommissioning"),"",_xlfn.CONCAT(Measures!K488," - ",Measures!L488))</f>
        <v/>
      </c>
      <c r="H488" s="442" t="str">
        <f>IF(OR(Measures!AM488="Row Not Used",Measures!C488="Controls Only",Measures!C488="Decommissioning"),"",Measures!M488)</f>
        <v/>
      </c>
      <c r="I488" s="443" t="str">
        <f>IF(OR(Measures!AM488="Row Not Used",Measures!C488="Controls Only",Measures!C488="Decommissioning"),"",Measures!N488)</f>
        <v/>
      </c>
      <c r="J488" s="444" t="str">
        <f>IF(OR(Measures!AM488="Row Not Used",Measures!C488="Controls Only",Measures!C488="Decommissioning"),"",Measures!O488)</f>
        <v/>
      </c>
      <c r="K488" s="425" t="str">
        <f>IF(OR(Measures!AM488="Row Not Used",Measures!C488="Controls Only",Measures!C488="Decommissioning"),"",Measures!AS488)</f>
        <v/>
      </c>
      <c r="L488" s="426" t="str">
        <f>IF(OR(Measures!AM488="Row Not Used",Measures!AM488="Decommissioning",ISBLANK(Measures!R488)),"",Measures!R488)</f>
        <v/>
      </c>
      <c r="M488" s="431" t="str">
        <f>IF(OR(Measures!AM488="Row Not Used",Measures!AM488="Fixtures Only",Measures!AM488="Decommissioning"),"",Measures!S488)</f>
        <v/>
      </c>
      <c r="N488" s="432" t="str">
        <f>IF(Measures!AM488="Row Not Used","",Measures!AF488)</f>
        <v/>
      </c>
      <c r="O488" s="426" t="str">
        <f>IF(Measures!AM488="Row Not Used","",Measures!C488)</f>
        <v/>
      </c>
      <c r="P488" s="133" t="str">
        <f t="shared" si="7"/>
        <v>No</v>
      </c>
    </row>
    <row r="489" spans="1:16" ht="75.599999999999994" customHeight="1" x14ac:dyDescent="0.3">
      <c r="A489" s="454">
        <f>Measures!A489</f>
        <v>482</v>
      </c>
      <c r="B489" s="425" t="str">
        <f>IF(Measures!AM489="Row Not Used","",IF(ISBLANK(Measures!V489),Measures!B489,_xlfn.CONCAT(Measures!B489," - ",Measures!V489)))</f>
        <v/>
      </c>
      <c r="C489" s="426" t="str">
        <f>IF(Measures!AM489="Row Not Used","",_xlfn.CONCAT(Measures!D489," - ",Measures!E489," - ",Measures!F489))</f>
        <v/>
      </c>
      <c r="D489" s="442" t="str">
        <f>IF(Measures!AM489="Row Not Used","",Measures!G489)</f>
        <v/>
      </c>
      <c r="E489" s="443" t="str">
        <f>IF(Measures!AM489="Row Not Used","",Measures!H489)</f>
        <v/>
      </c>
      <c r="F489" s="450" t="str">
        <f>IF(Measures!AM489="Row Not Used","",Measures!I489)</f>
        <v/>
      </c>
      <c r="G489" s="426" t="str">
        <f>IF(OR(Measures!AM489="Row Not Used",Measures!C489="Controls Only",Measures!C489="Decommissioning"),"",_xlfn.CONCAT(Measures!K489," - ",Measures!L489))</f>
        <v/>
      </c>
      <c r="H489" s="442" t="str">
        <f>IF(OR(Measures!AM489="Row Not Used",Measures!C489="Controls Only",Measures!C489="Decommissioning"),"",Measures!M489)</f>
        <v/>
      </c>
      <c r="I489" s="443" t="str">
        <f>IF(OR(Measures!AM489="Row Not Used",Measures!C489="Controls Only",Measures!C489="Decommissioning"),"",Measures!N489)</f>
        <v/>
      </c>
      <c r="J489" s="444" t="str">
        <f>IF(OR(Measures!AM489="Row Not Used",Measures!C489="Controls Only",Measures!C489="Decommissioning"),"",Measures!O489)</f>
        <v/>
      </c>
      <c r="K489" s="425" t="str">
        <f>IF(OR(Measures!AM489="Row Not Used",Measures!C489="Controls Only",Measures!C489="Decommissioning"),"",Measures!AS489)</f>
        <v/>
      </c>
      <c r="L489" s="426" t="str">
        <f>IF(OR(Measures!AM489="Row Not Used",Measures!AM489="Decommissioning",ISBLANK(Measures!R489)),"",Measures!R489)</f>
        <v/>
      </c>
      <c r="M489" s="431" t="str">
        <f>IF(OR(Measures!AM489="Row Not Used",Measures!AM489="Fixtures Only",Measures!AM489="Decommissioning"),"",Measures!S489)</f>
        <v/>
      </c>
      <c r="N489" s="432" t="str">
        <f>IF(Measures!AM489="Row Not Used","",Measures!AF489)</f>
        <v/>
      </c>
      <c r="O489" s="426" t="str">
        <f>IF(Measures!AM489="Row Not Used","",Measures!C489)</f>
        <v/>
      </c>
      <c r="P489" s="133" t="str">
        <f t="shared" si="7"/>
        <v>No</v>
      </c>
    </row>
    <row r="490" spans="1:16" ht="75.599999999999994" customHeight="1" x14ac:dyDescent="0.3">
      <c r="A490" s="454">
        <f>Measures!A490</f>
        <v>483</v>
      </c>
      <c r="B490" s="425" t="str">
        <f>IF(Measures!AM490="Row Not Used","",IF(ISBLANK(Measures!V490),Measures!B490,_xlfn.CONCAT(Measures!B490," - ",Measures!V490)))</f>
        <v/>
      </c>
      <c r="C490" s="426" t="str">
        <f>IF(Measures!AM490="Row Not Used","",_xlfn.CONCAT(Measures!D490," - ",Measures!E490," - ",Measures!F490))</f>
        <v/>
      </c>
      <c r="D490" s="442" t="str">
        <f>IF(Measures!AM490="Row Not Used","",Measures!G490)</f>
        <v/>
      </c>
      <c r="E490" s="443" t="str">
        <f>IF(Measures!AM490="Row Not Used","",Measures!H490)</f>
        <v/>
      </c>
      <c r="F490" s="450" t="str">
        <f>IF(Measures!AM490="Row Not Used","",Measures!I490)</f>
        <v/>
      </c>
      <c r="G490" s="426" t="str">
        <f>IF(OR(Measures!AM490="Row Not Used",Measures!C490="Controls Only",Measures!C490="Decommissioning"),"",_xlfn.CONCAT(Measures!K490," - ",Measures!L490))</f>
        <v/>
      </c>
      <c r="H490" s="442" t="str">
        <f>IF(OR(Measures!AM490="Row Not Used",Measures!C490="Controls Only",Measures!C490="Decommissioning"),"",Measures!M490)</f>
        <v/>
      </c>
      <c r="I490" s="443" t="str">
        <f>IF(OR(Measures!AM490="Row Not Used",Measures!C490="Controls Only",Measures!C490="Decommissioning"),"",Measures!N490)</f>
        <v/>
      </c>
      <c r="J490" s="444" t="str">
        <f>IF(OR(Measures!AM490="Row Not Used",Measures!C490="Controls Only",Measures!C490="Decommissioning"),"",Measures!O490)</f>
        <v/>
      </c>
      <c r="K490" s="425" t="str">
        <f>IF(OR(Measures!AM490="Row Not Used",Measures!C490="Controls Only",Measures!C490="Decommissioning"),"",Measures!AS490)</f>
        <v/>
      </c>
      <c r="L490" s="426" t="str">
        <f>IF(OR(Measures!AM490="Row Not Used",Measures!AM490="Decommissioning",ISBLANK(Measures!R490)),"",Measures!R490)</f>
        <v/>
      </c>
      <c r="M490" s="431" t="str">
        <f>IF(OR(Measures!AM490="Row Not Used",Measures!AM490="Fixtures Only",Measures!AM490="Decommissioning"),"",Measures!S490)</f>
        <v/>
      </c>
      <c r="N490" s="432" t="str">
        <f>IF(Measures!AM490="Row Not Used","",Measures!AF490)</f>
        <v/>
      </c>
      <c r="O490" s="426" t="str">
        <f>IF(Measures!AM490="Row Not Used","",Measures!C490)</f>
        <v/>
      </c>
      <c r="P490" s="133" t="str">
        <f t="shared" si="7"/>
        <v>No</v>
      </c>
    </row>
    <row r="491" spans="1:16" ht="75.599999999999994" customHeight="1" x14ac:dyDescent="0.3">
      <c r="A491" s="454">
        <f>Measures!A491</f>
        <v>484</v>
      </c>
      <c r="B491" s="425" t="str">
        <f>IF(Measures!AM491="Row Not Used","",IF(ISBLANK(Measures!V491),Measures!B491,_xlfn.CONCAT(Measures!B491," - ",Measures!V491)))</f>
        <v/>
      </c>
      <c r="C491" s="426" t="str">
        <f>IF(Measures!AM491="Row Not Used","",_xlfn.CONCAT(Measures!D491," - ",Measures!E491," - ",Measures!F491))</f>
        <v/>
      </c>
      <c r="D491" s="442" t="str">
        <f>IF(Measures!AM491="Row Not Used","",Measures!G491)</f>
        <v/>
      </c>
      <c r="E491" s="443" t="str">
        <f>IF(Measures!AM491="Row Not Used","",Measures!H491)</f>
        <v/>
      </c>
      <c r="F491" s="450" t="str">
        <f>IF(Measures!AM491="Row Not Used","",Measures!I491)</f>
        <v/>
      </c>
      <c r="G491" s="426" t="str">
        <f>IF(OR(Measures!AM491="Row Not Used",Measures!C491="Controls Only",Measures!C491="Decommissioning"),"",_xlfn.CONCAT(Measures!K491," - ",Measures!L491))</f>
        <v/>
      </c>
      <c r="H491" s="442" t="str">
        <f>IF(OR(Measures!AM491="Row Not Used",Measures!C491="Controls Only",Measures!C491="Decommissioning"),"",Measures!M491)</f>
        <v/>
      </c>
      <c r="I491" s="443" t="str">
        <f>IF(OR(Measures!AM491="Row Not Used",Measures!C491="Controls Only",Measures!C491="Decommissioning"),"",Measures!N491)</f>
        <v/>
      </c>
      <c r="J491" s="444" t="str">
        <f>IF(OR(Measures!AM491="Row Not Used",Measures!C491="Controls Only",Measures!C491="Decommissioning"),"",Measures!O491)</f>
        <v/>
      </c>
      <c r="K491" s="425" t="str">
        <f>IF(OR(Measures!AM491="Row Not Used",Measures!C491="Controls Only",Measures!C491="Decommissioning"),"",Measures!AS491)</f>
        <v/>
      </c>
      <c r="L491" s="426" t="str">
        <f>IF(OR(Measures!AM491="Row Not Used",Measures!AM491="Decommissioning",ISBLANK(Measures!R491)),"",Measures!R491)</f>
        <v/>
      </c>
      <c r="M491" s="431" t="str">
        <f>IF(OR(Measures!AM491="Row Not Used",Measures!AM491="Fixtures Only",Measures!AM491="Decommissioning"),"",Measures!S491)</f>
        <v/>
      </c>
      <c r="N491" s="432" t="str">
        <f>IF(Measures!AM491="Row Not Used","",Measures!AF491)</f>
        <v/>
      </c>
      <c r="O491" s="426" t="str">
        <f>IF(Measures!AM491="Row Not Used","",Measures!C491)</f>
        <v/>
      </c>
      <c r="P491" s="133" t="str">
        <f t="shared" si="7"/>
        <v>No</v>
      </c>
    </row>
    <row r="492" spans="1:16" ht="75.599999999999994" customHeight="1" x14ac:dyDescent="0.3">
      <c r="A492" s="454">
        <f>Measures!A492</f>
        <v>485</v>
      </c>
      <c r="B492" s="425" t="str">
        <f>IF(Measures!AM492="Row Not Used","",IF(ISBLANK(Measures!V492),Measures!B492,_xlfn.CONCAT(Measures!B492," - ",Measures!V492)))</f>
        <v/>
      </c>
      <c r="C492" s="426" t="str">
        <f>IF(Measures!AM492="Row Not Used","",_xlfn.CONCAT(Measures!D492," - ",Measures!E492," - ",Measures!F492))</f>
        <v/>
      </c>
      <c r="D492" s="442" t="str">
        <f>IF(Measures!AM492="Row Not Used","",Measures!G492)</f>
        <v/>
      </c>
      <c r="E492" s="443" t="str">
        <f>IF(Measures!AM492="Row Not Used","",Measures!H492)</f>
        <v/>
      </c>
      <c r="F492" s="450" t="str">
        <f>IF(Measures!AM492="Row Not Used","",Measures!I492)</f>
        <v/>
      </c>
      <c r="G492" s="426" t="str">
        <f>IF(OR(Measures!AM492="Row Not Used",Measures!C492="Controls Only",Measures!C492="Decommissioning"),"",_xlfn.CONCAT(Measures!K492," - ",Measures!L492))</f>
        <v/>
      </c>
      <c r="H492" s="442" t="str">
        <f>IF(OR(Measures!AM492="Row Not Used",Measures!C492="Controls Only",Measures!C492="Decommissioning"),"",Measures!M492)</f>
        <v/>
      </c>
      <c r="I492" s="443" t="str">
        <f>IF(OR(Measures!AM492="Row Not Used",Measures!C492="Controls Only",Measures!C492="Decommissioning"),"",Measures!N492)</f>
        <v/>
      </c>
      <c r="J492" s="444" t="str">
        <f>IF(OR(Measures!AM492="Row Not Used",Measures!C492="Controls Only",Measures!C492="Decommissioning"),"",Measures!O492)</f>
        <v/>
      </c>
      <c r="K492" s="425" t="str">
        <f>IF(OR(Measures!AM492="Row Not Used",Measures!C492="Controls Only",Measures!C492="Decommissioning"),"",Measures!AS492)</f>
        <v/>
      </c>
      <c r="L492" s="426" t="str">
        <f>IF(OR(Measures!AM492="Row Not Used",Measures!AM492="Decommissioning",ISBLANK(Measures!R492)),"",Measures!R492)</f>
        <v/>
      </c>
      <c r="M492" s="431" t="str">
        <f>IF(OR(Measures!AM492="Row Not Used",Measures!AM492="Fixtures Only",Measures!AM492="Decommissioning"),"",Measures!S492)</f>
        <v/>
      </c>
      <c r="N492" s="432" t="str">
        <f>IF(Measures!AM492="Row Not Used","",Measures!AF492)</f>
        <v/>
      </c>
      <c r="O492" s="426" t="str">
        <f>IF(Measures!AM492="Row Not Used","",Measures!C492)</f>
        <v/>
      </c>
      <c r="P492" s="133" t="str">
        <f t="shared" si="7"/>
        <v>No</v>
      </c>
    </row>
    <row r="493" spans="1:16" ht="75.599999999999994" customHeight="1" x14ac:dyDescent="0.3">
      <c r="A493" s="454">
        <f>Measures!A493</f>
        <v>486</v>
      </c>
      <c r="B493" s="425" t="str">
        <f>IF(Measures!AM493="Row Not Used","",IF(ISBLANK(Measures!V493),Measures!B493,_xlfn.CONCAT(Measures!B493," - ",Measures!V493)))</f>
        <v/>
      </c>
      <c r="C493" s="426" t="str">
        <f>IF(Measures!AM493="Row Not Used","",_xlfn.CONCAT(Measures!D493," - ",Measures!E493," - ",Measures!F493))</f>
        <v/>
      </c>
      <c r="D493" s="442" t="str">
        <f>IF(Measures!AM493="Row Not Used","",Measures!G493)</f>
        <v/>
      </c>
      <c r="E493" s="443" t="str">
        <f>IF(Measures!AM493="Row Not Used","",Measures!H493)</f>
        <v/>
      </c>
      <c r="F493" s="450" t="str">
        <f>IF(Measures!AM493="Row Not Used","",Measures!I493)</f>
        <v/>
      </c>
      <c r="G493" s="426" t="str">
        <f>IF(OR(Measures!AM493="Row Not Used",Measures!C493="Controls Only",Measures!C493="Decommissioning"),"",_xlfn.CONCAT(Measures!K493," - ",Measures!L493))</f>
        <v/>
      </c>
      <c r="H493" s="442" t="str">
        <f>IF(OR(Measures!AM493="Row Not Used",Measures!C493="Controls Only",Measures!C493="Decommissioning"),"",Measures!M493)</f>
        <v/>
      </c>
      <c r="I493" s="443" t="str">
        <f>IF(OR(Measures!AM493="Row Not Used",Measures!C493="Controls Only",Measures!C493="Decommissioning"),"",Measures!N493)</f>
        <v/>
      </c>
      <c r="J493" s="444" t="str">
        <f>IF(OR(Measures!AM493="Row Not Used",Measures!C493="Controls Only",Measures!C493="Decommissioning"),"",Measures!O493)</f>
        <v/>
      </c>
      <c r="K493" s="425" t="str">
        <f>IF(OR(Measures!AM493="Row Not Used",Measures!C493="Controls Only",Measures!C493="Decommissioning"),"",Measures!AS493)</f>
        <v/>
      </c>
      <c r="L493" s="426" t="str">
        <f>IF(OR(Measures!AM493="Row Not Used",Measures!AM493="Decommissioning",ISBLANK(Measures!R493)),"",Measures!R493)</f>
        <v/>
      </c>
      <c r="M493" s="431" t="str">
        <f>IF(OR(Measures!AM493="Row Not Used",Measures!AM493="Fixtures Only",Measures!AM493="Decommissioning"),"",Measures!S493)</f>
        <v/>
      </c>
      <c r="N493" s="432" t="str">
        <f>IF(Measures!AM493="Row Not Used","",Measures!AF493)</f>
        <v/>
      </c>
      <c r="O493" s="426" t="str">
        <f>IF(Measures!AM493="Row Not Used","",Measures!C493)</f>
        <v/>
      </c>
      <c r="P493" s="133" t="str">
        <f t="shared" si="7"/>
        <v>No</v>
      </c>
    </row>
    <row r="494" spans="1:16" ht="75.599999999999994" customHeight="1" x14ac:dyDescent="0.3">
      <c r="A494" s="454">
        <f>Measures!A494</f>
        <v>487</v>
      </c>
      <c r="B494" s="425" t="str">
        <f>IF(Measures!AM494="Row Not Used","",IF(ISBLANK(Measures!V494),Measures!B494,_xlfn.CONCAT(Measures!B494," - ",Measures!V494)))</f>
        <v/>
      </c>
      <c r="C494" s="426" t="str">
        <f>IF(Measures!AM494="Row Not Used","",_xlfn.CONCAT(Measures!D494," - ",Measures!E494," - ",Measures!F494))</f>
        <v/>
      </c>
      <c r="D494" s="442" t="str">
        <f>IF(Measures!AM494="Row Not Used","",Measures!G494)</f>
        <v/>
      </c>
      <c r="E494" s="443" t="str">
        <f>IF(Measures!AM494="Row Not Used","",Measures!H494)</f>
        <v/>
      </c>
      <c r="F494" s="450" t="str">
        <f>IF(Measures!AM494="Row Not Used","",Measures!I494)</f>
        <v/>
      </c>
      <c r="G494" s="426" t="str">
        <f>IF(OR(Measures!AM494="Row Not Used",Measures!C494="Controls Only",Measures!C494="Decommissioning"),"",_xlfn.CONCAT(Measures!K494," - ",Measures!L494))</f>
        <v/>
      </c>
      <c r="H494" s="442" t="str">
        <f>IF(OR(Measures!AM494="Row Not Used",Measures!C494="Controls Only",Measures!C494="Decommissioning"),"",Measures!M494)</f>
        <v/>
      </c>
      <c r="I494" s="443" t="str">
        <f>IF(OR(Measures!AM494="Row Not Used",Measures!C494="Controls Only",Measures!C494="Decommissioning"),"",Measures!N494)</f>
        <v/>
      </c>
      <c r="J494" s="444" t="str">
        <f>IF(OR(Measures!AM494="Row Not Used",Measures!C494="Controls Only",Measures!C494="Decommissioning"),"",Measures!O494)</f>
        <v/>
      </c>
      <c r="K494" s="425" t="str">
        <f>IF(OR(Measures!AM494="Row Not Used",Measures!C494="Controls Only",Measures!C494="Decommissioning"),"",Measures!AS494)</f>
        <v/>
      </c>
      <c r="L494" s="426" t="str">
        <f>IF(OR(Measures!AM494="Row Not Used",Measures!AM494="Decommissioning",ISBLANK(Measures!R494)),"",Measures!R494)</f>
        <v/>
      </c>
      <c r="M494" s="431" t="str">
        <f>IF(OR(Measures!AM494="Row Not Used",Measures!AM494="Fixtures Only",Measures!AM494="Decommissioning"),"",Measures!S494)</f>
        <v/>
      </c>
      <c r="N494" s="432" t="str">
        <f>IF(Measures!AM494="Row Not Used","",Measures!AF494)</f>
        <v/>
      </c>
      <c r="O494" s="426" t="str">
        <f>IF(Measures!AM494="Row Not Used","",Measures!C494)</f>
        <v/>
      </c>
      <c r="P494" s="133" t="str">
        <f t="shared" si="7"/>
        <v>No</v>
      </c>
    </row>
    <row r="495" spans="1:16" ht="75.599999999999994" customHeight="1" x14ac:dyDescent="0.3">
      <c r="A495" s="454">
        <f>Measures!A495</f>
        <v>488</v>
      </c>
      <c r="B495" s="425" t="str">
        <f>IF(Measures!AM495="Row Not Used","",IF(ISBLANK(Measures!V495),Measures!B495,_xlfn.CONCAT(Measures!B495," - ",Measures!V495)))</f>
        <v/>
      </c>
      <c r="C495" s="426" t="str">
        <f>IF(Measures!AM495="Row Not Used","",_xlfn.CONCAT(Measures!D495," - ",Measures!E495," - ",Measures!F495))</f>
        <v/>
      </c>
      <c r="D495" s="442" t="str">
        <f>IF(Measures!AM495="Row Not Used","",Measures!G495)</f>
        <v/>
      </c>
      <c r="E495" s="443" t="str">
        <f>IF(Measures!AM495="Row Not Used","",Measures!H495)</f>
        <v/>
      </c>
      <c r="F495" s="450" t="str">
        <f>IF(Measures!AM495="Row Not Used","",Measures!I495)</f>
        <v/>
      </c>
      <c r="G495" s="426" t="str">
        <f>IF(OR(Measures!AM495="Row Not Used",Measures!C495="Controls Only",Measures!C495="Decommissioning"),"",_xlfn.CONCAT(Measures!K495," - ",Measures!L495))</f>
        <v/>
      </c>
      <c r="H495" s="442" t="str">
        <f>IF(OR(Measures!AM495="Row Not Used",Measures!C495="Controls Only",Measures!C495="Decommissioning"),"",Measures!M495)</f>
        <v/>
      </c>
      <c r="I495" s="443" t="str">
        <f>IF(OR(Measures!AM495="Row Not Used",Measures!C495="Controls Only",Measures!C495="Decommissioning"),"",Measures!N495)</f>
        <v/>
      </c>
      <c r="J495" s="444" t="str">
        <f>IF(OR(Measures!AM495="Row Not Used",Measures!C495="Controls Only",Measures!C495="Decommissioning"),"",Measures!O495)</f>
        <v/>
      </c>
      <c r="K495" s="425" t="str">
        <f>IF(OR(Measures!AM495="Row Not Used",Measures!C495="Controls Only",Measures!C495="Decommissioning"),"",Measures!AS495)</f>
        <v/>
      </c>
      <c r="L495" s="426" t="str">
        <f>IF(OR(Measures!AM495="Row Not Used",Measures!AM495="Decommissioning",ISBLANK(Measures!R495)),"",Measures!R495)</f>
        <v/>
      </c>
      <c r="M495" s="431" t="str">
        <f>IF(OR(Measures!AM495="Row Not Used",Measures!AM495="Fixtures Only",Measures!AM495="Decommissioning"),"",Measures!S495)</f>
        <v/>
      </c>
      <c r="N495" s="432" t="str">
        <f>IF(Measures!AM495="Row Not Used","",Measures!AF495)</f>
        <v/>
      </c>
      <c r="O495" s="426" t="str">
        <f>IF(Measures!AM495="Row Not Used","",Measures!C495)</f>
        <v/>
      </c>
      <c r="P495" s="133" t="str">
        <f t="shared" si="7"/>
        <v>No</v>
      </c>
    </row>
    <row r="496" spans="1:16" ht="75.599999999999994" customHeight="1" x14ac:dyDescent="0.3">
      <c r="A496" s="454">
        <f>Measures!A496</f>
        <v>489</v>
      </c>
      <c r="B496" s="425" t="str">
        <f>IF(Measures!AM496="Row Not Used","",IF(ISBLANK(Measures!V496),Measures!B496,_xlfn.CONCAT(Measures!B496," - ",Measures!V496)))</f>
        <v/>
      </c>
      <c r="C496" s="426" t="str">
        <f>IF(Measures!AM496="Row Not Used","",_xlfn.CONCAT(Measures!D496," - ",Measures!E496," - ",Measures!F496))</f>
        <v/>
      </c>
      <c r="D496" s="442" t="str">
        <f>IF(Measures!AM496="Row Not Used","",Measures!G496)</f>
        <v/>
      </c>
      <c r="E496" s="443" t="str">
        <f>IF(Measures!AM496="Row Not Used","",Measures!H496)</f>
        <v/>
      </c>
      <c r="F496" s="450" t="str">
        <f>IF(Measures!AM496="Row Not Used","",Measures!I496)</f>
        <v/>
      </c>
      <c r="G496" s="426" t="str">
        <f>IF(OR(Measures!AM496="Row Not Used",Measures!C496="Controls Only",Measures!C496="Decommissioning"),"",_xlfn.CONCAT(Measures!K496," - ",Measures!L496))</f>
        <v/>
      </c>
      <c r="H496" s="442" t="str">
        <f>IF(OR(Measures!AM496="Row Not Used",Measures!C496="Controls Only",Measures!C496="Decommissioning"),"",Measures!M496)</f>
        <v/>
      </c>
      <c r="I496" s="443" t="str">
        <f>IF(OR(Measures!AM496="Row Not Used",Measures!C496="Controls Only",Measures!C496="Decommissioning"),"",Measures!N496)</f>
        <v/>
      </c>
      <c r="J496" s="444" t="str">
        <f>IF(OR(Measures!AM496="Row Not Used",Measures!C496="Controls Only",Measures!C496="Decommissioning"),"",Measures!O496)</f>
        <v/>
      </c>
      <c r="K496" s="425" t="str">
        <f>IF(OR(Measures!AM496="Row Not Used",Measures!C496="Controls Only",Measures!C496="Decommissioning"),"",Measures!AS496)</f>
        <v/>
      </c>
      <c r="L496" s="426" t="str">
        <f>IF(OR(Measures!AM496="Row Not Used",Measures!AM496="Decommissioning",ISBLANK(Measures!R496)),"",Measures!R496)</f>
        <v/>
      </c>
      <c r="M496" s="431" t="str">
        <f>IF(OR(Measures!AM496="Row Not Used",Measures!AM496="Fixtures Only",Measures!AM496="Decommissioning"),"",Measures!S496)</f>
        <v/>
      </c>
      <c r="N496" s="432" t="str">
        <f>IF(Measures!AM496="Row Not Used","",Measures!AF496)</f>
        <v/>
      </c>
      <c r="O496" s="426" t="str">
        <f>IF(Measures!AM496="Row Not Used","",Measures!C496)</f>
        <v/>
      </c>
      <c r="P496" s="133" t="str">
        <f t="shared" si="7"/>
        <v>No</v>
      </c>
    </row>
    <row r="497" spans="1:16" ht="75.599999999999994" customHeight="1" x14ac:dyDescent="0.3">
      <c r="A497" s="454">
        <f>Measures!A497</f>
        <v>490</v>
      </c>
      <c r="B497" s="425" t="str">
        <f>IF(Measures!AM497="Row Not Used","",IF(ISBLANK(Measures!V497),Measures!B497,_xlfn.CONCAT(Measures!B497," - ",Measures!V497)))</f>
        <v/>
      </c>
      <c r="C497" s="426" t="str">
        <f>IF(Measures!AM497="Row Not Used","",_xlfn.CONCAT(Measures!D497," - ",Measures!E497," - ",Measures!F497))</f>
        <v/>
      </c>
      <c r="D497" s="442" t="str">
        <f>IF(Measures!AM497="Row Not Used","",Measures!G497)</f>
        <v/>
      </c>
      <c r="E497" s="443" t="str">
        <f>IF(Measures!AM497="Row Not Used","",Measures!H497)</f>
        <v/>
      </c>
      <c r="F497" s="450" t="str">
        <f>IF(Measures!AM497="Row Not Used","",Measures!I497)</f>
        <v/>
      </c>
      <c r="G497" s="426" t="str">
        <f>IF(OR(Measures!AM497="Row Not Used",Measures!C497="Controls Only",Measures!C497="Decommissioning"),"",_xlfn.CONCAT(Measures!K497," - ",Measures!L497))</f>
        <v/>
      </c>
      <c r="H497" s="442" t="str">
        <f>IF(OR(Measures!AM497="Row Not Used",Measures!C497="Controls Only",Measures!C497="Decommissioning"),"",Measures!M497)</f>
        <v/>
      </c>
      <c r="I497" s="443" t="str">
        <f>IF(OR(Measures!AM497="Row Not Used",Measures!C497="Controls Only",Measures!C497="Decommissioning"),"",Measures!N497)</f>
        <v/>
      </c>
      <c r="J497" s="444" t="str">
        <f>IF(OR(Measures!AM497="Row Not Used",Measures!C497="Controls Only",Measures!C497="Decommissioning"),"",Measures!O497)</f>
        <v/>
      </c>
      <c r="K497" s="425" t="str">
        <f>IF(OR(Measures!AM497="Row Not Used",Measures!C497="Controls Only",Measures!C497="Decommissioning"),"",Measures!AS497)</f>
        <v/>
      </c>
      <c r="L497" s="426" t="str">
        <f>IF(OR(Measures!AM497="Row Not Used",Measures!AM497="Decommissioning",ISBLANK(Measures!R497)),"",Measures!R497)</f>
        <v/>
      </c>
      <c r="M497" s="431" t="str">
        <f>IF(OR(Measures!AM497="Row Not Used",Measures!AM497="Fixtures Only",Measures!AM497="Decommissioning"),"",Measures!S497)</f>
        <v/>
      </c>
      <c r="N497" s="432" t="str">
        <f>IF(Measures!AM497="Row Not Used","",Measures!AF497)</f>
        <v/>
      </c>
      <c r="O497" s="426" t="str">
        <f>IF(Measures!AM497="Row Not Used","",Measures!C497)</f>
        <v/>
      </c>
      <c r="P497" s="133" t="str">
        <f t="shared" si="7"/>
        <v>No</v>
      </c>
    </row>
    <row r="498" spans="1:16" ht="75.599999999999994" customHeight="1" x14ac:dyDescent="0.3">
      <c r="A498" s="454">
        <f>Measures!A498</f>
        <v>491</v>
      </c>
      <c r="B498" s="425" t="str">
        <f>IF(Measures!AM498="Row Not Used","",IF(ISBLANK(Measures!V498),Measures!B498,_xlfn.CONCAT(Measures!B498," - ",Measures!V498)))</f>
        <v/>
      </c>
      <c r="C498" s="426" t="str">
        <f>IF(Measures!AM498="Row Not Used","",_xlfn.CONCAT(Measures!D498," - ",Measures!E498," - ",Measures!F498))</f>
        <v/>
      </c>
      <c r="D498" s="442" t="str">
        <f>IF(Measures!AM498="Row Not Used","",Measures!G498)</f>
        <v/>
      </c>
      <c r="E498" s="443" t="str">
        <f>IF(Measures!AM498="Row Not Used","",Measures!H498)</f>
        <v/>
      </c>
      <c r="F498" s="450" t="str">
        <f>IF(Measures!AM498="Row Not Used","",Measures!I498)</f>
        <v/>
      </c>
      <c r="G498" s="426" t="str">
        <f>IF(OR(Measures!AM498="Row Not Used",Measures!C498="Controls Only",Measures!C498="Decommissioning"),"",_xlfn.CONCAT(Measures!K498," - ",Measures!L498))</f>
        <v/>
      </c>
      <c r="H498" s="442" t="str">
        <f>IF(OR(Measures!AM498="Row Not Used",Measures!C498="Controls Only",Measures!C498="Decommissioning"),"",Measures!M498)</f>
        <v/>
      </c>
      <c r="I498" s="443" t="str">
        <f>IF(OR(Measures!AM498="Row Not Used",Measures!C498="Controls Only",Measures!C498="Decommissioning"),"",Measures!N498)</f>
        <v/>
      </c>
      <c r="J498" s="444" t="str">
        <f>IF(OR(Measures!AM498="Row Not Used",Measures!C498="Controls Only",Measures!C498="Decommissioning"),"",Measures!O498)</f>
        <v/>
      </c>
      <c r="K498" s="425" t="str">
        <f>IF(OR(Measures!AM498="Row Not Used",Measures!C498="Controls Only",Measures!C498="Decommissioning"),"",Measures!AS498)</f>
        <v/>
      </c>
      <c r="L498" s="426" t="str">
        <f>IF(OR(Measures!AM498="Row Not Used",Measures!AM498="Decommissioning",ISBLANK(Measures!R498)),"",Measures!R498)</f>
        <v/>
      </c>
      <c r="M498" s="431" t="str">
        <f>IF(OR(Measures!AM498="Row Not Used",Measures!AM498="Fixtures Only",Measures!AM498="Decommissioning"),"",Measures!S498)</f>
        <v/>
      </c>
      <c r="N498" s="432" t="str">
        <f>IF(Measures!AM498="Row Not Used","",Measures!AF498)</f>
        <v/>
      </c>
      <c r="O498" s="426" t="str">
        <f>IF(Measures!AM498="Row Not Used","",Measures!C498)</f>
        <v/>
      </c>
      <c r="P498" s="133" t="str">
        <f t="shared" si="7"/>
        <v>No</v>
      </c>
    </row>
    <row r="499" spans="1:16" ht="75.599999999999994" customHeight="1" x14ac:dyDescent="0.3">
      <c r="A499" s="454">
        <f>Measures!A499</f>
        <v>492</v>
      </c>
      <c r="B499" s="425" t="str">
        <f>IF(Measures!AM499="Row Not Used","",IF(ISBLANK(Measures!V499),Measures!B499,_xlfn.CONCAT(Measures!B499," - ",Measures!V499)))</f>
        <v/>
      </c>
      <c r="C499" s="426" t="str">
        <f>IF(Measures!AM499="Row Not Used","",_xlfn.CONCAT(Measures!D499," - ",Measures!E499," - ",Measures!F499))</f>
        <v/>
      </c>
      <c r="D499" s="442" t="str">
        <f>IF(Measures!AM499="Row Not Used","",Measures!G499)</f>
        <v/>
      </c>
      <c r="E499" s="443" t="str">
        <f>IF(Measures!AM499="Row Not Used","",Measures!H499)</f>
        <v/>
      </c>
      <c r="F499" s="450" t="str">
        <f>IF(Measures!AM499="Row Not Used","",Measures!I499)</f>
        <v/>
      </c>
      <c r="G499" s="426" t="str">
        <f>IF(OR(Measures!AM499="Row Not Used",Measures!C499="Controls Only",Measures!C499="Decommissioning"),"",_xlfn.CONCAT(Measures!K499," - ",Measures!L499))</f>
        <v/>
      </c>
      <c r="H499" s="442" t="str">
        <f>IF(OR(Measures!AM499="Row Not Used",Measures!C499="Controls Only",Measures!C499="Decommissioning"),"",Measures!M499)</f>
        <v/>
      </c>
      <c r="I499" s="443" t="str">
        <f>IF(OR(Measures!AM499="Row Not Used",Measures!C499="Controls Only",Measures!C499="Decommissioning"),"",Measures!N499)</f>
        <v/>
      </c>
      <c r="J499" s="444" t="str">
        <f>IF(OR(Measures!AM499="Row Not Used",Measures!C499="Controls Only",Measures!C499="Decommissioning"),"",Measures!O499)</f>
        <v/>
      </c>
      <c r="K499" s="425" t="str">
        <f>IF(OR(Measures!AM499="Row Not Used",Measures!C499="Controls Only",Measures!C499="Decommissioning"),"",Measures!AS499)</f>
        <v/>
      </c>
      <c r="L499" s="426" t="str">
        <f>IF(OR(Measures!AM499="Row Not Used",Measures!AM499="Decommissioning",ISBLANK(Measures!R499)),"",Measures!R499)</f>
        <v/>
      </c>
      <c r="M499" s="431" t="str">
        <f>IF(OR(Measures!AM499="Row Not Used",Measures!AM499="Fixtures Only",Measures!AM499="Decommissioning"),"",Measures!S499)</f>
        <v/>
      </c>
      <c r="N499" s="432" t="str">
        <f>IF(Measures!AM499="Row Not Used","",Measures!AF499)</f>
        <v/>
      </c>
      <c r="O499" s="426" t="str">
        <f>IF(Measures!AM499="Row Not Used","",Measures!C499)</f>
        <v/>
      </c>
      <c r="P499" s="133" t="str">
        <f t="shared" si="7"/>
        <v>No</v>
      </c>
    </row>
    <row r="500" spans="1:16" ht="75.599999999999994" customHeight="1" x14ac:dyDescent="0.3">
      <c r="A500" s="454">
        <f>Measures!A500</f>
        <v>493</v>
      </c>
      <c r="B500" s="425" t="str">
        <f>IF(Measures!AM500="Row Not Used","",IF(ISBLANK(Measures!V500),Measures!B500,_xlfn.CONCAT(Measures!B500," - ",Measures!V500)))</f>
        <v/>
      </c>
      <c r="C500" s="426" t="str">
        <f>IF(Measures!AM500="Row Not Used","",_xlfn.CONCAT(Measures!D500," - ",Measures!E500," - ",Measures!F500))</f>
        <v/>
      </c>
      <c r="D500" s="442" t="str">
        <f>IF(Measures!AM500="Row Not Used","",Measures!G500)</f>
        <v/>
      </c>
      <c r="E500" s="443" t="str">
        <f>IF(Measures!AM500="Row Not Used","",Measures!H500)</f>
        <v/>
      </c>
      <c r="F500" s="450" t="str">
        <f>IF(Measures!AM500="Row Not Used","",Measures!I500)</f>
        <v/>
      </c>
      <c r="G500" s="426" t="str">
        <f>IF(OR(Measures!AM500="Row Not Used",Measures!C500="Controls Only",Measures!C500="Decommissioning"),"",_xlfn.CONCAT(Measures!K500," - ",Measures!L500))</f>
        <v/>
      </c>
      <c r="H500" s="442" t="str">
        <f>IF(OR(Measures!AM500="Row Not Used",Measures!C500="Controls Only",Measures!C500="Decommissioning"),"",Measures!M500)</f>
        <v/>
      </c>
      <c r="I500" s="443" t="str">
        <f>IF(OR(Measures!AM500="Row Not Used",Measures!C500="Controls Only",Measures!C500="Decommissioning"),"",Measures!N500)</f>
        <v/>
      </c>
      <c r="J500" s="444" t="str">
        <f>IF(OR(Measures!AM500="Row Not Used",Measures!C500="Controls Only",Measures!C500="Decommissioning"),"",Measures!O500)</f>
        <v/>
      </c>
      <c r="K500" s="425" t="str">
        <f>IF(OR(Measures!AM500="Row Not Used",Measures!C500="Controls Only",Measures!C500="Decommissioning"),"",Measures!AS500)</f>
        <v/>
      </c>
      <c r="L500" s="426" t="str">
        <f>IF(OR(Measures!AM500="Row Not Used",Measures!AM500="Decommissioning",ISBLANK(Measures!R500)),"",Measures!R500)</f>
        <v/>
      </c>
      <c r="M500" s="431" t="str">
        <f>IF(OR(Measures!AM500="Row Not Used",Measures!AM500="Fixtures Only",Measures!AM500="Decommissioning"),"",Measures!S500)</f>
        <v/>
      </c>
      <c r="N500" s="432" t="str">
        <f>IF(Measures!AM500="Row Not Used","",Measures!AF500)</f>
        <v/>
      </c>
      <c r="O500" s="426" t="str">
        <f>IF(Measures!AM500="Row Not Used","",Measures!C500)</f>
        <v/>
      </c>
      <c r="P500" s="133" t="str">
        <f t="shared" si="7"/>
        <v>No</v>
      </c>
    </row>
    <row r="501" spans="1:16" ht="75.599999999999994" customHeight="1" x14ac:dyDescent="0.3">
      <c r="A501" s="454">
        <f>Measures!A501</f>
        <v>494</v>
      </c>
      <c r="B501" s="425" t="str">
        <f>IF(Measures!AM501="Row Not Used","",IF(ISBLANK(Measures!V501),Measures!B501,_xlfn.CONCAT(Measures!B501," - ",Measures!V501)))</f>
        <v/>
      </c>
      <c r="C501" s="426" t="str">
        <f>IF(Measures!AM501="Row Not Used","",_xlfn.CONCAT(Measures!D501," - ",Measures!E501," - ",Measures!F501))</f>
        <v/>
      </c>
      <c r="D501" s="442" t="str">
        <f>IF(Measures!AM501="Row Not Used","",Measures!G501)</f>
        <v/>
      </c>
      <c r="E501" s="443" t="str">
        <f>IF(Measures!AM501="Row Not Used","",Measures!H501)</f>
        <v/>
      </c>
      <c r="F501" s="450" t="str">
        <f>IF(Measures!AM501="Row Not Used","",Measures!I501)</f>
        <v/>
      </c>
      <c r="G501" s="426" t="str">
        <f>IF(OR(Measures!AM501="Row Not Used",Measures!C501="Controls Only",Measures!C501="Decommissioning"),"",_xlfn.CONCAT(Measures!K501," - ",Measures!L501))</f>
        <v/>
      </c>
      <c r="H501" s="442" t="str">
        <f>IF(OR(Measures!AM501="Row Not Used",Measures!C501="Controls Only",Measures!C501="Decommissioning"),"",Measures!M501)</f>
        <v/>
      </c>
      <c r="I501" s="443" t="str">
        <f>IF(OR(Measures!AM501="Row Not Used",Measures!C501="Controls Only",Measures!C501="Decommissioning"),"",Measures!N501)</f>
        <v/>
      </c>
      <c r="J501" s="444" t="str">
        <f>IF(OR(Measures!AM501="Row Not Used",Measures!C501="Controls Only",Measures!C501="Decommissioning"),"",Measures!O501)</f>
        <v/>
      </c>
      <c r="K501" s="425" t="str">
        <f>IF(OR(Measures!AM501="Row Not Used",Measures!C501="Controls Only",Measures!C501="Decommissioning"),"",Measures!AS501)</f>
        <v/>
      </c>
      <c r="L501" s="426" t="str">
        <f>IF(OR(Measures!AM501="Row Not Used",Measures!AM501="Decommissioning",ISBLANK(Measures!R501)),"",Measures!R501)</f>
        <v/>
      </c>
      <c r="M501" s="431" t="str">
        <f>IF(OR(Measures!AM501="Row Not Used",Measures!AM501="Fixtures Only",Measures!AM501="Decommissioning"),"",Measures!S501)</f>
        <v/>
      </c>
      <c r="N501" s="432" t="str">
        <f>IF(Measures!AM501="Row Not Used","",Measures!AF501)</f>
        <v/>
      </c>
      <c r="O501" s="426" t="str">
        <f>IF(Measures!AM501="Row Not Used","",Measures!C501)</f>
        <v/>
      </c>
      <c r="P501" s="133" t="str">
        <f t="shared" si="7"/>
        <v>No</v>
      </c>
    </row>
    <row r="502" spans="1:16" ht="75.599999999999994" customHeight="1" x14ac:dyDescent="0.3">
      <c r="A502" s="454">
        <f>Measures!A502</f>
        <v>495</v>
      </c>
      <c r="B502" s="425" t="str">
        <f>IF(Measures!AM502="Row Not Used","",IF(ISBLANK(Measures!V502),Measures!B502,_xlfn.CONCAT(Measures!B502," - ",Measures!V502)))</f>
        <v/>
      </c>
      <c r="C502" s="426" t="str">
        <f>IF(Measures!AM502="Row Not Used","",_xlfn.CONCAT(Measures!D502," - ",Measures!E502," - ",Measures!F502))</f>
        <v/>
      </c>
      <c r="D502" s="442" t="str">
        <f>IF(Measures!AM502="Row Not Used","",Measures!G502)</f>
        <v/>
      </c>
      <c r="E502" s="443" t="str">
        <f>IF(Measures!AM502="Row Not Used","",Measures!H502)</f>
        <v/>
      </c>
      <c r="F502" s="450" t="str">
        <f>IF(Measures!AM502="Row Not Used","",Measures!I502)</f>
        <v/>
      </c>
      <c r="G502" s="426" t="str">
        <f>IF(OR(Measures!AM502="Row Not Used",Measures!C502="Controls Only",Measures!C502="Decommissioning"),"",_xlfn.CONCAT(Measures!K502," - ",Measures!L502))</f>
        <v/>
      </c>
      <c r="H502" s="442" t="str">
        <f>IF(OR(Measures!AM502="Row Not Used",Measures!C502="Controls Only",Measures!C502="Decommissioning"),"",Measures!M502)</f>
        <v/>
      </c>
      <c r="I502" s="443" t="str">
        <f>IF(OR(Measures!AM502="Row Not Used",Measures!C502="Controls Only",Measures!C502="Decommissioning"),"",Measures!N502)</f>
        <v/>
      </c>
      <c r="J502" s="444" t="str">
        <f>IF(OR(Measures!AM502="Row Not Used",Measures!C502="Controls Only",Measures!C502="Decommissioning"),"",Measures!O502)</f>
        <v/>
      </c>
      <c r="K502" s="425" t="str">
        <f>IF(OR(Measures!AM502="Row Not Used",Measures!C502="Controls Only",Measures!C502="Decommissioning"),"",Measures!AS502)</f>
        <v/>
      </c>
      <c r="L502" s="426" t="str">
        <f>IF(OR(Measures!AM502="Row Not Used",Measures!AM502="Decommissioning",ISBLANK(Measures!R502)),"",Measures!R502)</f>
        <v/>
      </c>
      <c r="M502" s="431" t="str">
        <f>IF(OR(Measures!AM502="Row Not Used",Measures!AM502="Fixtures Only",Measures!AM502="Decommissioning"),"",Measures!S502)</f>
        <v/>
      </c>
      <c r="N502" s="432" t="str">
        <f>IF(Measures!AM502="Row Not Used","",Measures!AF502)</f>
        <v/>
      </c>
      <c r="O502" s="426" t="str">
        <f>IF(Measures!AM502="Row Not Used","",Measures!C502)</f>
        <v/>
      </c>
      <c r="P502" s="133" t="str">
        <f t="shared" si="7"/>
        <v>No</v>
      </c>
    </row>
    <row r="503" spans="1:16" ht="75.599999999999994" customHeight="1" x14ac:dyDescent="0.3">
      <c r="A503" s="454">
        <f>Measures!A503</f>
        <v>496</v>
      </c>
      <c r="B503" s="425" t="str">
        <f>IF(Measures!AM503="Row Not Used","",IF(ISBLANK(Measures!V503),Measures!B503,_xlfn.CONCAT(Measures!B503," - ",Measures!V503)))</f>
        <v/>
      </c>
      <c r="C503" s="426" t="str">
        <f>IF(Measures!AM503="Row Not Used","",_xlfn.CONCAT(Measures!D503," - ",Measures!E503," - ",Measures!F503))</f>
        <v/>
      </c>
      <c r="D503" s="442" t="str">
        <f>IF(Measures!AM503="Row Not Used","",Measures!G503)</f>
        <v/>
      </c>
      <c r="E503" s="443" t="str">
        <f>IF(Measures!AM503="Row Not Used","",Measures!H503)</f>
        <v/>
      </c>
      <c r="F503" s="450" t="str">
        <f>IF(Measures!AM503="Row Not Used","",Measures!I503)</f>
        <v/>
      </c>
      <c r="G503" s="426" t="str">
        <f>IF(OR(Measures!AM503="Row Not Used",Measures!C503="Controls Only",Measures!C503="Decommissioning"),"",_xlfn.CONCAT(Measures!K503," - ",Measures!L503))</f>
        <v/>
      </c>
      <c r="H503" s="442" t="str">
        <f>IF(OR(Measures!AM503="Row Not Used",Measures!C503="Controls Only",Measures!C503="Decommissioning"),"",Measures!M503)</f>
        <v/>
      </c>
      <c r="I503" s="443" t="str">
        <f>IF(OR(Measures!AM503="Row Not Used",Measures!C503="Controls Only",Measures!C503="Decommissioning"),"",Measures!N503)</f>
        <v/>
      </c>
      <c r="J503" s="444" t="str">
        <f>IF(OR(Measures!AM503="Row Not Used",Measures!C503="Controls Only",Measures!C503="Decommissioning"),"",Measures!O503)</f>
        <v/>
      </c>
      <c r="K503" s="425" t="str">
        <f>IF(OR(Measures!AM503="Row Not Used",Measures!C503="Controls Only",Measures!C503="Decommissioning"),"",Measures!AS503)</f>
        <v/>
      </c>
      <c r="L503" s="426" t="str">
        <f>IF(OR(Measures!AM503="Row Not Used",Measures!AM503="Decommissioning",ISBLANK(Measures!R503)),"",Measures!R503)</f>
        <v/>
      </c>
      <c r="M503" s="431" t="str">
        <f>IF(OR(Measures!AM503="Row Not Used",Measures!AM503="Fixtures Only",Measures!AM503="Decommissioning"),"",Measures!S503)</f>
        <v/>
      </c>
      <c r="N503" s="432" t="str">
        <f>IF(Measures!AM503="Row Not Used","",Measures!AF503)</f>
        <v/>
      </c>
      <c r="O503" s="426" t="str">
        <f>IF(Measures!AM503="Row Not Used","",Measures!C503)</f>
        <v/>
      </c>
      <c r="P503" s="133" t="str">
        <f t="shared" si="7"/>
        <v>No</v>
      </c>
    </row>
    <row r="504" spans="1:16" ht="75.599999999999994" customHeight="1" x14ac:dyDescent="0.3">
      <c r="A504" s="454">
        <f>Measures!A504</f>
        <v>497</v>
      </c>
      <c r="B504" s="425" t="str">
        <f>IF(Measures!AM504="Row Not Used","",IF(ISBLANK(Measures!V504),Measures!B504,_xlfn.CONCAT(Measures!B504," - ",Measures!V504)))</f>
        <v/>
      </c>
      <c r="C504" s="426" t="str">
        <f>IF(Measures!AM504="Row Not Used","",_xlfn.CONCAT(Measures!D504," - ",Measures!E504," - ",Measures!F504))</f>
        <v/>
      </c>
      <c r="D504" s="442" t="str">
        <f>IF(Measures!AM504="Row Not Used","",Measures!G504)</f>
        <v/>
      </c>
      <c r="E504" s="443" t="str">
        <f>IF(Measures!AM504="Row Not Used","",Measures!H504)</f>
        <v/>
      </c>
      <c r="F504" s="450" t="str">
        <f>IF(Measures!AM504="Row Not Used","",Measures!I504)</f>
        <v/>
      </c>
      <c r="G504" s="426" t="str">
        <f>IF(OR(Measures!AM504="Row Not Used",Measures!C504="Controls Only",Measures!C504="Decommissioning"),"",_xlfn.CONCAT(Measures!K504," - ",Measures!L504))</f>
        <v/>
      </c>
      <c r="H504" s="442" t="str">
        <f>IF(OR(Measures!AM504="Row Not Used",Measures!C504="Controls Only",Measures!C504="Decommissioning"),"",Measures!M504)</f>
        <v/>
      </c>
      <c r="I504" s="443" t="str">
        <f>IF(OR(Measures!AM504="Row Not Used",Measures!C504="Controls Only",Measures!C504="Decommissioning"),"",Measures!N504)</f>
        <v/>
      </c>
      <c r="J504" s="444" t="str">
        <f>IF(OR(Measures!AM504="Row Not Used",Measures!C504="Controls Only",Measures!C504="Decommissioning"),"",Measures!O504)</f>
        <v/>
      </c>
      <c r="K504" s="425" t="str">
        <f>IF(OR(Measures!AM504="Row Not Used",Measures!C504="Controls Only",Measures!C504="Decommissioning"),"",Measures!AS504)</f>
        <v/>
      </c>
      <c r="L504" s="426" t="str">
        <f>IF(OR(Measures!AM504="Row Not Used",Measures!AM504="Decommissioning",ISBLANK(Measures!R504)),"",Measures!R504)</f>
        <v/>
      </c>
      <c r="M504" s="431" t="str">
        <f>IF(OR(Measures!AM504="Row Not Used",Measures!AM504="Fixtures Only",Measures!AM504="Decommissioning"),"",Measures!S504)</f>
        <v/>
      </c>
      <c r="N504" s="432" t="str">
        <f>IF(Measures!AM504="Row Not Used","",Measures!AF504)</f>
        <v/>
      </c>
      <c r="O504" s="426" t="str">
        <f>IF(Measures!AM504="Row Not Used","",Measures!C504)</f>
        <v/>
      </c>
      <c r="P504" s="133" t="str">
        <f t="shared" si="7"/>
        <v>No</v>
      </c>
    </row>
    <row r="505" spans="1:16" ht="75.599999999999994" customHeight="1" x14ac:dyDescent="0.3">
      <c r="A505" s="454">
        <f>Measures!A505</f>
        <v>498</v>
      </c>
      <c r="B505" s="425" t="str">
        <f>IF(Measures!AM505="Row Not Used","",IF(ISBLANK(Measures!V505),Measures!B505,_xlfn.CONCAT(Measures!B505," - ",Measures!V505)))</f>
        <v/>
      </c>
      <c r="C505" s="426" t="str">
        <f>IF(Measures!AM505="Row Not Used","",_xlfn.CONCAT(Measures!D505," - ",Measures!E505," - ",Measures!F505))</f>
        <v/>
      </c>
      <c r="D505" s="442" t="str">
        <f>IF(Measures!AM505="Row Not Used","",Measures!G505)</f>
        <v/>
      </c>
      <c r="E505" s="443" t="str">
        <f>IF(Measures!AM505="Row Not Used","",Measures!H505)</f>
        <v/>
      </c>
      <c r="F505" s="450" t="str">
        <f>IF(Measures!AM505="Row Not Used","",Measures!I505)</f>
        <v/>
      </c>
      <c r="G505" s="426" t="str">
        <f>IF(OR(Measures!AM505="Row Not Used",Measures!C505="Controls Only",Measures!C505="Decommissioning"),"",_xlfn.CONCAT(Measures!K505," - ",Measures!L505))</f>
        <v/>
      </c>
      <c r="H505" s="442" t="str">
        <f>IF(OR(Measures!AM505="Row Not Used",Measures!C505="Controls Only",Measures!C505="Decommissioning"),"",Measures!M505)</f>
        <v/>
      </c>
      <c r="I505" s="443" t="str">
        <f>IF(OR(Measures!AM505="Row Not Used",Measures!C505="Controls Only",Measures!C505="Decommissioning"),"",Measures!N505)</f>
        <v/>
      </c>
      <c r="J505" s="444" t="str">
        <f>IF(OR(Measures!AM505="Row Not Used",Measures!C505="Controls Only",Measures!C505="Decommissioning"),"",Measures!O505)</f>
        <v/>
      </c>
      <c r="K505" s="425" t="str">
        <f>IF(OR(Measures!AM505="Row Not Used",Measures!C505="Controls Only",Measures!C505="Decommissioning"),"",Measures!AS505)</f>
        <v/>
      </c>
      <c r="L505" s="426" t="str">
        <f>IF(OR(Measures!AM505="Row Not Used",Measures!AM505="Decommissioning",ISBLANK(Measures!R505)),"",Measures!R505)</f>
        <v/>
      </c>
      <c r="M505" s="431" t="str">
        <f>IF(OR(Measures!AM505="Row Not Used",Measures!AM505="Fixtures Only",Measures!AM505="Decommissioning"),"",Measures!S505)</f>
        <v/>
      </c>
      <c r="N505" s="432" t="str">
        <f>IF(Measures!AM505="Row Not Used","",Measures!AF505)</f>
        <v/>
      </c>
      <c r="O505" s="426" t="str">
        <f>IF(Measures!AM505="Row Not Used","",Measures!C505)</f>
        <v/>
      </c>
      <c r="P505" s="133" t="str">
        <f t="shared" si="7"/>
        <v>No</v>
      </c>
    </row>
    <row r="506" spans="1:16" ht="75.599999999999994" customHeight="1" x14ac:dyDescent="0.3">
      <c r="A506" s="454">
        <f>Measures!A506</f>
        <v>499</v>
      </c>
      <c r="B506" s="425" t="str">
        <f>IF(Measures!AM506="Row Not Used","",IF(ISBLANK(Measures!V506),Measures!B506,_xlfn.CONCAT(Measures!B506," - ",Measures!V506)))</f>
        <v/>
      </c>
      <c r="C506" s="426" t="str">
        <f>IF(Measures!AM506="Row Not Used","",_xlfn.CONCAT(Measures!D506," - ",Measures!E506," - ",Measures!F506))</f>
        <v/>
      </c>
      <c r="D506" s="442" t="str">
        <f>IF(Measures!AM506="Row Not Used","",Measures!G506)</f>
        <v/>
      </c>
      <c r="E506" s="443" t="str">
        <f>IF(Measures!AM506="Row Not Used","",Measures!H506)</f>
        <v/>
      </c>
      <c r="F506" s="450" t="str">
        <f>IF(Measures!AM506="Row Not Used","",Measures!I506)</f>
        <v/>
      </c>
      <c r="G506" s="426" t="str">
        <f>IF(OR(Measures!AM506="Row Not Used",Measures!C506="Controls Only",Measures!C506="Decommissioning"),"",_xlfn.CONCAT(Measures!K506," - ",Measures!L506))</f>
        <v/>
      </c>
      <c r="H506" s="442" t="str">
        <f>IF(OR(Measures!AM506="Row Not Used",Measures!C506="Controls Only",Measures!C506="Decommissioning"),"",Measures!M506)</f>
        <v/>
      </c>
      <c r="I506" s="443" t="str">
        <f>IF(OR(Measures!AM506="Row Not Used",Measures!C506="Controls Only",Measures!C506="Decommissioning"),"",Measures!N506)</f>
        <v/>
      </c>
      <c r="J506" s="444" t="str">
        <f>IF(OR(Measures!AM506="Row Not Used",Measures!C506="Controls Only",Measures!C506="Decommissioning"),"",Measures!O506)</f>
        <v/>
      </c>
      <c r="K506" s="425" t="str">
        <f>IF(OR(Measures!AM506="Row Not Used",Measures!C506="Controls Only",Measures!C506="Decommissioning"),"",Measures!AS506)</f>
        <v/>
      </c>
      <c r="L506" s="426" t="str">
        <f>IF(OR(Measures!AM506="Row Not Used",Measures!AM506="Decommissioning",ISBLANK(Measures!R506)),"",Measures!R506)</f>
        <v/>
      </c>
      <c r="M506" s="431" t="str">
        <f>IF(OR(Measures!AM506="Row Not Used",Measures!AM506="Fixtures Only",Measures!AM506="Decommissioning"),"",Measures!S506)</f>
        <v/>
      </c>
      <c r="N506" s="432" t="str">
        <f>IF(Measures!AM506="Row Not Used","",Measures!AF506)</f>
        <v/>
      </c>
      <c r="O506" s="426" t="str">
        <f>IF(Measures!AM506="Row Not Used","",Measures!C506)</f>
        <v/>
      </c>
      <c r="P506" s="133" t="str">
        <f t="shared" si="7"/>
        <v>No</v>
      </c>
    </row>
    <row r="507" spans="1:16" ht="75.599999999999994" customHeight="1" x14ac:dyDescent="0.3">
      <c r="A507" s="454">
        <f>Measures!A507</f>
        <v>500</v>
      </c>
      <c r="B507" s="425" t="str">
        <f>IF(Measures!AM507="Row Not Used","",IF(ISBLANK(Measures!V507),Measures!B507,_xlfn.CONCAT(Measures!B507," - ",Measures!V507)))</f>
        <v/>
      </c>
      <c r="C507" s="426" t="str">
        <f>IF(Measures!AM507="Row Not Used","",_xlfn.CONCAT(Measures!D507," - ",Measures!E507," - ",Measures!F507))</f>
        <v/>
      </c>
      <c r="D507" s="442" t="str">
        <f>IF(Measures!AM507="Row Not Used","",Measures!G507)</f>
        <v/>
      </c>
      <c r="E507" s="443" t="str">
        <f>IF(Measures!AM507="Row Not Used","",Measures!H507)</f>
        <v/>
      </c>
      <c r="F507" s="450" t="str">
        <f>IF(Measures!AM507="Row Not Used","",Measures!I507)</f>
        <v/>
      </c>
      <c r="G507" s="426" t="str">
        <f>IF(OR(Measures!AM507="Row Not Used",Measures!C507="Controls Only",Measures!C507="Decommissioning"),"",_xlfn.CONCAT(Measures!K507," - ",Measures!L507))</f>
        <v/>
      </c>
      <c r="H507" s="442" t="str">
        <f>IF(OR(Measures!AM507="Row Not Used",Measures!C507="Controls Only",Measures!C507="Decommissioning"),"",Measures!M507)</f>
        <v/>
      </c>
      <c r="I507" s="443" t="str">
        <f>IF(OR(Measures!AM507="Row Not Used",Measures!C507="Controls Only",Measures!C507="Decommissioning"),"",Measures!N507)</f>
        <v/>
      </c>
      <c r="J507" s="444" t="str">
        <f>IF(OR(Measures!AM507="Row Not Used",Measures!C507="Controls Only",Measures!C507="Decommissioning"),"",Measures!O507)</f>
        <v/>
      </c>
      <c r="K507" s="425" t="str">
        <f>IF(OR(Measures!AM507="Row Not Used",Measures!C507="Controls Only",Measures!C507="Decommissioning"),"",Measures!AS507)</f>
        <v/>
      </c>
      <c r="L507" s="426" t="str">
        <f>IF(OR(Measures!AM507="Row Not Used",Measures!AM507="Decommissioning",ISBLANK(Measures!R507)),"",Measures!R507)</f>
        <v/>
      </c>
      <c r="M507" s="431" t="str">
        <f>IF(OR(Measures!AM507="Row Not Used",Measures!AM507="Fixtures Only",Measures!AM507="Decommissioning"),"",Measures!S507)</f>
        <v/>
      </c>
      <c r="N507" s="432" t="str">
        <f>IF(Measures!AM507="Row Not Used","",Measures!AF507)</f>
        <v/>
      </c>
      <c r="O507" s="426" t="str">
        <f>IF(Measures!AM507="Row Not Used","",Measures!C507)</f>
        <v/>
      </c>
      <c r="P507" s="133" t="str">
        <f t="shared" si="7"/>
        <v>No</v>
      </c>
    </row>
  </sheetData>
  <sheetProtection algorithmName="SHA-512" hashValue="j8vGvZ5yPWhGEsLdCHdGXDk2hzvRK11qMpk7CuvNh0gdsiQ3bvYr6yHAFpzhjrs0issx30Tti9bnMFL9j5Kovg==" saltValue="UzgG8891t2iPAatrJ6XxYg==" spinCount="100000" sheet="1" objects="1" scenarios="1"/>
  <printOptions horizontalCentered="1"/>
  <pageMargins left="0.3" right="0.3" top="0.75" bottom="0.5" header="0.3" footer="0.3"/>
  <pageSetup scale="75" fitToHeight="1000" pageOrder="overThenDown" orientation="landscape" r:id="rId1"/>
  <headerFooter>
    <oddHeader>&amp;C&amp;14Tacoma Power's Bright Rebates Lighting Application</oddHeader>
    <oddFooter>&amp;L&amp;9&amp;A&amp;C&amp;P of &amp;N&amp;R&amp;9Printed on &amp;D</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3BBC919805C384AA5689E9F6D782926" ma:contentTypeVersion="12" ma:contentTypeDescription="Create a new document." ma:contentTypeScope="" ma:versionID="3c5921fec3987acd625d2fc8e3250d9f">
  <xsd:schema xmlns:xsd="http://www.w3.org/2001/XMLSchema" xmlns:xs="http://www.w3.org/2001/XMLSchema" xmlns:p="http://schemas.microsoft.com/office/2006/metadata/properties" xmlns:ns2="24e2d2ee-56f5-4368-95d8-e26b2f635639" xmlns:ns3="216ec0fe-1200-4bc3-9911-f486878172c3" targetNamespace="http://schemas.microsoft.com/office/2006/metadata/properties" ma:root="true" ma:fieldsID="bb1446192fa5854a6d04f04fd3c0f65e" ns2:_="" ns3:_="">
    <xsd:import namespace="24e2d2ee-56f5-4368-95d8-e26b2f635639"/>
    <xsd:import namespace="216ec0fe-1200-4bc3-9911-f486878172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TicketNumb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e2d2ee-56f5-4368-95d8-e26b2f63563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89aebaa3-270b-4a77-b589-d12dc3cc14b1"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TicketNumber" ma:index="19" nillable="true" ma:displayName="Ticket Number" ma:description="The Sys Admin Sharepoint list row ID(s) to which the folder and its files belong." ma:format="Dropdown" ma:internalName="TicketNumber">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16ec0fe-1200-4bc3-9911-f486878172c3"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25c97449-efc0-48ea-b8e9-c6807bca53d8}" ma:internalName="TaxCatchAll" ma:showField="CatchAllData" ma:web="8efd959d-c28c-4d94-a55f-ebed50cd85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4e2d2ee-56f5-4368-95d8-e26b2f635639">
      <Terms xmlns="http://schemas.microsoft.com/office/infopath/2007/PartnerControls"/>
    </lcf76f155ced4ddcb4097134ff3c332f>
    <TaxCatchAll xmlns="216ec0fe-1200-4bc3-9911-f486878172c3" xsi:nil="true"/>
    <TicketNumber xmlns="24e2d2ee-56f5-4368-95d8-e26b2f635639" xsi:nil="true"/>
  </documentManagement>
</p:properties>
</file>

<file path=customXml/itemProps1.xml><?xml version="1.0" encoding="utf-8"?>
<ds:datastoreItem xmlns:ds="http://schemas.openxmlformats.org/officeDocument/2006/customXml" ds:itemID="{2D123C18-1441-4D2C-8D6B-B2EB414BCD3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e2d2ee-56f5-4368-95d8-e26b2f635639"/>
    <ds:schemaRef ds:uri="216ec0fe-1200-4bc3-9911-f486878172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C181293-386A-438E-ABC2-D8463739CF9A}">
  <ds:schemaRefs>
    <ds:schemaRef ds:uri="http://schemas.microsoft.com/sharepoint/v3/contenttype/forms"/>
  </ds:schemaRefs>
</ds:datastoreItem>
</file>

<file path=customXml/itemProps3.xml><?xml version="1.0" encoding="utf-8"?>
<ds:datastoreItem xmlns:ds="http://schemas.openxmlformats.org/officeDocument/2006/customXml" ds:itemID="{8B8CCED8-F1E3-49E0-8D51-8B93608145EE}">
  <ds:schemaRefs>
    <ds:schemaRef ds:uri="http://purl.org/dc/terms/"/>
    <ds:schemaRef ds:uri="http://schemas.microsoft.com/office/2006/documentManagement/types"/>
    <ds:schemaRef ds:uri="216ec0fe-1200-4bc3-9911-f486878172c3"/>
    <ds:schemaRef ds:uri="http://schemas.microsoft.com/office/infopath/2007/PartnerControls"/>
    <ds:schemaRef ds:uri="http://purl.org/dc/elements/1.1/"/>
    <ds:schemaRef ds:uri="http://www.w3.org/XML/1998/namespace"/>
    <ds:schemaRef ds:uri="http://schemas.microsoft.com/office/2006/metadata/properties"/>
    <ds:schemaRef ds:uri="http://schemas.openxmlformats.org/package/2006/metadata/core-properties"/>
    <ds:schemaRef ds:uri="24e2d2ee-56f5-4368-95d8-e26b2f63563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121</vt:i4>
      </vt:variant>
    </vt:vector>
  </HeadingPairs>
  <TitlesOfParts>
    <vt:vector size="151" baseType="lpstr">
      <vt:lpstr>Welcome</vt:lpstr>
      <vt:lpstr>Instructions</vt:lpstr>
      <vt:lpstr>Contacts</vt:lpstr>
      <vt:lpstr>Site</vt:lpstr>
      <vt:lpstr>Spaces</vt:lpstr>
      <vt:lpstr>Measures</vt:lpstr>
      <vt:lpstr>Project Summary</vt:lpstr>
      <vt:lpstr>Measures Summary</vt:lpstr>
      <vt:lpstr>Walkthrough</vt:lpstr>
      <vt:lpstr>Fixture Review</vt:lpstr>
      <vt:lpstr>DIY Summary</vt:lpstr>
      <vt:lpstr>TPU Data Entry</vt:lpstr>
      <vt:lpstr>Measures Sum Prep</vt:lpstr>
      <vt:lpstr>TPU Contacts</vt:lpstr>
      <vt:lpstr>TPU Site</vt:lpstr>
      <vt:lpstr>TPU Proj Summary</vt:lpstr>
      <vt:lpstr>Incentive Rates</vt:lpstr>
      <vt:lpstr>Energy Costs</vt:lpstr>
      <vt:lpstr>Abbreviations</vt:lpstr>
      <vt:lpstr>Changes</vt:lpstr>
      <vt:lpstr>HVAC Factors</vt:lpstr>
      <vt:lpstr>Ballast Factors</vt:lpstr>
      <vt:lpstr>Picklists</vt:lpstr>
      <vt:lpstr>Fixture Picklists</vt:lpstr>
      <vt:lpstr>Constants</vt:lpstr>
      <vt:lpstr>Change Log</vt:lpstr>
      <vt:lpstr>Staff Contacts</vt:lpstr>
      <vt:lpstr>Data Entry</vt:lpstr>
      <vt:lpstr>Formulas</vt:lpstr>
      <vt:lpstr>Print Areas</vt:lpstr>
      <vt:lpstr>Blank</vt:lpstr>
      <vt:lpstr>BuildingTypeField</vt:lpstr>
      <vt:lpstr>BuildingTypeList</vt:lpstr>
      <vt:lpstr>CFLCat</vt:lpstr>
      <vt:lpstr>ControlType</vt:lpstr>
      <vt:lpstr>CoolType</vt:lpstr>
      <vt:lpstr>CtrlPctHrsReductionNetworked</vt:lpstr>
      <vt:lpstr>CtrlPctHrsReductionNonNetworked</vt:lpstr>
      <vt:lpstr>DaysInWeek</vt:lpstr>
      <vt:lpstr>DaysInYear</vt:lpstr>
      <vt:lpstr>DSMCProjNumField</vt:lpstr>
      <vt:lpstr>ExitSignCat</vt:lpstr>
      <vt:lpstr>FixClassExist</vt:lpstr>
      <vt:lpstr>FixClassPropose</vt:lpstr>
      <vt:lpstr>HeatType</vt:lpstr>
      <vt:lpstr>HIDCat</vt:lpstr>
      <vt:lpstr>InductionCat</vt:lpstr>
      <vt:lpstr>kWhConversion</vt:lpstr>
      <vt:lpstr>LEDCat</vt:lpstr>
      <vt:lpstr>MaxOperateHours</vt:lpstr>
      <vt:lpstr>MeasureCountSummaryField</vt:lpstr>
      <vt:lpstr>MeasureType</vt:lpstr>
      <vt:lpstr>MinOperateHours</vt:lpstr>
      <vt:lpstr>MinOperateWeeks</vt:lpstr>
      <vt:lpstr>MultifuncCtrlWattReducePct</vt:lpstr>
      <vt:lpstr>OMSavingsPct</vt:lpstr>
      <vt:lpstr>Contacts!Print_Area</vt:lpstr>
      <vt:lpstr>Instructions!Print_Area</vt:lpstr>
      <vt:lpstr>'Measures Summary'!Print_Area</vt:lpstr>
      <vt:lpstr>'Project Summary'!Print_Area</vt:lpstr>
      <vt:lpstr>Site!Print_Area</vt:lpstr>
      <vt:lpstr>Abbreviations!Print_Titles</vt:lpstr>
      <vt:lpstr>Changes!Print_Titles</vt:lpstr>
      <vt:lpstr>'Fixture Review'!Print_Titles</vt:lpstr>
      <vt:lpstr>Instructions!Print_Titles</vt:lpstr>
      <vt:lpstr>Measures!Print_Titles</vt:lpstr>
      <vt:lpstr>'Project Summary'!Print_Titles</vt:lpstr>
      <vt:lpstr>Spaces!Print_Titles</vt:lpstr>
      <vt:lpstr>Walkthrough!Print_Titles</vt:lpstr>
      <vt:lpstr>ProjectCostField</vt:lpstr>
      <vt:lpstr>QuartzCat</vt:lpstr>
      <vt:lpstr>RateClassField</vt:lpstr>
      <vt:lpstr>SectorField</vt:lpstr>
      <vt:lpstr>SectorList</vt:lpstr>
      <vt:lpstr>SignageCat</vt:lpstr>
      <vt:lpstr>SpaceName</vt:lpstr>
      <vt:lpstr>SpaceType</vt:lpstr>
      <vt:lpstr>T10Cat</vt:lpstr>
      <vt:lpstr>T12Cat</vt:lpstr>
      <vt:lpstr>T5Cat</vt:lpstr>
      <vt:lpstr>T8Cat</vt:lpstr>
      <vt:lpstr>T8HPCat</vt:lpstr>
      <vt:lpstr>TPURateClass</vt:lpstr>
      <vt:lpstr>wattlist_cfl_cold_cathode_dimmable_or_flashable</vt:lpstr>
      <vt:lpstr>wattlist_cfl_hard_wired_or_gu_24__45_w</vt:lpstr>
      <vt:lpstr>wattlist_cfl_hard_wired_or_gu_24_1_to_24_w</vt:lpstr>
      <vt:lpstr>wattlist_cfl_hard_wired_or_gu_24_25_to_45_w</vt:lpstr>
      <vt:lpstr>wattlist_cfl_screw_in__45_w</vt:lpstr>
      <vt:lpstr>wattlist_cfl_screw_in_1_to_24_w</vt:lpstr>
      <vt:lpstr>wattlist_cfl_screw_in_25_to_45_w</vt:lpstr>
      <vt:lpstr>wattlist_exit_sign_cfl_screw_in_or_plug_in</vt:lpstr>
      <vt:lpstr>wattlist_exit_sign_incandescent_screw_in_or_plug_in</vt:lpstr>
      <vt:lpstr>wattlist_exit_sign_led_new_fixture_or_retrofit_kit</vt:lpstr>
      <vt:lpstr>wattlist_exit_sign_linear_fluorescent_f4t5</vt:lpstr>
      <vt:lpstr>wattlist_exit_sign_linear_fluorescent_f6t5</vt:lpstr>
      <vt:lpstr>wattlist_exit_sign_linear_fluorescent_f8t5</vt:lpstr>
      <vt:lpstr>wattlist_hid_hps_mag__ballast</vt:lpstr>
      <vt:lpstr>wattlist_hid_mh_ee_ballast</vt:lpstr>
      <vt:lpstr>wattlist_hid_mh_mag__ballast</vt:lpstr>
      <vt:lpstr>wattlist_hid_mh_pulse_start</vt:lpstr>
      <vt:lpstr>wattlist_hid_mv_mag__ballast</vt:lpstr>
      <vt:lpstr>wattlist_induction_any_type_any_type</vt:lpstr>
      <vt:lpstr>wattlist_LED</vt:lpstr>
      <vt:lpstr>wattlist_quartz_bi_pin_halogen</vt:lpstr>
      <vt:lpstr>wattlist_t10_6_ft_vho_lamp_w__mag__ballast</vt:lpstr>
      <vt:lpstr>wattlist_t12_2_ft_mag__ballast</vt:lpstr>
      <vt:lpstr>wattlist_t12_3_ft_ee_ballast</vt:lpstr>
      <vt:lpstr>wattlist_t12_3_ft_mag__ballast</vt:lpstr>
      <vt:lpstr>wattlist_t12_4_ft_ho_lamp_w__mag__ballast</vt:lpstr>
      <vt:lpstr>wattlist_t12_4_ft_lamp_w__ee_ballast</vt:lpstr>
      <vt:lpstr>wattlist_t12_4_ft_lamp_w__mag__ballast</vt:lpstr>
      <vt:lpstr>wattlist_t12_4_ft_slimline_w__mag__ballast</vt:lpstr>
      <vt:lpstr>wattlist_t12_4_ft_vho_lamp_w__mag__ballast</vt:lpstr>
      <vt:lpstr>wattlist_t12_5_ft_4_in_ho_lamp_w__mag__ballast</vt:lpstr>
      <vt:lpstr>wattlist_t12_5_ft_4_in_slimline_w__mag__ballast</vt:lpstr>
      <vt:lpstr>wattlist_t12_5_ft_ho_lamp_w__mag__ballast</vt:lpstr>
      <vt:lpstr>wattlist_t12_5_ft_slimline_w__mag__ballast</vt:lpstr>
      <vt:lpstr>wattlist_t12_5_ft_vho_lamp_w__mag__ballast</vt:lpstr>
      <vt:lpstr>wattlist_t12_6_ft_ho_lamp_w__mag__ballast</vt:lpstr>
      <vt:lpstr>wattlist_t12_6_ft_slimline_w__mag__ballast</vt:lpstr>
      <vt:lpstr>wattlist_t12_6_ft_vho_lamp_w__mag__ballast</vt:lpstr>
      <vt:lpstr>wattlist_t12_7_ft_ho_lamp_w__mag__ballast</vt:lpstr>
      <vt:lpstr>wattlist_t12_7_ft_slimline_w__mag__ballast</vt:lpstr>
      <vt:lpstr>wattlist_t12_8_ft_ho_lamp_w__ee_ballast</vt:lpstr>
      <vt:lpstr>wattlist_t12_8_ft_ho_lamp_w__mag__ballast</vt:lpstr>
      <vt:lpstr>wattlist_t12_8_ft_slimline_w__mag__ballast</vt:lpstr>
      <vt:lpstr>wattlist_t12_8_ft_vho_lamp_w__mag__ballast</vt:lpstr>
      <vt:lpstr>wattlist_t12_9_ft_vho_lamp_w__mag__ballast</vt:lpstr>
      <vt:lpstr>wattlist_t12_ft_10_vho_lamp_w__mag__ballast</vt:lpstr>
      <vt:lpstr>wattlist_t12_u_lamp_ee_ballast</vt:lpstr>
      <vt:lpstr>wattlist_t12_u_lamp_mag__ballast</vt:lpstr>
      <vt:lpstr>wattlist_t5_2_ft_ho_lamp_w__prog__start_ballast</vt:lpstr>
      <vt:lpstr>wattlist_t5_4_ft__nlo_ballast</vt:lpstr>
      <vt:lpstr>wattlist_t5_4_ft_high_bay_ho_lamp_w__prog__start_ballast</vt:lpstr>
      <vt:lpstr>wattlist_t8_4_ft_llo_ballast</vt:lpstr>
      <vt:lpstr>wattlist_t8_4_ft_nlo_ballast</vt:lpstr>
      <vt:lpstr>wattlist_t8_8_ft_ho_ballast</vt:lpstr>
      <vt:lpstr>wattlist_t8_8_ft_nlo_ballast</vt:lpstr>
      <vt:lpstr>wattlist_t8_hp_4_ft_hlo_ballast</vt:lpstr>
      <vt:lpstr>wattlist_t8_hp_4_ft_llo_ballast</vt:lpstr>
      <vt:lpstr>wattlist_t8_hp_4_ft_nlo_ballast</vt:lpstr>
      <vt:lpstr>wattlist_t8_hp_4_ft_vllo_ballast</vt:lpstr>
      <vt:lpstr>wattlist_t8_hp_8_ft_nlo_ballast</vt:lpstr>
      <vt:lpstr>wattlist_t8_irregular_size_2_ft</vt:lpstr>
      <vt:lpstr>wattlist_t8_irregular_size_3_ft</vt:lpstr>
      <vt:lpstr>wattlist_t8_irregular_size_5_ft</vt:lpstr>
      <vt:lpstr>wattlist_t8_irregular_size_6_ft</vt:lpstr>
      <vt:lpstr>wattlist_t8_irregular_size_7_ft</vt:lpstr>
      <vt:lpstr>wattlist_t8_u_lamp_llo_ballast</vt:lpstr>
      <vt:lpstr>wattlist_t8_u_lamp_nlo_ballast</vt:lpstr>
      <vt:lpstr>WeeksInYear</vt:lpstr>
    </vt:vector>
  </TitlesOfParts>
  <Manager/>
  <Company>City of Tacoma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Lighting application for the Bright Rebates program.</dc:title>
  <dc:subject/>
  <dc:creator>Danforth, Allison</dc:creator>
  <cp:keywords/>
  <dc:description/>
  <cp:lastModifiedBy>Danforth, Allison</cp:lastModifiedBy>
  <cp:revision/>
  <dcterms:created xsi:type="dcterms:W3CDTF">2025-10-27T20:47:54Z</dcterms:created>
  <dcterms:modified xsi:type="dcterms:W3CDTF">2026-07-06T17:57:00Z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0x010100C3BBC919805C384AA5689E9F6D782926</vt:lpwstr>
  </property>
  <property fmtid="{D5CDD505-2E9C-101B-9397-08002B2CF9AE}" pid="3" name="MediaServiceImageTags">
    <vt:lpwstr/>
  </property>
  <property fmtid="{D5CDD505-2E9C-101B-9397-08002B2CF9AE}" pid="4" name="MSIP_Label_dcaad403-beaf-4d58-8868-791c33f888c7_Enabled">
    <vt:lpwstr>true</vt:lpwstr>
  </property>
  <property fmtid="{D5CDD505-2E9C-101B-9397-08002B2CF9AE}" pid="5" name="MSIP_Label_dcaad403-beaf-4d58-8868-791c33f888c7_SetDate">
    <vt:lpwstr>2025-12-19T22:08:44Z</vt:lpwstr>
  </property>
  <property fmtid="{D5CDD505-2E9C-101B-9397-08002B2CF9AE}" pid="6" name="MSIP_Label_dcaad403-beaf-4d58-8868-791c33f888c7_Method">
    <vt:lpwstr>Standard</vt:lpwstr>
  </property>
  <property fmtid="{D5CDD505-2E9C-101B-9397-08002B2CF9AE}" pid="7" name="MSIP_Label_dcaad403-beaf-4d58-8868-791c33f888c7_Name">
    <vt:lpwstr>Category 2 - Sensitive-Internal</vt:lpwstr>
  </property>
  <property fmtid="{D5CDD505-2E9C-101B-9397-08002B2CF9AE}" pid="8" name="MSIP_Label_dcaad403-beaf-4d58-8868-791c33f888c7_SiteId">
    <vt:lpwstr>8ef8e5fc-f375-40ae-ab99-e5cee9801271</vt:lpwstr>
  </property>
  <property fmtid="{D5CDD505-2E9C-101B-9397-08002B2CF9AE}" pid="9" name="MSIP_Label_dcaad403-beaf-4d58-8868-791c33f888c7_ActionId">
    <vt:lpwstr>01f876ed-9fab-47a3-82ea-78fa69a9dbd0</vt:lpwstr>
  </property>
  <property fmtid="{D5CDD505-2E9C-101B-9397-08002B2CF9AE}" pid="10" name="MSIP_Label_dcaad403-beaf-4d58-8868-791c33f888c7_ContentBits">
    <vt:lpwstr>0</vt:lpwstr>
  </property>
</Properties>
</file>